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9.xml" ContentType="application/vnd.openxmlformats-officedocument.spreadsheetml.externalLink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charts/colors9.xml" ContentType="application/vnd.ms-office.chartcolorstyle+xml"/>
  <Override PartName="/xl/charts/style2.xml" ContentType="application/vnd.ms-office.chartstyle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olors3.xml" ContentType="application/vnd.ms-office.chartcolorstyle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style9.xml" ContentType="application/vnd.ms-office.chartsty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8.xml" ContentType="application/vnd.openxmlformats-officedocument.spreadsheetml.externalLink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6.xml" ContentType="application/vnd.openxmlformats-officedocument.spreadsheetml.externalLink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style1.xml" ContentType="application/vnd.ms-office.chartstyle+xml"/>
  <Override PartName="/xl/charts/colors8.xml" ContentType="application/vnd.ms-office.chartcolorstyle+xml"/>
  <Override PartName="/xl/charts/style3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olors6.xml" ContentType="application/vnd.ms-office.chartcolorstyle+xml"/>
  <Override PartName="/xl/externalLinks/externalLink11.xml" ContentType="application/vnd.openxmlformats-officedocument.spreadsheetml.externalLink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 tabRatio="884" firstSheet="10" activeTab="10"/>
  </bookViews>
  <sheets>
    <sheet name="LABA RUGI" sheetId="21" state="hidden" r:id="rId1"/>
    <sheet name="CASH FLOW" sheetId="22" state="hidden" r:id="rId2"/>
    <sheet name="GRAFIK CASH FLOW (2)" sheetId="23" state="hidden" r:id="rId3"/>
    <sheet name="GRAFIK CF &amp; RL" sheetId="20" state="hidden" r:id="rId4"/>
    <sheet name="ASUMSI &amp; CAT CF RUMAH SAKIT" sheetId="17" state="hidden" r:id="rId5"/>
    <sheet name="REKAP 2016 SD 2020" sheetId="19" state="hidden" r:id="rId6"/>
    <sheet name="CF 2016 (2)" sheetId="29" state="hidden" r:id="rId7"/>
    <sheet name="CF 2016" sheetId="1" state="hidden" r:id="rId8"/>
    <sheet name="PENDAPATAN" sheetId="3" state="hidden" r:id="rId9"/>
    <sheet name="PENGELUARAN" sheetId="2" state="hidden" r:id="rId10"/>
    <sheet name="CF 2017" sheetId="8" r:id="rId11"/>
    <sheet name="CF 2018" sheetId="9" state="hidden" r:id="rId12"/>
    <sheet name="CF 2019" sheetId="10" state="hidden" r:id="rId13"/>
    <sheet name="pinj faisol" sheetId="4" state="hidden" r:id="rId14"/>
    <sheet name="Sheet1" sheetId="5" state="hidden" r:id="rId15"/>
    <sheet name="Sheet2 (2)" sheetId="7" state="hidden" r:id="rId16"/>
    <sheet name="Sheet2" sheetId="6" state="hidden" r:id="rId17"/>
    <sheet name="REKAP" sheetId="11" state="hidden" r:id="rId18"/>
    <sheet name="perhitungan" sheetId="12" state="hidden" r:id="rId19"/>
    <sheet name="CAT 2019" sheetId="13" state="hidden" r:id="rId20"/>
    <sheet name="CF 2020" sheetId="15" state="hidden" r:id="rId21"/>
    <sheet name="Sheet3" sheetId="16" state="hidden" r:id="rId22"/>
    <sheet name="catatan 2019" sheetId="14" state="hidden" r:id="rId23"/>
    <sheet name="Sheet4" sheetId="18" state="hidden" r:id="rId24"/>
    <sheet name="MKI2" sheetId="43" r:id="rId25"/>
    <sheet name="RKA MDG'S" sheetId="24" r:id="rId26"/>
    <sheet name="MKI" sheetId="34" r:id="rId27"/>
    <sheet name="RKA HPK" sheetId="25" r:id="rId28"/>
    <sheet name="RKA PPI" sheetId="26" r:id="rId29"/>
    <sheet name="rka mki" sheetId="27" r:id="rId30"/>
    <sheet name="PKRS" sheetId="28" r:id="rId31"/>
    <sheet name="MPO" sheetId="30" r:id="rId32"/>
    <sheet name="MFK" sheetId="32" r:id="rId33"/>
    <sheet name="KPS" sheetId="33" r:id="rId34"/>
    <sheet name="PP" sheetId="35" r:id="rId35"/>
    <sheet name="AP" sheetId="36" r:id="rId36"/>
    <sheet name="PMKP" sheetId="37" r:id="rId37"/>
    <sheet name="TKP" sheetId="38" r:id="rId38"/>
    <sheet name="SKP" sheetId="39" r:id="rId39"/>
    <sheet name="PPK" sheetId="40" r:id="rId40"/>
    <sheet name="PAB" sheetId="41" r:id="rId41"/>
    <sheet name="pmkp2" sheetId="42" r:id="rId42"/>
  </sheets>
  <externalReferences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xlnm.Print_Area" localSheetId="4">'ASUMSI &amp; CAT CF RUMAH SAKIT'!$A$1:$O$95</definedName>
    <definedName name="_xlnm.Print_Area" localSheetId="7">'CF 2016'!$A$1:$P$133</definedName>
    <definedName name="_xlnm.Print_Area" localSheetId="6">'CF 2016 (2)'!$A$1:$P$134</definedName>
    <definedName name="_xlnm.Print_Area" localSheetId="10">'CF 2017'!$A$1:$P$120</definedName>
    <definedName name="_xlnm.Print_Area" localSheetId="11">'CF 2018'!$A$1:$P$113</definedName>
    <definedName name="_xlnm.Print_Area" localSheetId="12">'CF 2019'!$A$1:$P$119</definedName>
    <definedName name="_xlnm.Print_Area" localSheetId="20">'CF 2020'!$A$1:$M$120</definedName>
    <definedName name="_xlnm.Print_Area" localSheetId="3">'GRAFIK CF &amp; RL'!$A$1:$M$61</definedName>
    <definedName name="_xlnm.Print_Area" localSheetId="33">KPS!$A$1:$O$12</definedName>
    <definedName name="_xlnm.Print_Area" localSheetId="0">'LABA RUGI'!$B$1:$P$48</definedName>
    <definedName name="_xlnm.Print_Area" localSheetId="32">MFK!$A$1:$O$43</definedName>
    <definedName name="_xlnm.Print_Area" localSheetId="26">MKI!$A$1:$Q$133</definedName>
    <definedName name="_xlnm.Print_Area" localSheetId="24">'MKI2'!$A$1:$Q$120</definedName>
    <definedName name="_xlnm.Print_Area" localSheetId="31">MPO!$A$1:$N$12</definedName>
    <definedName name="_xlnm.Print_Area" localSheetId="13">'pinj faisol'!$B$1:$J$34</definedName>
    <definedName name="_xlnm.Print_Area" localSheetId="30">PKRS!$B$1:$O$24</definedName>
    <definedName name="_xlnm.Print_Area" localSheetId="41">pmkp2!$A$1:$P$23</definedName>
    <definedName name="_xlnm.Print_Area" localSheetId="17">REKAP!$A$1:$G$131</definedName>
    <definedName name="_xlnm.Print_Area" localSheetId="5">'REKAP 2016 SD 2020'!$A$1:$I$140</definedName>
    <definedName name="_xlnm.Print_Area" localSheetId="27">'RKA HPK'!$A$1:$O$15</definedName>
    <definedName name="_xlnm.Print_Area" localSheetId="25">'RKA MDG''S'!$A$1:$P$61</definedName>
    <definedName name="_xlnm.Print_Area" localSheetId="28">'RKA PPI'!$A$1:$S$24</definedName>
    <definedName name="_xlnm.Print_Area" localSheetId="16">Sheet2!$B$2:$J$21</definedName>
    <definedName name="_xlnm.Print_Area" localSheetId="15">'Sheet2 (2)'!$B$1:$J$21</definedName>
    <definedName name="_xlnm.Print_Titles" localSheetId="4">'ASUMSI &amp; CAT CF RUMAH SAKIT'!$1:$5</definedName>
    <definedName name="_xlnm.Print_Titles" localSheetId="7">'CF 2016'!$1:$10</definedName>
    <definedName name="_xlnm.Print_Titles" localSheetId="6">'CF 2016 (2)'!$2:$11</definedName>
    <definedName name="_xlnm.Print_Titles" localSheetId="10">'CF 2017'!$1:$10</definedName>
    <definedName name="_xlnm.Print_Titles" localSheetId="11">'CF 2018'!$1:$11</definedName>
    <definedName name="_xlnm.Print_Titles" localSheetId="12">'CF 2019'!$1:$10</definedName>
    <definedName name="_xlnm.Print_Titles" localSheetId="20">'CF 2020'!$1:$9</definedName>
    <definedName name="_xlnm.Print_Titles" localSheetId="26">MKI!$1:$10</definedName>
    <definedName name="_xlnm.Print_Titles" localSheetId="24">'MKI2'!$1:$10</definedName>
    <definedName name="_xlnm.Print_Titles" localSheetId="17">REKAP!$1:$10</definedName>
    <definedName name="_xlnm.Print_Titles" localSheetId="5">'REKAP 2016 SD 2020'!$1:$8</definedName>
    <definedName name="_xlnm.Print_Titles" localSheetId="25">'RKA MDG''S'!$6:$7</definedName>
  </definedNames>
  <calcPr calcId="124519"/>
  <fileRecoveryPr autoRecover="0"/>
</workbook>
</file>

<file path=xl/calcChain.xml><?xml version="1.0" encoding="utf-8"?>
<calcChain xmlns="http://schemas.openxmlformats.org/spreadsheetml/2006/main">
  <c r="D61" i="24"/>
  <c r="E61"/>
  <c r="F61"/>
  <c r="G61"/>
  <c r="H61"/>
  <c r="I61"/>
  <c r="J61"/>
  <c r="K61"/>
  <c r="L61"/>
  <c r="M61"/>
  <c r="N61"/>
  <c r="O61"/>
  <c r="P61"/>
  <c r="P15"/>
  <c r="Q15" s="1"/>
  <c r="P16"/>
  <c r="Q16" s="1"/>
  <c r="P18"/>
  <c r="Q18" s="1"/>
  <c r="P25"/>
  <c r="Q25" s="1"/>
  <c r="P26"/>
  <c r="Q26" s="1"/>
  <c r="P28"/>
  <c r="Q28" s="1"/>
  <c r="P29"/>
  <c r="Q29" s="1"/>
  <c r="P14"/>
  <c r="P21"/>
  <c r="P22"/>
  <c r="P33"/>
  <c r="P34"/>
  <c r="P35"/>
  <c r="P36"/>
  <c r="P41"/>
  <c r="P42"/>
  <c r="P43"/>
  <c r="P44"/>
  <c r="P45"/>
  <c r="P47"/>
  <c r="P48"/>
  <c r="P49"/>
  <c r="P55"/>
  <c r="P56"/>
  <c r="P57"/>
  <c r="P59"/>
  <c r="BG826" i="43" l="1"/>
  <c r="D212"/>
  <c r="D211"/>
  <c r="D205"/>
  <c r="F198"/>
  <c r="E198"/>
  <c r="D198"/>
  <c r="P197"/>
  <c r="G196"/>
  <c r="G198" s="1"/>
  <c r="P195"/>
  <c r="BU120"/>
  <c r="P119"/>
  <c r="BV118"/>
  <c r="BV120" s="1"/>
  <c r="G117"/>
  <c r="F117"/>
  <c r="E117"/>
  <c r="D117"/>
  <c r="D116"/>
  <c r="F115"/>
  <c r="G115" s="1"/>
  <c r="H115" s="1"/>
  <c r="E115"/>
  <c r="BE114"/>
  <c r="P114"/>
  <c r="P113"/>
  <c r="P112"/>
  <c r="BH111"/>
  <c r="BF111"/>
  <c r="P111"/>
  <c r="P110"/>
  <c r="O109"/>
  <c r="M109"/>
  <c r="P109" s="1"/>
  <c r="K109"/>
  <c r="P108"/>
  <c r="P107"/>
  <c r="BD106"/>
  <c r="D105"/>
  <c r="D104"/>
  <c r="D103"/>
  <c r="D102"/>
  <c r="D101"/>
  <c r="BI101" s="1"/>
  <c r="BJ101" s="1"/>
  <c r="BI100"/>
  <c r="BJ100" s="1"/>
  <c r="D100"/>
  <c r="D99"/>
  <c r="BI99" s="1"/>
  <c r="BJ99" s="1"/>
  <c r="H98"/>
  <c r="G98"/>
  <c r="F98"/>
  <c r="E98"/>
  <c r="D98"/>
  <c r="P98" s="1"/>
  <c r="D97"/>
  <c r="D96"/>
  <c r="BI96" s="1"/>
  <c r="BJ96" s="1"/>
  <c r="D95"/>
  <c r="D94"/>
  <c r="BI94" s="1"/>
  <c r="BJ94" s="1"/>
  <c r="D93"/>
  <c r="D92"/>
  <c r="BI92" s="1"/>
  <c r="BJ92" s="1"/>
  <c r="O91"/>
  <c r="N91"/>
  <c r="M91"/>
  <c r="L91"/>
  <c r="K91"/>
  <c r="J91"/>
  <c r="I91"/>
  <c r="D91"/>
  <c r="D90"/>
  <c r="BI90" s="1"/>
  <c r="BJ90" s="1"/>
  <c r="D89"/>
  <c r="D88"/>
  <c r="BI88" s="1"/>
  <c r="BJ88" s="1"/>
  <c r="D87"/>
  <c r="D86"/>
  <c r="BI86" s="1"/>
  <c r="BJ86" s="1"/>
  <c r="D85"/>
  <c r="D84"/>
  <c r="BI84" s="1"/>
  <c r="BJ84" s="1"/>
  <c r="D83"/>
  <c r="D82"/>
  <c r="BI82" s="1"/>
  <c r="BJ82" s="1"/>
  <c r="D81"/>
  <c r="D80"/>
  <c r="BI80" s="1"/>
  <c r="BJ80" s="1"/>
  <c r="D79"/>
  <c r="D78"/>
  <c r="BI77"/>
  <c r="BJ77" s="1"/>
  <c r="D77"/>
  <c r="D76"/>
  <c r="BI75"/>
  <c r="BJ75" s="1"/>
  <c r="D75"/>
  <c r="D74"/>
  <c r="D73"/>
  <c r="BI73" s="1"/>
  <c r="BJ73" s="1"/>
  <c r="BI72"/>
  <c r="BJ72" s="1"/>
  <c r="D72"/>
  <c r="D71"/>
  <c r="BI70"/>
  <c r="BJ70" s="1"/>
  <c r="D70"/>
  <c r="D69"/>
  <c r="BI68"/>
  <c r="BJ68" s="1"/>
  <c r="D68"/>
  <c r="D67"/>
  <c r="BI66"/>
  <c r="BJ66" s="1"/>
  <c r="D66"/>
  <c r="D65"/>
  <c r="D64"/>
  <c r="BI64" s="1"/>
  <c r="BJ64" s="1"/>
  <c r="D63"/>
  <c r="D62"/>
  <c r="BI62" s="1"/>
  <c r="BJ62" s="1"/>
  <c r="BJ61"/>
  <c r="BI61"/>
  <c r="D60"/>
  <c r="D59"/>
  <c r="BI59" s="1"/>
  <c r="BJ59" s="1"/>
  <c r="BJ58"/>
  <c r="BI58"/>
  <c r="D57"/>
  <c r="BI56"/>
  <c r="BJ56" s="1"/>
  <c r="D56"/>
  <c r="O55"/>
  <c r="N55"/>
  <c r="M55"/>
  <c r="L55"/>
  <c r="K55"/>
  <c r="J55"/>
  <c r="I55"/>
  <c r="H55"/>
  <c r="G55"/>
  <c r="F55"/>
  <c r="E55"/>
  <c r="D55"/>
  <c r="BI55" s="1"/>
  <c r="BJ55" s="1"/>
  <c r="D54"/>
  <c r="BI53"/>
  <c r="BJ53" s="1"/>
  <c r="D53"/>
  <c r="D52"/>
  <c r="BI51"/>
  <c r="BJ51" s="1"/>
  <c r="D51"/>
  <c r="D50"/>
  <c r="BI49"/>
  <c r="BJ49" s="1"/>
  <c r="D49"/>
  <c r="D48"/>
  <c r="BI47"/>
  <c r="BJ47" s="1"/>
  <c r="D47"/>
  <c r="D46"/>
  <c r="BI45"/>
  <c r="BJ45" s="1"/>
  <c r="D45"/>
  <c r="D44"/>
  <c r="BI43"/>
  <c r="BJ43" s="1"/>
  <c r="D43"/>
  <c r="D42"/>
  <c r="D41"/>
  <c r="D40"/>
  <c r="BI40" s="1"/>
  <c r="BJ40" s="1"/>
  <c r="D39"/>
  <c r="D38"/>
  <c r="D37"/>
  <c r="J36"/>
  <c r="D36"/>
  <c r="BI36" s="1"/>
  <c r="BJ36" s="1"/>
  <c r="D35"/>
  <c r="D34"/>
  <c r="D106" s="1"/>
  <c r="P33"/>
  <c r="P32"/>
  <c r="P31"/>
  <c r="P30"/>
  <c r="P28"/>
  <c r="AZ26"/>
  <c r="E26"/>
  <c r="AZ25"/>
  <c r="D25"/>
  <c r="AZ24"/>
  <c r="E24"/>
  <c r="P24" s="1"/>
  <c r="AI24" s="1"/>
  <c r="B24"/>
  <c r="AZ23"/>
  <c r="P23"/>
  <c r="AZ22"/>
  <c r="P22"/>
  <c r="AZ21"/>
  <c r="P21"/>
  <c r="AZ20"/>
  <c r="P20"/>
  <c r="AZ19"/>
  <c r="P19"/>
  <c r="BD18"/>
  <c r="D207" s="1"/>
  <c r="AZ18"/>
  <c r="E18"/>
  <c r="D18"/>
  <c r="B18"/>
  <c r="BD17"/>
  <c r="D206" s="1"/>
  <c r="F17"/>
  <c r="E17"/>
  <c r="D17"/>
  <c r="B17"/>
  <c r="AZ16"/>
  <c r="N16"/>
  <c r="O16" s="1"/>
  <c r="M16"/>
  <c r="J16"/>
  <c r="K16" s="1"/>
  <c r="L16" s="1"/>
  <c r="I16"/>
  <c r="F16"/>
  <c r="G16" s="1"/>
  <c r="H16" s="1"/>
  <c r="E16"/>
  <c r="D16"/>
  <c r="P16" s="1"/>
  <c r="BD15"/>
  <c r="D204" s="1"/>
  <c r="AZ15"/>
  <c r="AZ27" s="1"/>
  <c r="D15"/>
  <c r="BD14"/>
  <c r="D203" s="1"/>
  <c r="D14"/>
  <c r="D27" s="1"/>
  <c r="D11"/>
  <c r="O10"/>
  <c r="P10" s="1"/>
  <c r="AK9"/>
  <c r="O9"/>
  <c r="N9"/>
  <c r="M9"/>
  <c r="L9"/>
  <c r="K9"/>
  <c r="J9"/>
  <c r="M37" s="1"/>
  <c r="I9"/>
  <c r="I74" s="1"/>
  <c r="J74" s="1"/>
  <c r="K74" s="1"/>
  <c r="L74" s="1"/>
  <c r="M74" s="1"/>
  <c r="N74" s="1"/>
  <c r="O74" s="1"/>
  <c r="H9"/>
  <c r="G9"/>
  <c r="F9"/>
  <c r="E9"/>
  <c r="D29" l="1"/>
  <c r="E80"/>
  <c r="F80" s="1"/>
  <c r="G80" s="1"/>
  <c r="H80" s="1"/>
  <c r="I80" s="1"/>
  <c r="J80" s="1"/>
  <c r="K80" s="1"/>
  <c r="L80" s="1"/>
  <c r="M80" s="1"/>
  <c r="N80" s="1"/>
  <c r="O80" s="1"/>
  <c r="E102"/>
  <c r="F102" s="1"/>
  <c r="G102" s="1"/>
  <c r="H102" s="1"/>
  <c r="I102" s="1"/>
  <c r="J102" s="1"/>
  <c r="K102" s="1"/>
  <c r="L102" s="1"/>
  <c r="M102" s="1"/>
  <c r="N102" s="1"/>
  <c r="O102" s="1"/>
  <c r="E100"/>
  <c r="F100" s="1"/>
  <c r="G100" s="1"/>
  <c r="H100" s="1"/>
  <c r="I100" s="1"/>
  <c r="J100" s="1"/>
  <c r="K100" s="1"/>
  <c r="L100" s="1"/>
  <c r="M100" s="1"/>
  <c r="N100" s="1"/>
  <c r="O100" s="1"/>
  <c r="E97"/>
  <c r="F97" s="1"/>
  <c r="G97" s="1"/>
  <c r="H97" s="1"/>
  <c r="I97" s="1"/>
  <c r="J97" s="1"/>
  <c r="K97" s="1"/>
  <c r="L97" s="1"/>
  <c r="M97" s="1"/>
  <c r="N97" s="1"/>
  <c r="O97" s="1"/>
  <c r="E95"/>
  <c r="F95" s="1"/>
  <c r="G95" s="1"/>
  <c r="H95" s="1"/>
  <c r="I95" s="1"/>
  <c r="J95" s="1"/>
  <c r="K95" s="1"/>
  <c r="L95" s="1"/>
  <c r="M95" s="1"/>
  <c r="N95" s="1"/>
  <c r="O95" s="1"/>
  <c r="E93"/>
  <c r="F93" s="1"/>
  <c r="G93" s="1"/>
  <c r="H93" s="1"/>
  <c r="I93" s="1"/>
  <c r="J93" s="1"/>
  <c r="K93" s="1"/>
  <c r="L93" s="1"/>
  <c r="M93" s="1"/>
  <c r="N93" s="1"/>
  <c r="O93" s="1"/>
  <c r="E77"/>
  <c r="F77" s="1"/>
  <c r="G77" s="1"/>
  <c r="H77" s="1"/>
  <c r="I77" s="1"/>
  <c r="J77" s="1"/>
  <c r="K77" s="1"/>
  <c r="L77" s="1"/>
  <c r="M77" s="1"/>
  <c r="N77" s="1"/>
  <c r="O77" s="1"/>
  <c r="E75"/>
  <c r="F75" s="1"/>
  <c r="G75" s="1"/>
  <c r="H75" s="1"/>
  <c r="I75" s="1"/>
  <c r="J75" s="1"/>
  <c r="K75" s="1"/>
  <c r="L75" s="1"/>
  <c r="M75" s="1"/>
  <c r="N75" s="1"/>
  <c r="O75" s="1"/>
  <c r="E72"/>
  <c r="F72" s="1"/>
  <c r="G72" s="1"/>
  <c r="H72" s="1"/>
  <c r="I72" s="1"/>
  <c r="J72" s="1"/>
  <c r="K72" s="1"/>
  <c r="L72" s="1"/>
  <c r="M72" s="1"/>
  <c r="N72" s="1"/>
  <c r="O72" s="1"/>
  <c r="E70"/>
  <c r="F70" s="1"/>
  <c r="G70" s="1"/>
  <c r="H70" s="1"/>
  <c r="I70" s="1"/>
  <c r="J70" s="1"/>
  <c r="K70" s="1"/>
  <c r="L70" s="1"/>
  <c r="M70" s="1"/>
  <c r="N70" s="1"/>
  <c r="O70" s="1"/>
  <c r="E68"/>
  <c r="F68" s="1"/>
  <c r="G68" s="1"/>
  <c r="H68" s="1"/>
  <c r="I68" s="1"/>
  <c r="J68" s="1"/>
  <c r="K68" s="1"/>
  <c r="L68" s="1"/>
  <c r="M68" s="1"/>
  <c r="N68" s="1"/>
  <c r="O68" s="1"/>
  <c r="E66"/>
  <c r="F66" s="1"/>
  <c r="G66" s="1"/>
  <c r="H66" s="1"/>
  <c r="I66" s="1"/>
  <c r="J66" s="1"/>
  <c r="K66" s="1"/>
  <c r="L66" s="1"/>
  <c r="M66" s="1"/>
  <c r="N66" s="1"/>
  <c r="O66" s="1"/>
  <c r="E64"/>
  <c r="F64" s="1"/>
  <c r="G64" s="1"/>
  <c r="H64" s="1"/>
  <c r="I64" s="1"/>
  <c r="J64" s="1"/>
  <c r="K64" s="1"/>
  <c r="L64" s="1"/>
  <c r="M64" s="1"/>
  <c r="N64" s="1"/>
  <c r="O64" s="1"/>
  <c r="E62"/>
  <c r="F62" s="1"/>
  <c r="G62" s="1"/>
  <c r="H62" s="1"/>
  <c r="I62" s="1"/>
  <c r="J62" s="1"/>
  <c r="K62" s="1"/>
  <c r="L62" s="1"/>
  <c r="M62" s="1"/>
  <c r="N62" s="1"/>
  <c r="O62" s="1"/>
  <c r="E59"/>
  <c r="F59" s="1"/>
  <c r="G59" s="1"/>
  <c r="H59" s="1"/>
  <c r="I59" s="1"/>
  <c r="J59" s="1"/>
  <c r="K59" s="1"/>
  <c r="L59" s="1"/>
  <c r="M59" s="1"/>
  <c r="N59" s="1"/>
  <c r="O59" s="1"/>
  <c r="E78"/>
  <c r="F78" s="1"/>
  <c r="G78" s="1"/>
  <c r="H78" s="1"/>
  <c r="I78" s="1"/>
  <c r="J78" s="1"/>
  <c r="K78" s="1"/>
  <c r="L78" s="1"/>
  <c r="M78" s="1"/>
  <c r="N78" s="1"/>
  <c r="O78" s="1"/>
  <c r="E61"/>
  <c r="E58"/>
  <c r="D118"/>
  <c r="BI42"/>
  <c r="BJ42" s="1"/>
  <c r="E42"/>
  <c r="F42" s="1"/>
  <c r="G42" s="1"/>
  <c r="H42" s="1"/>
  <c r="I42" s="1"/>
  <c r="J42" s="1"/>
  <c r="K42" s="1"/>
  <c r="L42" s="1"/>
  <c r="M42" s="1"/>
  <c r="N42" s="1"/>
  <c r="O42" s="1"/>
  <c r="BI44"/>
  <c r="BJ44" s="1"/>
  <c r="E44"/>
  <c r="F44" s="1"/>
  <c r="G44" s="1"/>
  <c r="H44" s="1"/>
  <c r="I44" s="1"/>
  <c r="J44" s="1"/>
  <c r="K44" s="1"/>
  <c r="L44" s="1"/>
  <c r="M44" s="1"/>
  <c r="N44" s="1"/>
  <c r="O44" s="1"/>
  <c r="BI46"/>
  <c r="BJ46" s="1"/>
  <c r="E46"/>
  <c r="F46" s="1"/>
  <c r="G46" s="1"/>
  <c r="H46" s="1"/>
  <c r="I46" s="1"/>
  <c r="J46" s="1"/>
  <c r="K46" s="1"/>
  <c r="L46" s="1"/>
  <c r="M46" s="1"/>
  <c r="N46" s="1"/>
  <c r="O46" s="1"/>
  <c r="BI48"/>
  <c r="BJ48" s="1"/>
  <c r="E48"/>
  <c r="F48" s="1"/>
  <c r="G48" s="1"/>
  <c r="H48" s="1"/>
  <c r="I48" s="1"/>
  <c r="J48" s="1"/>
  <c r="K48" s="1"/>
  <c r="L48" s="1"/>
  <c r="M48" s="1"/>
  <c r="N48" s="1"/>
  <c r="O48" s="1"/>
  <c r="BI50"/>
  <c r="BJ50" s="1"/>
  <c r="E50"/>
  <c r="F50" s="1"/>
  <c r="G50" s="1"/>
  <c r="H50" s="1"/>
  <c r="I50" s="1"/>
  <c r="J50" s="1"/>
  <c r="K50" s="1"/>
  <c r="L50" s="1"/>
  <c r="M50" s="1"/>
  <c r="N50" s="1"/>
  <c r="O50" s="1"/>
  <c r="BI52"/>
  <c r="BJ52" s="1"/>
  <c r="E52"/>
  <c r="F52" s="1"/>
  <c r="G52" s="1"/>
  <c r="H52" s="1"/>
  <c r="I52" s="1"/>
  <c r="J52" s="1"/>
  <c r="K52" s="1"/>
  <c r="L52" s="1"/>
  <c r="M52" s="1"/>
  <c r="N52" s="1"/>
  <c r="O52" s="1"/>
  <c r="BI54"/>
  <c r="BJ54" s="1"/>
  <c r="E54"/>
  <c r="F54" s="1"/>
  <c r="G54" s="1"/>
  <c r="H54" s="1"/>
  <c r="I54" s="1"/>
  <c r="J54" s="1"/>
  <c r="K54" s="1"/>
  <c r="L54" s="1"/>
  <c r="M54" s="1"/>
  <c r="N54" s="1"/>
  <c r="O54" s="1"/>
  <c r="E204"/>
  <c r="E25"/>
  <c r="F25" s="1"/>
  <c r="G25" s="1"/>
  <c r="H25" s="1"/>
  <c r="I25" s="1"/>
  <c r="J25" s="1"/>
  <c r="K25" s="1"/>
  <c r="L25" s="1"/>
  <c r="M25" s="1"/>
  <c r="N25" s="1"/>
  <c r="O25" s="1"/>
  <c r="F26"/>
  <c r="G26" s="1"/>
  <c r="E35"/>
  <c r="F35" s="1"/>
  <c r="G35" s="1"/>
  <c r="H35" s="1"/>
  <c r="I35" s="1"/>
  <c r="J35" s="1"/>
  <c r="K35" s="1"/>
  <c r="L35" s="1"/>
  <c r="M35" s="1"/>
  <c r="N35" s="1"/>
  <c r="O35" s="1"/>
  <c r="BI35"/>
  <c r="BJ35" s="1"/>
  <c r="E37"/>
  <c r="F37" s="1"/>
  <c r="G37" s="1"/>
  <c r="H37" s="1"/>
  <c r="I37" s="1"/>
  <c r="BI37"/>
  <c r="E38"/>
  <c r="F38" s="1"/>
  <c r="G38" s="1"/>
  <c r="H38" s="1"/>
  <c r="I38" s="1"/>
  <c r="J38" s="1"/>
  <c r="K38" s="1"/>
  <c r="L38" s="1"/>
  <c r="M38" s="1"/>
  <c r="N38" s="1"/>
  <c r="O38" s="1"/>
  <c r="BI38"/>
  <c r="E39"/>
  <c r="F39" s="1"/>
  <c r="G39" s="1"/>
  <c r="H39" s="1"/>
  <c r="I39" s="1"/>
  <c r="J39" s="1"/>
  <c r="K39" s="1"/>
  <c r="L39" s="1"/>
  <c r="M39" s="1"/>
  <c r="N39" s="1"/>
  <c r="O39" s="1"/>
  <c r="BI39"/>
  <c r="BJ39" s="1"/>
  <c r="E41"/>
  <c r="F41" s="1"/>
  <c r="G41" s="1"/>
  <c r="H41" s="1"/>
  <c r="I41" s="1"/>
  <c r="J41" s="1"/>
  <c r="K41" s="1"/>
  <c r="L41" s="1"/>
  <c r="M41" s="1"/>
  <c r="N41" s="1"/>
  <c r="O41" s="1"/>
  <c r="BI41"/>
  <c r="BJ41" s="1"/>
  <c r="P42"/>
  <c r="P44"/>
  <c r="P46"/>
  <c r="P48"/>
  <c r="P50"/>
  <c r="P52"/>
  <c r="P54"/>
  <c r="P68"/>
  <c r="P72"/>
  <c r="P75"/>
  <c r="H105"/>
  <c r="I105" s="1"/>
  <c r="J105" s="1"/>
  <c r="H104"/>
  <c r="I104" s="1"/>
  <c r="J104" s="1"/>
  <c r="K104" s="1"/>
  <c r="L104" s="1"/>
  <c r="M104" s="1"/>
  <c r="N104" s="1"/>
  <c r="O104" s="1"/>
  <c r="H103"/>
  <c r="I103" s="1"/>
  <c r="J103" s="1"/>
  <c r="K103" s="1"/>
  <c r="L103" s="1"/>
  <c r="M103" s="1"/>
  <c r="N103" s="1"/>
  <c r="O103" s="1"/>
  <c r="E203"/>
  <c r="E206"/>
  <c r="E207"/>
  <c r="E34"/>
  <c r="BI34"/>
  <c r="BJ34" s="1"/>
  <c r="E36"/>
  <c r="F36" s="1"/>
  <c r="G36" s="1"/>
  <c r="H36" s="1"/>
  <c r="I36" s="1"/>
  <c r="K36" s="1"/>
  <c r="L36" s="1"/>
  <c r="M36" s="1"/>
  <c r="N36" s="1"/>
  <c r="O36" s="1"/>
  <c r="E40"/>
  <c r="F40" s="1"/>
  <c r="G40" s="1"/>
  <c r="H40" s="1"/>
  <c r="I40" s="1"/>
  <c r="J40" s="1"/>
  <c r="K40" s="1"/>
  <c r="L40" s="1"/>
  <c r="M40" s="1"/>
  <c r="N40" s="1"/>
  <c r="O40" s="1"/>
  <c r="E43"/>
  <c r="F43" s="1"/>
  <c r="G43" s="1"/>
  <c r="H43" s="1"/>
  <c r="I43" s="1"/>
  <c r="J43" s="1"/>
  <c r="K43" s="1"/>
  <c r="L43" s="1"/>
  <c r="M43" s="1"/>
  <c r="N43" s="1"/>
  <c r="O43" s="1"/>
  <c r="E45"/>
  <c r="F45" s="1"/>
  <c r="G45" s="1"/>
  <c r="H45" s="1"/>
  <c r="I45" s="1"/>
  <c r="J45" s="1"/>
  <c r="K45" s="1"/>
  <c r="L45" s="1"/>
  <c r="M45" s="1"/>
  <c r="N45" s="1"/>
  <c r="O45" s="1"/>
  <c r="E47"/>
  <c r="F47" s="1"/>
  <c r="G47" s="1"/>
  <c r="H47" s="1"/>
  <c r="I47" s="1"/>
  <c r="J47" s="1"/>
  <c r="K47" s="1"/>
  <c r="L47" s="1"/>
  <c r="M47" s="1"/>
  <c r="N47" s="1"/>
  <c r="O47" s="1"/>
  <c r="E49"/>
  <c r="F49" s="1"/>
  <c r="G49" s="1"/>
  <c r="H49" s="1"/>
  <c r="I49" s="1"/>
  <c r="J49" s="1"/>
  <c r="K49" s="1"/>
  <c r="L49" s="1"/>
  <c r="M49" s="1"/>
  <c r="N49" s="1"/>
  <c r="O49" s="1"/>
  <c r="E51"/>
  <c r="F51" s="1"/>
  <c r="G51" s="1"/>
  <c r="H51" s="1"/>
  <c r="I51" s="1"/>
  <c r="J51" s="1"/>
  <c r="K51" s="1"/>
  <c r="L51" s="1"/>
  <c r="M51" s="1"/>
  <c r="N51" s="1"/>
  <c r="O51" s="1"/>
  <c r="E53"/>
  <c r="F53" s="1"/>
  <c r="G53" s="1"/>
  <c r="H53" s="1"/>
  <c r="I53" s="1"/>
  <c r="J53" s="1"/>
  <c r="K53" s="1"/>
  <c r="L53" s="1"/>
  <c r="M53" s="1"/>
  <c r="N53" s="1"/>
  <c r="O53" s="1"/>
  <c r="E56"/>
  <c r="F56" s="1"/>
  <c r="G56" s="1"/>
  <c r="H56" s="1"/>
  <c r="I56" s="1"/>
  <c r="J56" s="1"/>
  <c r="K56" s="1"/>
  <c r="L56" s="1"/>
  <c r="M56" s="1"/>
  <c r="N56" s="1"/>
  <c r="O56" s="1"/>
  <c r="P66"/>
  <c r="P70"/>
  <c r="P77"/>
  <c r="P55"/>
  <c r="S54" s="1"/>
  <c r="E57"/>
  <c r="F57" s="1"/>
  <c r="G57" s="1"/>
  <c r="H57" s="1"/>
  <c r="I57" s="1"/>
  <c r="J57" s="1"/>
  <c r="K57" s="1"/>
  <c r="L57" s="1"/>
  <c r="M57" s="1"/>
  <c r="N57" s="1"/>
  <c r="O57" s="1"/>
  <c r="BI57"/>
  <c r="BJ57" s="1"/>
  <c r="P59"/>
  <c r="E60"/>
  <c r="F60" s="1"/>
  <c r="G60" s="1"/>
  <c r="H60" s="1"/>
  <c r="I60" s="1"/>
  <c r="J60" s="1"/>
  <c r="K60" s="1"/>
  <c r="L60" s="1"/>
  <c r="M60" s="1"/>
  <c r="N60" s="1"/>
  <c r="O60" s="1"/>
  <c r="BI60"/>
  <c r="BJ60" s="1"/>
  <c r="P62"/>
  <c r="E63"/>
  <c r="F63" s="1"/>
  <c r="G63" s="1"/>
  <c r="H63" s="1"/>
  <c r="I63" s="1"/>
  <c r="J63" s="1"/>
  <c r="K63" s="1"/>
  <c r="L63" s="1"/>
  <c r="M63" s="1"/>
  <c r="N63" s="1"/>
  <c r="O63" s="1"/>
  <c r="BI63"/>
  <c r="BJ63" s="1"/>
  <c r="P64"/>
  <c r="E65"/>
  <c r="F65" s="1"/>
  <c r="G65" s="1"/>
  <c r="H65" s="1"/>
  <c r="I65" s="1"/>
  <c r="J65" s="1"/>
  <c r="K65" s="1"/>
  <c r="L65" s="1"/>
  <c r="M65" s="1"/>
  <c r="N65" s="1"/>
  <c r="O65" s="1"/>
  <c r="BI65"/>
  <c r="BJ65" s="1"/>
  <c r="E67"/>
  <c r="F67" s="1"/>
  <c r="G67" s="1"/>
  <c r="H67" s="1"/>
  <c r="I67" s="1"/>
  <c r="J67" s="1"/>
  <c r="K67" s="1"/>
  <c r="L67" s="1"/>
  <c r="M67" s="1"/>
  <c r="N67" s="1"/>
  <c r="O67" s="1"/>
  <c r="BI67"/>
  <c r="BJ67" s="1"/>
  <c r="E69"/>
  <c r="F69" s="1"/>
  <c r="G69" s="1"/>
  <c r="H69" s="1"/>
  <c r="I69" s="1"/>
  <c r="J69" s="1"/>
  <c r="K69" s="1"/>
  <c r="L69" s="1"/>
  <c r="M69" s="1"/>
  <c r="N69" s="1"/>
  <c r="O69" s="1"/>
  <c r="BI69"/>
  <c r="BJ69" s="1"/>
  <c r="E71"/>
  <c r="F71" s="1"/>
  <c r="G71" s="1"/>
  <c r="H71" s="1"/>
  <c r="I71" s="1"/>
  <c r="J71" s="1"/>
  <c r="K71" s="1"/>
  <c r="L71" s="1"/>
  <c r="M71" s="1"/>
  <c r="N71" s="1"/>
  <c r="O71" s="1"/>
  <c r="BI71"/>
  <c r="BJ71" s="1"/>
  <c r="E73"/>
  <c r="F73" s="1"/>
  <c r="H73" s="1"/>
  <c r="I73" s="1"/>
  <c r="J73" s="1"/>
  <c r="K73" s="1"/>
  <c r="L73" s="1"/>
  <c r="M73" s="1"/>
  <c r="N73" s="1"/>
  <c r="O73" s="1"/>
  <c r="E74"/>
  <c r="F74" s="1"/>
  <c r="BI74"/>
  <c r="BJ74" s="1"/>
  <c r="E76"/>
  <c r="F76" s="1"/>
  <c r="G76" s="1"/>
  <c r="H76" s="1"/>
  <c r="I76" s="1"/>
  <c r="J76" s="1"/>
  <c r="K76" s="1"/>
  <c r="L76" s="1"/>
  <c r="M76" s="1"/>
  <c r="N76" s="1"/>
  <c r="O76" s="1"/>
  <c r="BI76"/>
  <c r="BJ76" s="1"/>
  <c r="P100"/>
  <c r="P103"/>
  <c r="P105"/>
  <c r="BI78"/>
  <c r="BJ78" s="1"/>
  <c r="P78"/>
  <c r="P93"/>
  <c r="P95"/>
  <c r="P97"/>
  <c r="P102"/>
  <c r="P104"/>
  <c r="P115"/>
  <c r="E79"/>
  <c r="F79" s="1"/>
  <c r="G79" s="1"/>
  <c r="H79" s="1"/>
  <c r="I79" s="1"/>
  <c r="J79" s="1"/>
  <c r="K79" s="1"/>
  <c r="L79" s="1"/>
  <c r="M79" s="1"/>
  <c r="N79" s="1"/>
  <c r="O79" s="1"/>
  <c r="BI79"/>
  <c r="BJ79" s="1"/>
  <c r="P80"/>
  <c r="E81"/>
  <c r="F81" s="1"/>
  <c r="G81" s="1"/>
  <c r="H81" s="1"/>
  <c r="I81" s="1"/>
  <c r="J81" s="1"/>
  <c r="K81" s="1"/>
  <c r="L81" s="1"/>
  <c r="M81" s="1"/>
  <c r="N81" s="1"/>
  <c r="O81" s="1"/>
  <c r="BI81"/>
  <c r="BJ81" s="1"/>
  <c r="E83"/>
  <c r="F83" s="1"/>
  <c r="G83" s="1"/>
  <c r="H83" s="1"/>
  <c r="I83" s="1"/>
  <c r="J83" s="1"/>
  <c r="K83" s="1"/>
  <c r="L83" s="1"/>
  <c r="M83" s="1"/>
  <c r="N83" s="1"/>
  <c r="O83" s="1"/>
  <c r="BI83"/>
  <c r="BJ83" s="1"/>
  <c r="P84"/>
  <c r="E85"/>
  <c r="F85" s="1"/>
  <c r="G85" s="1"/>
  <c r="H85" s="1"/>
  <c r="I85" s="1"/>
  <c r="J85" s="1"/>
  <c r="K85" s="1"/>
  <c r="L85" s="1"/>
  <c r="M85" s="1"/>
  <c r="N85" s="1"/>
  <c r="O85" s="1"/>
  <c r="BI85"/>
  <c r="BJ85" s="1"/>
  <c r="E87"/>
  <c r="F87" s="1"/>
  <c r="G87" s="1"/>
  <c r="H87" s="1"/>
  <c r="I87" s="1"/>
  <c r="J87" s="1"/>
  <c r="K87" s="1"/>
  <c r="L87" s="1"/>
  <c r="M87" s="1"/>
  <c r="N87" s="1"/>
  <c r="O87" s="1"/>
  <c r="BI87"/>
  <c r="BJ87" s="1"/>
  <c r="P88"/>
  <c r="E89"/>
  <c r="F89" s="1"/>
  <c r="G89" s="1"/>
  <c r="H89" s="1"/>
  <c r="I89" s="1"/>
  <c r="J89" s="1"/>
  <c r="K89" s="1"/>
  <c r="L89" s="1"/>
  <c r="M89" s="1"/>
  <c r="N89" s="1"/>
  <c r="O89" s="1"/>
  <c r="BI89"/>
  <c r="BJ89" s="1"/>
  <c r="E91"/>
  <c r="F91" s="1"/>
  <c r="G91" s="1"/>
  <c r="H91" s="1"/>
  <c r="BI91"/>
  <c r="BJ91" s="1"/>
  <c r="P92"/>
  <c r="BI93"/>
  <c r="BJ93" s="1"/>
  <c r="BI95"/>
  <c r="BJ95" s="1"/>
  <c r="P96"/>
  <c r="BI97"/>
  <c r="BJ97" s="1"/>
  <c r="BI98"/>
  <c r="BJ98" s="1"/>
  <c r="P101"/>
  <c r="BI102"/>
  <c r="BJ102" s="1"/>
  <c r="H196"/>
  <c r="E82"/>
  <c r="F82" s="1"/>
  <c r="G82" s="1"/>
  <c r="H82" s="1"/>
  <c r="I82" s="1"/>
  <c r="J82" s="1"/>
  <c r="K82" s="1"/>
  <c r="L82" s="1"/>
  <c r="M82" s="1"/>
  <c r="N82" s="1"/>
  <c r="O82" s="1"/>
  <c r="E84"/>
  <c r="F84" s="1"/>
  <c r="G84" s="1"/>
  <c r="H84" s="1"/>
  <c r="I84" s="1"/>
  <c r="J84" s="1"/>
  <c r="K84" s="1"/>
  <c r="L84" s="1"/>
  <c r="M84" s="1"/>
  <c r="N84" s="1"/>
  <c r="O84" s="1"/>
  <c r="E86"/>
  <c r="F86" s="1"/>
  <c r="G86" s="1"/>
  <c r="H86" s="1"/>
  <c r="I86" s="1"/>
  <c r="J86" s="1"/>
  <c r="K86" s="1"/>
  <c r="L86" s="1"/>
  <c r="M86" s="1"/>
  <c r="N86" s="1"/>
  <c r="O86" s="1"/>
  <c r="E88"/>
  <c r="F88" s="1"/>
  <c r="G88" s="1"/>
  <c r="H88" s="1"/>
  <c r="I88" s="1"/>
  <c r="J88" s="1"/>
  <c r="K88" s="1"/>
  <c r="L88" s="1"/>
  <c r="M88" s="1"/>
  <c r="N88" s="1"/>
  <c r="O88" s="1"/>
  <c r="E90"/>
  <c r="F90" s="1"/>
  <c r="G90" s="1"/>
  <c r="H90" s="1"/>
  <c r="I90" s="1"/>
  <c r="J90" s="1"/>
  <c r="K90" s="1"/>
  <c r="L90" s="1"/>
  <c r="M90" s="1"/>
  <c r="N90" s="1"/>
  <c r="O90" s="1"/>
  <c r="E92"/>
  <c r="F92" s="1"/>
  <c r="G92" s="1"/>
  <c r="H92" s="1"/>
  <c r="I92" s="1"/>
  <c r="J92" s="1"/>
  <c r="K92" s="1"/>
  <c r="L92" s="1"/>
  <c r="M92" s="1"/>
  <c r="N92" s="1"/>
  <c r="O92" s="1"/>
  <c r="E94"/>
  <c r="F94" s="1"/>
  <c r="G94" s="1"/>
  <c r="H94" s="1"/>
  <c r="I94" s="1"/>
  <c r="J94" s="1"/>
  <c r="K94" s="1"/>
  <c r="L94" s="1"/>
  <c r="M94" s="1"/>
  <c r="N94" s="1"/>
  <c r="O94" s="1"/>
  <c r="E96"/>
  <c r="F96" s="1"/>
  <c r="G96" s="1"/>
  <c r="H96" s="1"/>
  <c r="I96" s="1"/>
  <c r="J96" s="1"/>
  <c r="K96" s="1"/>
  <c r="L96" s="1"/>
  <c r="M96" s="1"/>
  <c r="N96" s="1"/>
  <c r="O96" s="1"/>
  <c r="E99"/>
  <c r="F99" s="1"/>
  <c r="G99" s="1"/>
  <c r="H99" s="1"/>
  <c r="I99" s="1"/>
  <c r="J99" s="1"/>
  <c r="K99" s="1"/>
  <c r="L99" s="1"/>
  <c r="M99" s="1"/>
  <c r="N99" s="1"/>
  <c r="O99" s="1"/>
  <c r="E101"/>
  <c r="F101" s="1"/>
  <c r="G101" s="1"/>
  <c r="H101" s="1"/>
  <c r="I101" s="1"/>
  <c r="J101" s="1"/>
  <c r="K101" s="1"/>
  <c r="L101" s="1"/>
  <c r="M101" s="1"/>
  <c r="N101" s="1"/>
  <c r="O101" s="1"/>
  <c r="E116"/>
  <c r="F116" s="1"/>
  <c r="G116" s="1"/>
  <c r="H116" s="1"/>
  <c r="I116" s="1"/>
  <c r="J116" s="1"/>
  <c r="K116" s="1"/>
  <c r="L116" s="1"/>
  <c r="M116" s="1"/>
  <c r="N116" s="1"/>
  <c r="E106" l="1"/>
  <c r="F34"/>
  <c r="F206"/>
  <c r="G17"/>
  <c r="F61"/>
  <c r="G61" s="1"/>
  <c r="H61" s="1"/>
  <c r="I61" s="1"/>
  <c r="J61" s="1"/>
  <c r="K61" s="1"/>
  <c r="L61" s="1"/>
  <c r="M61" s="1"/>
  <c r="N61" s="1"/>
  <c r="O61" s="1"/>
  <c r="P99"/>
  <c r="P90"/>
  <c r="P86"/>
  <c r="P82"/>
  <c r="P116"/>
  <c r="P89"/>
  <c r="P85"/>
  <c r="P81"/>
  <c r="P73"/>
  <c r="P71"/>
  <c r="P67"/>
  <c r="P69"/>
  <c r="P65"/>
  <c r="P60"/>
  <c r="P56"/>
  <c r="P53"/>
  <c r="P51"/>
  <c r="P49"/>
  <c r="P47"/>
  <c r="P45"/>
  <c r="P43"/>
  <c r="P40"/>
  <c r="P35"/>
  <c r="P25"/>
  <c r="P41"/>
  <c r="I196"/>
  <c r="H198"/>
  <c r="H117"/>
  <c r="F207"/>
  <c r="F18"/>
  <c r="F203"/>
  <c r="E14"/>
  <c r="F204"/>
  <c r="E15"/>
  <c r="F58"/>
  <c r="G58" s="1"/>
  <c r="H58" s="1"/>
  <c r="I58" s="1"/>
  <c r="J58" s="1"/>
  <c r="K58" s="1"/>
  <c r="L58" s="1"/>
  <c r="M58" s="1"/>
  <c r="N58" s="1"/>
  <c r="O58" s="1"/>
  <c r="P94"/>
  <c r="P91"/>
  <c r="P87"/>
  <c r="P83"/>
  <c r="P79"/>
  <c r="P74"/>
  <c r="P76"/>
  <c r="P63"/>
  <c r="P57"/>
  <c r="P36"/>
  <c r="P38"/>
  <c r="P26"/>
  <c r="D120"/>
  <c r="P39"/>
  <c r="D123" l="1"/>
  <c r="E11"/>
  <c r="E205" s="1"/>
  <c r="G204"/>
  <c r="F15"/>
  <c r="G203"/>
  <c r="F14"/>
  <c r="F27" s="1"/>
  <c r="G207"/>
  <c r="G18"/>
  <c r="F106"/>
  <c r="F118" s="1"/>
  <c r="G34"/>
  <c r="P58"/>
  <c r="E27"/>
  <c r="I198"/>
  <c r="I117"/>
  <c r="J196"/>
  <c r="G206"/>
  <c r="H17"/>
  <c r="E118"/>
  <c r="P61"/>
  <c r="C43" i="32"/>
  <c r="D43"/>
  <c r="E43"/>
  <c r="F43"/>
  <c r="G43"/>
  <c r="H43"/>
  <c r="I43"/>
  <c r="J43"/>
  <c r="K43"/>
  <c r="L43"/>
  <c r="M43"/>
  <c r="N43"/>
  <c r="O33"/>
  <c r="O34"/>
  <c r="O35"/>
  <c r="O36"/>
  <c r="O37"/>
  <c r="O38"/>
  <c r="O39"/>
  <c r="O40"/>
  <c r="O41"/>
  <c r="O42"/>
  <c r="O32"/>
  <c r="C12" i="33"/>
  <c r="K196" i="43" l="1"/>
  <c r="J198"/>
  <c r="J117"/>
  <c r="E29"/>
  <c r="E120" s="1"/>
  <c r="H207"/>
  <c r="I18" s="1"/>
  <c r="I207"/>
  <c r="H18"/>
  <c r="H203"/>
  <c r="H14" s="1"/>
  <c r="H27" s="1"/>
  <c r="I203"/>
  <c r="G14"/>
  <c r="H204"/>
  <c r="H15" s="1"/>
  <c r="I204"/>
  <c r="G15"/>
  <c r="H206"/>
  <c r="J17" s="1"/>
  <c r="I206"/>
  <c r="I17"/>
  <c r="G106"/>
  <c r="H34"/>
  <c r="G24" i="26"/>
  <c r="H24"/>
  <c r="I24"/>
  <c r="J24"/>
  <c r="K24"/>
  <c r="L24"/>
  <c r="M24"/>
  <c r="N24"/>
  <c r="O24"/>
  <c r="P24"/>
  <c r="Q24"/>
  <c r="R24"/>
  <c r="S10"/>
  <c r="S11"/>
  <c r="S12"/>
  <c r="S13"/>
  <c r="S14"/>
  <c r="S15"/>
  <c r="S16"/>
  <c r="S17"/>
  <c r="S18"/>
  <c r="S19"/>
  <c r="S20"/>
  <c r="S21"/>
  <c r="S22"/>
  <c r="S23"/>
  <c r="S9"/>
  <c r="J7"/>
  <c r="K7"/>
  <c r="L7"/>
  <c r="M7"/>
  <c r="N7"/>
  <c r="O7"/>
  <c r="P7"/>
  <c r="Q7"/>
  <c r="R7"/>
  <c r="H7"/>
  <c r="I7"/>
  <c r="G7"/>
  <c r="G9" i="30"/>
  <c r="H9"/>
  <c r="I9"/>
  <c r="J9"/>
  <c r="K9"/>
  <c r="L9"/>
  <c r="M9"/>
  <c r="B10"/>
  <c r="B9"/>
  <c r="O91" i="8"/>
  <c r="N91"/>
  <c r="M91"/>
  <c r="L91"/>
  <c r="K91"/>
  <c r="J91"/>
  <c r="I91"/>
  <c r="H98"/>
  <c r="G98"/>
  <c r="F98"/>
  <c r="E98"/>
  <c r="D98"/>
  <c r="E55"/>
  <c r="F55"/>
  <c r="G55"/>
  <c r="H55"/>
  <c r="I55"/>
  <c r="J55"/>
  <c r="K55"/>
  <c r="L55"/>
  <c r="M55"/>
  <c r="N55"/>
  <c r="O55"/>
  <c r="D55"/>
  <c r="C22" i="28"/>
  <c r="D22"/>
  <c r="J59" i="29"/>
  <c r="D20" i="42"/>
  <c r="E20"/>
  <c r="F20"/>
  <c r="G20"/>
  <c r="H20"/>
  <c r="I20"/>
  <c r="J20"/>
  <c r="K20"/>
  <c r="L20"/>
  <c r="M20"/>
  <c r="N20"/>
  <c r="O20"/>
  <c r="P20"/>
  <c r="P11"/>
  <c r="P12"/>
  <c r="P13"/>
  <c r="P14"/>
  <c r="P15"/>
  <c r="P16"/>
  <c r="P17"/>
  <c r="P18"/>
  <c r="P19"/>
  <c r="P10"/>
  <c r="H106" i="43" l="1"/>
  <c r="H118" s="1"/>
  <c r="I34"/>
  <c r="J204"/>
  <c r="I15"/>
  <c r="G27"/>
  <c r="J207"/>
  <c r="J18"/>
  <c r="E123"/>
  <c r="F11"/>
  <c r="G118"/>
  <c r="J206"/>
  <c r="K17"/>
  <c r="J203"/>
  <c r="I14"/>
  <c r="I27" s="1"/>
  <c r="K198"/>
  <c r="K117"/>
  <c r="L196"/>
  <c r="S24" i="26"/>
  <c r="N330" i="34"/>
  <c r="J289"/>
  <c r="J288"/>
  <c r="L284"/>
  <c r="BN282"/>
  <c r="I282"/>
  <c r="BM133"/>
  <c r="BN131"/>
  <c r="BN133" s="1"/>
  <c r="AY126"/>
  <c r="AP121"/>
  <c r="Z121"/>
  <c r="BE118"/>
  <c r="AZ118"/>
  <c r="AX118"/>
  <c r="AP117"/>
  <c r="AY117"/>
  <c r="P31"/>
  <c r="P30"/>
  <c r="P28"/>
  <c r="AX27"/>
  <c r="E27"/>
  <c r="P26"/>
  <c r="M25"/>
  <c r="N25" s="1"/>
  <c r="O25" s="1"/>
  <c r="L25"/>
  <c r="P24"/>
  <c r="P23"/>
  <c r="P22"/>
  <c r="P21"/>
  <c r="P20"/>
  <c r="P19"/>
  <c r="O18"/>
  <c r="N18"/>
  <c r="M18"/>
  <c r="O17"/>
  <c r="N17"/>
  <c r="M17"/>
  <c r="L17"/>
  <c r="K17"/>
  <c r="J17"/>
  <c r="J18" s="1"/>
  <c r="I17"/>
  <c r="I18" s="1"/>
  <c r="K18" s="1"/>
  <c r="L18" s="1"/>
  <c r="H17"/>
  <c r="G17"/>
  <c r="G18" s="1"/>
  <c r="F17"/>
  <c r="D17"/>
  <c r="N16"/>
  <c r="O16" s="1"/>
  <c r="B16"/>
  <c r="K15"/>
  <c r="J14"/>
  <c r="I14"/>
  <c r="I27" s="1"/>
  <c r="P10"/>
  <c r="O9"/>
  <c r="N9"/>
  <c r="M9"/>
  <c r="J9"/>
  <c r="I9"/>
  <c r="H9"/>
  <c r="G9"/>
  <c r="F9"/>
  <c r="E9"/>
  <c r="I4"/>
  <c r="AY4" s="1"/>
  <c r="O43" i="32"/>
  <c r="B12" i="30"/>
  <c r="B22" s="1"/>
  <c r="C12" i="25"/>
  <c r="C14" s="1"/>
  <c r="D12"/>
  <c r="E12" s="1"/>
  <c r="H12"/>
  <c r="H14" s="1"/>
  <c r="O9"/>
  <c r="O10"/>
  <c r="O11"/>
  <c r="O13"/>
  <c r="O8"/>
  <c r="H9"/>
  <c r="H10"/>
  <c r="H11"/>
  <c r="H8"/>
  <c r="M196" i="43" l="1"/>
  <c r="L198"/>
  <c r="L117"/>
  <c r="K203"/>
  <c r="J14"/>
  <c r="K206"/>
  <c r="L17"/>
  <c r="K207"/>
  <c r="K18"/>
  <c r="K204"/>
  <c r="J15"/>
  <c r="F29"/>
  <c r="F120" s="1"/>
  <c r="F205"/>
  <c r="I106"/>
  <c r="I118" s="1"/>
  <c r="J34"/>
  <c r="J295" i="34"/>
  <c r="J27"/>
  <c r="P25"/>
  <c r="L15"/>
  <c r="M15" s="1"/>
  <c r="N15" s="1"/>
  <c r="O15" s="1"/>
  <c r="P16"/>
  <c r="P17"/>
  <c r="F18"/>
  <c r="F27" s="1"/>
  <c r="H18"/>
  <c r="H27" s="1"/>
  <c r="G27"/>
  <c r="AY127"/>
  <c r="K14"/>
  <c r="D18"/>
  <c r="P18" s="1"/>
  <c r="E14" i="25"/>
  <c r="F12"/>
  <c r="I12"/>
  <c r="D14"/>
  <c r="J106" i="43" l="1"/>
  <c r="J37"/>
  <c r="P37" s="1"/>
  <c r="K34"/>
  <c r="L204"/>
  <c r="K15"/>
  <c r="M198"/>
  <c r="M117"/>
  <c r="N196"/>
  <c r="J27"/>
  <c r="F123"/>
  <c r="G11"/>
  <c r="G29" s="1"/>
  <c r="G120" s="1"/>
  <c r="L207"/>
  <c r="L18"/>
  <c r="L206"/>
  <c r="M17"/>
  <c r="L203"/>
  <c r="K14"/>
  <c r="L283" i="34"/>
  <c r="L285" s="1"/>
  <c r="D27"/>
  <c r="P15"/>
  <c r="K27"/>
  <c r="L14"/>
  <c r="I14" i="25"/>
  <c r="J12"/>
  <c r="G12"/>
  <c r="F14"/>
  <c r="M206" i="43" l="1"/>
  <c r="N17"/>
  <c r="M207"/>
  <c r="M18"/>
  <c r="O196"/>
  <c r="N198"/>
  <c r="N117"/>
  <c r="M204"/>
  <c r="L15"/>
  <c r="K106"/>
  <c r="K118" s="1"/>
  <c r="L34"/>
  <c r="J118"/>
  <c r="M203"/>
  <c r="L14"/>
  <c r="L27" s="1"/>
  <c r="G123"/>
  <c r="H11"/>
  <c r="H29" s="1"/>
  <c r="H120" s="1"/>
  <c r="K27"/>
  <c r="G205"/>
  <c r="L27" i="34"/>
  <c r="M14"/>
  <c r="D29"/>
  <c r="G14" i="25"/>
  <c r="K12"/>
  <c r="J14"/>
  <c r="N204" i="43" l="1"/>
  <c r="M15"/>
  <c r="N207"/>
  <c r="N18"/>
  <c r="N206"/>
  <c r="O206" s="1"/>
  <c r="O17"/>
  <c r="P17" s="1"/>
  <c r="N203"/>
  <c r="M14"/>
  <c r="M27" s="1"/>
  <c r="H205"/>
  <c r="I205"/>
  <c r="H123"/>
  <c r="I11"/>
  <c r="I29" s="1"/>
  <c r="I120" s="1"/>
  <c r="L106"/>
  <c r="L118" s="1"/>
  <c r="M34"/>
  <c r="O198"/>
  <c r="O117"/>
  <c r="P117" s="1"/>
  <c r="P196"/>
  <c r="P198" s="1"/>
  <c r="E11" i="34"/>
  <c r="E29" s="1"/>
  <c r="D202"/>
  <c r="M27"/>
  <c r="N14"/>
  <c r="L12" i="25"/>
  <c r="K14"/>
  <c r="M106" i="43" l="1"/>
  <c r="M118" s="1"/>
  <c r="N34"/>
  <c r="I123"/>
  <c r="J11"/>
  <c r="J29" s="1"/>
  <c r="J120" s="1"/>
  <c r="J205"/>
  <c r="O203"/>
  <c r="O14" s="1"/>
  <c r="N14"/>
  <c r="O207"/>
  <c r="O18"/>
  <c r="P18" s="1"/>
  <c r="O204"/>
  <c r="O15" s="1"/>
  <c r="N15"/>
  <c r="N27" i="34"/>
  <c r="O14"/>
  <c r="O27" s="1"/>
  <c r="P14"/>
  <c r="E202"/>
  <c r="F11"/>
  <c r="F29" s="1"/>
  <c r="M12" i="25"/>
  <c r="L14"/>
  <c r="N27" i="43" l="1"/>
  <c r="O27"/>
  <c r="P14"/>
  <c r="J123"/>
  <c r="K11"/>
  <c r="K29" s="1"/>
  <c r="K120" s="1"/>
  <c r="N106"/>
  <c r="N118" s="1"/>
  <c r="O34"/>
  <c r="P15"/>
  <c r="K205"/>
  <c r="G11" i="34"/>
  <c r="G29" s="1"/>
  <c r="F202"/>
  <c r="P27"/>
  <c r="P29" s="1"/>
  <c r="N12" i="25"/>
  <c r="N14" s="1"/>
  <c r="M14"/>
  <c r="O12"/>
  <c r="O14" s="1"/>
  <c r="O106" i="43" l="1"/>
  <c r="P34"/>
  <c r="K123"/>
  <c r="L11"/>
  <c r="L29" s="1"/>
  <c r="L120" s="1"/>
  <c r="L205"/>
  <c r="P27"/>
  <c r="BH27"/>
  <c r="BH31" s="1"/>
  <c r="G202" i="34"/>
  <c r="H11"/>
  <c r="H29" s="1"/>
  <c r="O118" i="43" l="1"/>
  <c r="P118" s="1"/>
  <c r="P106"/>
  <c r="BD27"/>
  <c r="P29"/>
  <c r="BA27"/>
  <c r="L123"/>
  <c r="M11"/>
  <c r="M29" s="1"/>
  <c r="M120" s="1"/>
  <c r="I11" i="34"/>
  <c r="I29" s="1"/>
  <c r="H202"/>
  <c r="M123" i="43" l="1"/>
  <c r="N11"/>
  <c r="N29" s="1"/>
  <c r="N120" s="1"/>
  <c r="M205"/>
  <c r="N205" s="1"/>
  <c r="P120"/>
  <c r="I202" i="34"/>
  <c r="P123" i="43" l="1"/>
  <c r="P171"/>
  <c r="N123"/>
  <c r="O11"/>
  <c r="O29" s="1"/>
  <c r="O120" s="1"/>
  <c r="J11" i="34"/>
  <c r="J29" s="1"/>
  <c r="I283"/>
  <c r="O123" i="43" l="1"/>
  <c r="BD193"/>
  <c r="O205"/>
  <c r="J202" i="34"/>
  <c r="J297" l="1"/>
  <c r="K11"/>
  <c r="K29" s="1"/>
  <c r="K202" l="1"/>
  <c r="L11"/>
  <c r="L29" s="1"/>
  <c r="M11" l="1"/>
  <c r="M29" s="1"/>
  <c r="L202"/>
  <c r="M202" l="1"/>
  <c r="N11"/>
  <c r="N29" s="1"/>
  <c r="O11" l="1"/>
  <c r="O29" s="1"/>
  <c r="N202"/>
  <c r="O202" l="1"/>
  <c r="N331" i="29" l="1"/>
  <c r="J290"/>
  <c r="J289"/>
  <c r="J296" s="1"/>
  <c r="L285"/>
  <c r="BN283"/>
  <c r="I283"/>
  <c r="BM134"/>
  <c r="P133"/>
  <c r="BN132"/>
  <c r="BN134" s="1"/>
  <c r="P129"/>
  <c r="N128"/>
  <c r="K128"/>
  <c r="AY127"/>
  <c r="P127"/>
  <c r="P126"/>
  <c r="L125"/>
  <c r="L124"/>
  <c r="M124" s="1"/>
  <c r="N124" s="1"/>
  <c r="O124" s="1"/>
  <c r="P123"/>
  <c r="AP122"/>
  <c r="Z122"/>
  <c r="P122"/>
  <c r="P121"/>
  <c r="P120"/>
  <c r="BE119"/>
  <c r="AZ119"/>
  <c r="AX119"/>
  <c r="P119"/>
  <c r="AP118"/>
  <c r="J118"/>
  <c r="G118"/>
  <c r="AY118" s="1"/>
  <c r="K117"/>
  <c r="P117" s="1"/>
  <c r="P116"/>
  <c r="P115"/>
  <c r="P114"/>
  <c r="P113"/>
  <c r="P112"/>
  <c r="P111"/>
  <c r="P110"/>
  <c r="O109"/>
  <c r="P109" s="1"/>
  <c r="O108"/>
  <c r="N108"/>
  <c r="P108" s="1"/>
  <c r="C108"/>
  <c r="J107"/>
  <c r="J132" s="1"/>
  <c r="I107"/>
  <c r="I132" s="1"/>
  <c r="H107"/>
  <c r="H132" s="1"/>
  <c r="G107"/>
  <c r="G132" s="1"/>
  <c r="F107"/>
  <c r="F132" s="1"/>
  <c r="E107"/>
  <c r="E132" s="1"/>
  <c r="D107"/>
  <c r="D132" s="1"/>
  <c r="O106"/>
  <c r="P106" s="1"/>
  <c r="M105"/>
  <c r="P105" s="1"/>
  <c r="M104"/>
  <c r="M94"/>
  <c r="L92"/>
  <c r="M88"/>
  <c r="L88"/>
  <c r="M67"/>
  <c r="M63"/>
  <c r="L63"/>
  <c r="L58"/>
  <c r="M58" s="1"/>
  <c r="M57"/>
  <c r="P56"/>
  <c r="M48"/>
  <c r="L48"/>
  <c r="L40"/>
  <c r="K37"/>
  <c r="K107" s="1"/>
  <c r="K132" s="1"/>
  <c r="P35"/>
  <c r="P34"/>
  <c r="P33"/>
  <c r="P32"/>
  <c r="P31"/>
  <c r="P29"/>
  <c r="AX28"/>
  <c r="E28"/>
  <c r="P27"/>
  <c r="L26"/>
  <c r="P25"/>
  <c r="P24"/>
  <c r="P23"/>
  <c r="P22"/>
  <c r="P21"/>
  <c r="P20"/>
  <c r="O19"/>
  <c r="N19"/>
  <c r="M19"/>
  <c r="O18"/>
  <c r="N18"/>
  <c r="M18"/>
  <c r="L18"/>
  <c r="K18"/>
  <c r="J18"/>
  <c r="J19" s="1"/>
  <c r="I18"/>
  <c r="I19" s="1"/>
  <c r="K19" s="1"/>
  <c r="L19" s="1"/>
  <c r="H18"/>
  <c r="G18"/>
  <c r="G19" s="1"/>
  <c r="F18"/>
  <c r="D18"/>
  <c r="N17"/>
  <c r="O17" s="1"/>
  <c r="B17"/>
  <c r="K16"/>
  <c r="J15"/>
  <c r="J28" s="1"/>
  <c r="I15"/>
  <c r="I28" s="1"/>
  <c r="P11"/>
  <c r="O10"/>
  <c r="N10"/>
  <c r="N103" s="1"/>
  <c r="M10"/>
  <c r="J10"/>
  <c r="I10"/>
  <c r="H10"/>
  <c r="G10"/>
  <c r="F10"/>
  <c r="E10"/>
  <c r="AY5"/>
  <c r="P128" l="1"/>
  <c r="N48"/>
  <c r="O48" s="1"/>
  <c r="N58"/>
  <c r="O58" s="1"/>
  <c r="N63"/>
  <c r="O63" s="1"/>
  <c r="O103"/>
  <c r="P103" s="1"/>
  <c r="L16"/>
  <c r="M16" s="1"/>
  <c r="N16" s="1"/>
  <c r="O16" s="1"/>
  <c r="P17"/>
  <c r="P18"/>
  <c r="F19"/>
  <c r="F28" s="1"/>
  <c r="H19"/>
  <c r="H28" s="1"/>
  <c r="M26"/>
  <c r="N26" s="1"/>
  <c r="O26" s="1"/>
  <c r="G28"/>
  <c r="N36"/>
  <c r="N37"/>
  <c r="O37" s="1"/>
  <c r="N39"/>
  <c r="M40"/>
  <c r="N41"/>
  <c r="N43"/>
  <c r="N45"/>
  <c r="N47"/>
  <c r="N49"/>
  <c r="N51"/>
  <c r="N53"/>
  <c r="N55"/>
  <c r="P58"/>
  <c r="N60"/>
  <c r="N62"/>
  <c r="N64"/>
  <c r="N66"/>
  <c r="N67"/>
  <c r="O67" s="1"/>
  <c r="N69"/>
  <c r="N71"/>
  <c r="N73"/>
  <c r="N75"/>
  <c r="N77"/>
  <c r="N79"/>
  <c r="N81"/>
  <c r="N83"/>
  <c r="N85"/>
  <c r="N87"/>
  <c r="N89"/>
  <c r="N91"/>
  <c r="M92"/>
  <c r="N92" s="1"/>
  <c r="O92" s="1"/>
  <c r="N93"/>
  <c r="N94"/>
  <c r="O94" s="1"/>
  <c r="N96"/>
  <c r="N98"/>
  <c r="N100"/>
  <c r="N102"/>
  <c r="L107"/>
  <c r="P124"/>
  <c r="M125"/>
  <c r="N125" s="1"/>
  <c r="O125" s="1"/>
  <c r="AY128"/>
  <c r="K15"/>
  <c r="D19"/>
  <c r="P19" s="1"/>
  <c r="N38"/>
  <c r="N42"/>
  <c r="N44"/>
  <c r="N46"/>
  <c r="N50"/>
  <c r="N52"/>
  <c r="N54"/>
  <c r="N57"/>
  <c r="O57" s="1"/>
  <c r="N59"/>
  <c r="N61"/>
  <c r="N65"/>
  <c r="N68"/>
  <c r="N70"/>
  <c r="N72"/>
  <c r="N74"/>
  <c r="N76"/>
  <c r="N78"/>
  <c r="N80"/>
  <c r="N82"/>
  <c r="N84"/>
  <c r="N86"/>
  <c r="N88"/>
  <c r="O88" s="1"/>
  <c r="N90"/>
  <c r="N95"/>
  <c r="N97"/>
  <c r="N99"/>
  <c r="N101"/>
  <c r="N104"/>
  <c r="O104" s="1"/>
  <c r="P118"/>
  <c r="P37" l="1"/>
  <c r="P48"/>
  <c r="P63"/>
  <c r="O95"/>
  <c r="P95" s="1"/>
  <c r="O84"/>
  <c r="P84" s="1"/>
  <c r="O80"/>
  <c r="P80" s="1"/>
  <c r="O76"/>
  <c r="P76" s="1"/>
  <c r="O72"/>
  <c r="P72" s="1"/>
  <c r="O68"/>
  <c r="P68" s="1"/>
  <c r="O61"/>
  <c r="P61" s="1"/>
  <c r="O52"/>
  <c r="P52" s="1"/>
  <c r="O46"/>
  <c r="P46" s="1"/>
  <c r="O42"/>
  <c r="P42" s="1"/>
  <c r="L284"/>
  <c r="L286" s="1"/>
  <c r="L132"/>
  <c r="O100"/>
  <c r="P100" s="1"/>
  <c r="O96"/>
  <c r="P96" s="1"/>
  <c r="O93"/>
  <c r="P93" s="1"/>
  <c r="O91"/>
  <c r="P91" s="1"/>
  <c r="O87"/>
  <c r="P87" s="1"/>
  <c r="O83"/>
  <c r="P83" s="1"/>
  <c r="O79"/>
  <c r="P79" s="1"/>
  <c r="O75"/>
  <c r="P75" s="1"/>
  <c r="O71"/>
  <c r="P71" s="1"/>
  <c r="O64"/>
  <c r="P64" s="1"/>
  <c r="O60"/>
  <c r="P60" s="1"/>
  <c r="O55"/>
  <c r="P55" s="1"/>
  <c r="O51"/>
  <c r="P51" s="1"/>
  <c r="O47"/>
  <c r="P47" s="1"/>
  <c r="O43"/>
  <c r="P43" s="1"/>
  <c r="M107"/>
  <c r="M132" s="1"/>
  <c r="N40"/>
  <c r="O40" s="1"/>
  <c r="O36"/>
  <c r="N107"/>
  <c r="N132" s="1"/>
  <c r="P36"/>
  <c r="P104"/>
  <c r="P88"/>
  <c r="D28"/>
  <c r="P67"/>
  <c r="P40"/>
  <c r="O99"/>
  <c r="P99" s="1"/>
  <c r="O101"/>
  <c r="P101" s="1"/>
  <c r="O97"/>
  <c r="P97" s="1"/>
  <c r="O90"/>
  <c r="P90" s="1"/>
  <c r="O86"/>
  <c r="P86" s="1"/>
  <c r="O82"/>
  <c r="P82" s="1"/>
  <c r="O78"/>
  <c r="P78" s="1"/>
  <c r="O74"/>
  <c r="P74" s="1"/>
  <c r="O70"/>
  <c r="P70" s="1"/>
  <c r="O65"/>
  <c r="P65" s="1"/>
  <c r="O59"/>
  <c r="P59" s="1"/>
  <c r="R59" s="1"/>
  <c r="O54"/>
  <c r="P54" s="1"/>
  <c r="O50"/>
  <c r="P50" s="1"/>
  <c r="O44"/>
  <c r="P44" s="1"/>
  <c r="O38"/>
  <c r="P38" s="1"/>
  <c r="K28"/>
  <c r="L15"/>
  <c r="O102"/>
  <c r="P102" s="1"/>
  <c r="O98"/>
  <c r="P98" s="1"/>
  <c r="O89"/>
  <c r="P89" s="1"/>
  <c r="O85"/>
  <c r="P85" s="1"/>
  <c r="O81"/>
  <c r="P81" s="1"/>
  <c r="O77"/>
  <c r="P77" s="1"/>
  <c r="O73"/>
  <c r="P73" s="1"/>
  <c r="O69"/>
  <c r="P69" s="1"/>
  <c r="O66"/>
  <c r="P66" s="1"/>
  <c r="O62"/>
  <c r="P62" s="1"/>
  <c r="O53"/>
  <c r="P53" s="1"/>
  <c r="O49"/>
  <c r="P49" s="1"/>
  <c r="O45"/>
  <c r="P45" s="1"/>
  <c r="O41"/>
  <c r="P41" s="1"/>
  <c r="O39"/>
  <c r="P39" s="1"/>
  <c r="P125"/>
  <c r="P92"/>
  <c r="P26"/>
  <c r="P94"/>
  <c r="P57"/>
  <c r="P16"/>
  <c r="L28" l="1"/>
  <c r="M15"/>
  <c r="D30"/>
  <c r="O107"/>
  <c r="O132" l="1"/>
  <c r="P132" s="1"/>
  <c r="P107"/>
  <c r="D134"/>
  <c r="E12" s="1"/>
  <c r="E30" s="1"/>
  <c r="D203"/>
  <c r="M28"/>
  <c r="N15"/>
  <c r="N28" l="1"/>
  <c r="P28" s="1"/>
  <c r="P30" s="1"/>
  <c r="P134" s="1"/>
  <c r="P137" s="1"/>
  <c r="O15"/>
  <c r="O28" s="1"/>
  <c r="P15"/>
  <c r="E203"/>
  <c r="E134"/>
  <c r="F12" s="1"/>
  <c r="F30" s="1"/>
  <c r="F134" l="1"/>
  <c r="G12" s="1"/>
  <c r="G30" s="1"/>
  <c r="F203"/>
  <c r="G203" l="1"/>
  <c r="G134"/>
  <c r="H12" s="1"/>
  <c r="H30" s="1"/>
  <c r="H134" l="1"/>
  <c r="I12" s="1"/>
  <c r="I30" s="1"/>
  <c r="H203"/>
  <c r="I203" l="1"/>
  <c r="I134"/>
  <c r="J12" l="1"/>
  <c r="J30" s="1"/>
  <c r="I284"/>
  <c r="J134" l="1"/>
  <c r="J203"/>
  <c r="J298" l="1"/>
  <c r="K12"/>
  <c r="K30" s="1"/>
  <c r="K203" l="1"/>
  <c r="K134"/>
  <c r="L12" s="1"/>
  <c r="L30" s="1"/>
  <c r="L134" l="1"/>
  <c r="M12" s="1"/>
  <c r="M30" s="1"/>
  <c r="L203"/>
  <c r="M203" l="1"/>
  <c r="M134"/>
  <c r="N12" s="1"/>
  <c r="N30" s="1"/>
  <c r="N134" l="1"/>
  <c r="O12" s="1"/>
  <c r="O30" s="1"/>
  <c r="N203"/>
  <c r="O203" l="1"/>
  <c r="O134"/>
  <c r="O12" i="28" l="1"/>
  <c r="O13"/>
  <c r="O14"/>
  <c r="O15"/>
  <c r="O16"/>
  <c r="O17"/>
  <c r="O18"/>
  <c r="O19"/>
  <c r="O20"/>
  <c r="O21"/>
  <c r="O11"/>
  <c r="K15"/>
  <c r="L15" s="1"/>
  <c r="M15" s="1"/>
  <c r="N15" s="1"/>
  <c r="K16"/>
  <c r="L16" s="1"/>
  <c r="M16" s="1"/>
  <c r="N16" s="1"/>
  <c r="K18"/>
  <c r="L18" s="1"/>
  <c r="M18" s="1"/>
  <c r="N18" s="1"/>
  <c r="J18"/>
  <c r="J16"/>
  <c r="J15"/>
  <c r="G16" l="1"/>
  <c r="G17"/>
  <c r="G18"/>
  <c r="G15"/>
  <c r="G22" s="1"/>
  <c r="F22"/>
  <c r="H22"/>
  <c r="I22"/>
  <c r="J22"/>
  <c r="K22"/>
  <c r="K25" s="1"/>
  <c r="L22"/>
  <c r="L25" s="1"/>
  <c r="M22"/>
  <c r="M25" s="1"/>
  <c r="N22"/>
  <c r="E22"/>
  <c r="J117" i="1"/>
  <c r="G117"/>
  <c r="O22" i="28" l="1"/>
  <c r="Q21" i="24"/>
  <c r="Q22"/>
  <c r="Q33"/>
  <c r="Q34"/>
  <c r="Q35"/>
  <c r="Q36"/>
  <c r="Q41"/>
  <c r="Q42"/>
  <c r="Q43"/>
  <c r="Q44"/>
  <c r="Q45"/>
  <c r="Q48"/>
  <c r="Q56"/>
  <c r="Q59"/>
  <c r="Q14"/>
  <c r="C58"/>
  <c r="D40"/>
  <c r="D10"/>
  <c r="D46"/>
  <c r="D51"/>
  <c r="D52"/>
  <c r="D53"/>
  <c r="D39"/>
  <c r="D38"/>
  <c r="D37"/>
  <c r="D32"/>
  <c r="D31"/>
  <c r="D30"/>
  <c r="D27"/>
  <c r="D24"/>
  <c r="D23"/>
  <c r="D20"/>
  <c r="D19"/>
  <c r="D17"/>
  <c r="D13"/>
  <c r="D12"/>
  <c r="D11"/>
  <c r="D60"/>
  <c r="D58"/>
  <c r="D50"/>
  <c r="Q49"/>
  <c r="B100"/>
  <c r="G62"/>
  <c r="Q58" l="1"/>
  <c r="P58"/>
  <c r="Q11"/>
  <c r="P11"/>
  <c r="Q13"/>
  <c r="P13"/>
  <c r="Q19"/>
  <c r="P19"/>
  <c r="Q23"/>
  <c r="P23"/>
  <c r="Q27"/>
  <c r="P27"/>
  <c r="Q31"/>
  <c r="P31"/>
  <c r="Q37"/>
  <c r="P37"/>
  <c r="Q39"/>
  <c r="P39"/>
  <c r="Q52"/>
  <c r="P52"/>
  <c r="Q46"/>
  <c r="P46"/>
  <c r="Q40"/>
  <c r="P40"/>
  <c r="Q50"/>
  <c r="P50"/>
  <c r="P60"/>
  <c r="Q60" s="1"/>
  <c r="P12"/>
  <c r="Q12" s="1"/>
  <c r="P17"/>
  <c r="Q17" s="1"/>
  <c r="P20"/>
  <c r="Q20" s="1"/>
  <c r="P24"/>
  <c r="Q24" s="1"/>
  <c r="P30"/>
  <c r="Q30" s="1"/>
  <c r="P32"/>
  <c r="Q32" s="1"/>
  <c r="P38"/>
  <c r="Q38" s="1"/>
  <c r="P53"/>
  <c r="Q53" s="1"/>
  <c r="P51"/>
  <c r="Q51" s="1"/>
  <c r="P10"/>
  <c r="Q10" s="1"/>
  <c r="Q57"/>
  <c r="G100"/>
  <c r="G102" s="1"/>
  <c r="E62" l="1"/>
  <c r="F62"/>
  <c r="S61"/>
  <c r="S62" s="1"/>
  <c r="T61"/>
  <c r="T62" s="1"/>
  <c r="U61"/>
  <c r="U62" s="1"/>
  <c r="V61"/>
  <c r="V62" s="1"/>
  <c r="C55"/>
  <c r="Q55" s="1"/>
  <c r="C54"/>
  <c r="D54" s="1"/>
  <c r="P54" s="1"/>
  <c r="C61" l="1"/>
  <c r="Q47"/>
  <c r="D62"/>
  <c r="D99"/>
  <c r="Q54" l="1"/>
  <c r="P62"/>
  <c r="Q61" l="1"/>
  <c r="AE44" i="20" l="1"/>
  <c r="AE33" s="1"/>
  <c r="AD33"/>
  <c r="AD32"/>
  <c r="AD31"/>
  <c r="AD30"/>
  <c r="AE32"/>
  <c r="AE31"/>
  <c r="AE30"/>
  <c r="AE29"/>
  <c r="AD29"/>
  <c r="K116" i="22"/>
  <c r="H116"/>
  <c r="K115"/>
  <c r="K114"/>
  <c r="H114"/>
  <c r="K113" s="1"/>
  <c r="K117" s="1"/>
  <c r="H110"/>
  <c r="H109"/>
  <c r="P52" i="21"/>
  <c r="N52"/>
  <c r="L52"/>
  <c r="K52"/>
  <c r="J52"/>
  <c r="I52"/>
  <c r="H52"/>
  <c r="H50"/>
  <c r="AE34" i="20" l="1"/>
  <c r="I28" i="19"/>
  <c r="I30"/>
  <c r="I31"/>
  <c r="I32"/>
  <c r="I33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30"/>
  <c r="I131"/>
  <c r="I132"/>
  <c r="I133"/>
  <c r="I134"/>
  <c r="I135"/>
  <c r="I136"/>
  <c r="J123"/>
  <c r="C137"/>
  <c r="D88" i="15"/>
  <c r="D97"/>
  <c r="E29"/>
  <c r="F29" s="1"/>
  <c r="G29" s="1"/>
  <c r="H29" s="1"/>
  <c r="I29" s="1"/>
  <c r="J29" s="1"/>
  <c r="K29" s="1"/>
  <c r="L29" s="1"/>
  <c r="M29" s="1"/>
  <c r="N29" s="1"/>
  <c r="O29" s="1"/>
  <c r="D226"/>
  <c r="D230"/>
  <c r="D229"/>
  <c r="D227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1"/>
  <c r="D52"/>
  <c r="D54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7"/>
  <c r="D89"/>
  <c r="D90"/>
  <c r="D91"/>
  <c r="D92"/>
  <c r="D94"/>
  <c r="D95"/>
  <c r="D96"/>
  <c r="D30"/>
  <c r="D20"/>
  <c r="O86" i="10"/>
  <c r="C38" i="14"/>
  <c r="C80"/>
  <c r="M86" i="10"/>
  <c r="G86"/>
  <c r="D88"/>
  <c r="G88"/>
  <c r="D60" i="8"/>
  <c r="C127" i="19"/>
  <c r="C114"/>
  <c r="C112"/>
  <c r="C110"/>
  <c r="C136"/>
  <c r="C121"/>
  <c r="C120"/>
  <c r="C109"/>
  <c r="M47" i="1"/>
  <c r="L47"/>
  <c r="D11" i="19"/>
  <c r="F202" i="15"/>
  <c r="E202"/>
  <c r="D202"/>
  <c r="D16" i="10"/>
  <c r="K17" i="9"/>
  <c r="G17"/>
  <c r="D17"/>
  <c r="O202" i="15"/>
  <c r="N202"/>
  <c r="M202"/>
  <c r="L202"/>
  <c r="K202"/>
  <c r="J202"/>
  <c r="I202"/>
  <c r="H202"/>
  <c r="G202"/>
  <c r="M16" i="8"/>
  <c r="I16"/>
  <c r="E16"/>
  <c r="P19" i="10" l="1"/>
  <c r="P20"/>
  <c r="G25" i="19" s="1"/>
  <c r="P103" i="10"/>
  <c r="P104"/>
  <c r="P105"/>
  <c r="P107"/>
  <c r="P108"/>
  <c r="P109"/>
  <c r="P110"/>
  <c r="P114"/>
  <c r="G70" i="9" l="1"/>
  <c r="E112" i="15"/>
  <c r="F112" s="1"/>
  <c r="G112" s="1"/>
  <c r="H112" s="1"/>
  <c r="I112" s="1"/>
  <c r="J112" s="1"/>
  <c r="K112" s="1"/>
  <c r="L112" s="1"/>
  <c r="M112" s="1"/>
  <c r="N112" s="1"/>
  <c r="O112" s="1"/>
  <c r="L112" i="10"/>
  <c r="N112" s="1"/>
  <c r="O112" s="1"/>
  <c r="P15" i="18"/>
  <c r="N15"/>
  <c r="N37" s="1"/>
  <c r="K15"/>
  <c r="P22"/>
  <c r="M2"/>
  <c r="H15"/>
  <c r="I15" s="1"/>
  <c r="AY16" i="10"/>
  <c r="I17" i="18"/>
  <c r="I18" s="1"/>
  <c r="H22"/>
  <c r="I22" s="1"/>
  <c r="N75"/>
  <c r="N22"/>
  <c r="H23"/>
  <c r="Y87"/>
  <c r="Y88"/>
  <c r="Y89"/>
  <c r="Y23"/>
  <c r="F23"/>
  <c r="K23" s="1"/>
  <c r="F24"/>
  <c r="P24" s="1"/>
  <c r="F25"/>
  <c r="K25" s="1"/>
  <c r="F26"/>
  <c r="P26" s="1"/>
  <c r="F27"/>
  <c r="K27" s="1"/>
  <c r="F28"/>
  <c r="P28" s="1"/>
  <c r="F29"/>
  <c r="K29" s="1"/>
  <c r="F30"/>
  <c r="P30" s="1"/>
  <c r="F31"/>
  <c r="K31" s="1"/>
  <c r="F32"/>
  <c r="P32" s="1"/>
  <c r="F33"/>
  <c r="K33" s="1"/>
  <c r="F34"/>
  <c r="P34" s="1"/>
  <c r="F35"/>
  <c r="K35" s="1"/>
  <c r="F36"/>
  <c r="P36" s="1"/>
  <c r="F37"/>
  <c r="K37" s="1"/>
  <c r="F38"/>
  <c r="P38" s="1"/>
  <c r="F39"/>
  <c r="K39" s="1"/>
  <c r="F40"/>
  <c r="P40" s="1"/>
  <c r="F41"/>
  <c r="K41" s="1"/>
  <c r="F42"/>
  <c r="P42" s="1"/>
  <c r="F43"/>
  <c r="K43" s="1"/>
  <c r="F44"/>
  <c r="P44" s="1"/>
  <c r="F45"/>
  <c r="K45" s="1"/>
  <c r="F46"/>
  <c r="P46" s="1"/>
  <c r="F47"/>
  <c r="K47" s="1"/>
  <c r="F48"/>
  <c r="P48" s="1"/>
  <c r="F49"/>
  <c r="K49" s="1"/>
  <c r="F50"/>
  <c r="P50" s="1"/>
  <c r="F51"/>
  <c r="K51" s="1"/>
  <c r="F52"/>
  <c r="P52" s="1"/>
  <c r="F53"/>
  <c r="K53" s="1"/>
  <c r="F54"/>
  <c r="P54" s="1"/>
  <c r="F55"/>
  <c r="K55" s="1"/>
  <c r="F56"/>
  <c r="P56" s="1"/>
  <c r="F57"/>
  <c r="K57" s="1"/>
  <c r="F58"/>
  <c r="P58" s="1"/>
  <c r="F59"/>
  <c r="K59" s="1"/>
  <c r="F60"/>
  <c r="P60" s="1"/>
  <c r="F61"/>
  <c r="K61" s="1"/>
  <c r="F62"/>
  <c r="P62" s="1"/>
  <c r="F63"/>
  <c r="K63" s="1"/>
  <c r="F64"/>
  <c r="P64" s="1"/>
  <c r="F65"/>
  <c r="K65" s="1"/>
  <c r="F66"/>
  <c r="P66" s="1"/>
  <c r="F67"/>
  <c r="K67" s="1"/>
  <c r="F68"/>
  <c r="P68" s="1"/>
  <c r="F69"/>
  <c r="K69" s="1"/>
  <c r="F70"/>
  <c r="P70" s="1"/>
  <c r="F71"/>
  <c r="K71" s="1"/>
  <c r="F72"/>
  <c r="P72" s="1"/>
  <c r="F73"/>
  <c r="K73" s="1"/>
  <c r="F74"/>
  <c r="P74" s="1"/>
  <c r="F75"/>
  <c r="K75" s="1"/>
  <c r="F76"/>
  <c r="P76" s="1"/>
  <c r="F77"/>
  <c r="P77" s="1"/>
  <c r="F78"/>
  <c r="P78" s="1"/>
  <c r="F79"/>
  <c r="P79" s="1"/>
  <c r="F80"/>
  <c r="P80" s="1"/>
  <c r="F81"/>
  <c r="P81" s="1"/>
  <c r="F82"/>
  <c r="P82" s="1"/>
  <c r="F83"/>
  <c r="P83" s="1"/>
  <c r="F84"/>
  <c r="P84" s="1"/>
  <c r="F85"/>
  <c r="P85" s="1"/>
  <c r="F86"/>
  <c r="P86" s="1"/>
  <c r="F87"/>
  <c r="P87" s="1"/>
  <c r="F88"/>
  <c r="P88" s="1"/>
  <c r="F89"/>
  <c r="P89" s="1"/>
  <c r="F90"/>
  <c r="P90" s="1"/>
  <c r="F91"/>
  <c r="P91" s="1"/>
  <c r="F92"/>
  <c r="P92" s="1"/>
  <c r="F93"/>
  <c r="P93" s="1"/>
  <c r="F94"/>
  <c r="P94" s="1"/>
  <c r="F95"/>
  <c r="P95" s="1"/>
  <c r="F96"/>
  <c r="P96" s="1"/>
  <c r="F97"/>
  <c r="P97" s="1"/>
  <c r="F98"/>
  <c r="P98" s="1"/>
  <c r="F99"/>
  <c r="P99" s="1"/>
  <c r="F100"/>
  <c r="N100" s="1"/>
  <c r="F101"/>
  <c r="K101" s="1"/>
  <c r="F102"/>
  <c r="N102" s="1"/>
  <c r="F103"/>
  <c r="K103" s="1"/>
  <c r="H24"/>
  <c r="Y24" s="1"/>
  <c r="H25"/>
  <c r="Y25" s="1"/>
  <c r="H26"/>
  <c r="Y26" s="1"/>
  <c r="H27"/>
  <c r="Y27" s="1"/>
  <c r="H28"/>
  <c r="Y28" s="1"/>
  <c r="H29"/>
  <c r="Y29" s="1"/>
  <c r="H30"/>
  <c r="Y30" s="1"/>
  <c r="H31"/>
  <c r="Y31" s="1"/>
  <c r="H32"/>
  <c r="Y32" s="1"/>
  <c r="H33"/>
  <c r="Y33" s="1"/>
  <c r="H34"/>
  <c r="Y34" s="1"/>
  <c r="H35"/>
  <c r="Y35" s="1"/>
  <c r="H36"/>
  <c r="Y36" s="1"/>
  <c r="H37"/>
  <c r="Y37" s="1"/>
  <c r="H38"/>
  <c r="Y38" s="1"/>
  <c r="H39"/>
  <c r="Y39" s="1"/>
  <c r="H40"/>
  <c r="Y40" s="1"/>
  <c r="H41"/>
  <c r="Y41" s="1"/>
  <c r="H42"/>
  <c r="Y42" s="1"/>
  <c r="H43"/>
  <c r="Y43" s="1"/>
  <c r="H44"/>
  <c r="Y44" s="1"/>
  <c r="H45"/>
  <c r="Y45" s="1"/>
  <c r="H46"/>
  <c r="Y46" s="1"/>
  <c r="H47"/>
  <c r="Y47" s="1"/>
  <c r="H48"/>
  <c r="Y48" s="1"/>
  <c r="H49"/>
  <c r="Y49" s="1"/>
  <c r="H50"/>
  <c r="Y50" s="1"/>
  <c r="H51"/>
  <c r="Y51" s="1"/>
  <c r="H52"/>
  <c r="Y52" s="1"/>
  <c r="H53"/>
  <c r="Y53" s="1"/>
  <c r="H54"/>
  <c r="Y54" s="1"/>
  <c r="H55"/>
  <c r="Y55" s="1"/>
  <c r="H56"/>
  <c r="Y56" s="1"/>
  <c r="H57"/>
  <c r="Y57" s="1"/>
  <c r="H58"/>
  <c r="Y58" s="1"/>
  <c r="H59"/>
  <c r="Y59" s="1"/>
  <c r="H60"/>
  <c r="Y60" s="1"/>
  <c r="H61"/>
  <c r="Y61" s="1"/>
  <c r="H62"/>
  <c r="Y62" s="1"/>
  <c r="H63"/>
  <c r="Y63" s="1"/>
  <c r="H64"/>
  <c r="Y64" s="1"/>
  <c r="H65"/>
  <c r="Y65" s="1"/>
  <c r="H66"/>
  <c r="Y66" s="1"/>
  <c r="H67"/>
  <c r="Y67" s="1"/>
  <c r="H68"/>
  <c r="Y68" s="1"/>
  <c r="H69"/>
  <c r="Y69" s="1"/>
  <c r="H70"/>
  <c r="Y70" s="1"/>
  <c r="H71"/>
  <c r="Y71" s="1"/>
  <c r="H72"/>
  <c r="Y72" s="1"/>
  <c r="H73"/>
  <c r="Y73" s="1"/>
  <c r="H74"/>
  <c r="Y74" s="1"/>
  <c r="H75"/>
  <c r="Y75" s="1"/>
  <c r="H76"/>
  <c r="H77"/>
  <c r="H78"/>
  <c r="H79"/>
  <c r="Y79" s="1"/>
  <c r="H80"/>
  <c r="Y80" s="1"/>
  <c r="H81"/>
  <c r="Y81" s="1"/>
  <c r="H82"/>
  <c r="Y82" s="1"/>
  <c r="H83"/>
  <c r="Y83" s="1"/>
  <c r="H84"/>
  <c r="H85"/>
  <c r="H86"/>
  <c r="Y86" s="1"/>
  <c r="H87"/>
  <c r="H88"/>
  <c r="H89"/>
  <c r="H90"/>
  <c r="H91"/>
  <c r="H92"/>
  <c r="H93"/>
  <c r="H94"/>
  <c r="H95"/>
  <c r="H96"/>
  <c r="H97"/>
  <c r="H98"/>
  <c r="H99"/>
  <c r="H100"/>
  <c r="H101"/>
  <c r="H102"/>
  <c r="H103"/>
  <c r="F104"/>
  <c r="F22"/>
  <c r="P107" i="9"/>
  <c r="P108"/>
  <c r="K102" i="18" l="1"/>
  <c r="K100"/>
  <c r="K98"/>
  <c r="K96"/>
  <c r="K94"/>
  <c r="K92"/>
  <c r="K90"/>
  <c r="K88"/>
  <c r="K86"/>
  <c r="K84"/>
  <c r="K82"/>
  <c r="K80"/>
  <c r="K78"/>
  <c r="K76"/>
  <c r="K74"/>
  <c r="K72"/>
  <c r="K70"/>
  <c r="K68"/>
  <c r="K66"/>
  <c r="K64"/>
  <c r="K62"/>
  <c r="K60"/>
  <c r="K58"/>
  <c r="K56"/>
  <c r="K54"/>
  <c r="K52"/>
  <c r="K50"/>
  <c r="K48"/>
  <c r="K46"/>
  <c r="K44"/>
  <c r="K42"/>
  <c r="K40"/>
  <c r="K38"/>
  <c r="K36"/>
  <c r="K34"/>
  <c r="K32"/>
  <c r="K30"/>
  <c r="K28"/>
  <c r="K26"/>
  <c r="K24"/>
  <c r="N98"/>
  <c r="N96"/>
  <c r="N94"/>
  <c r="N92"/>
  <c r="N90"/>
  <c r="N88"/>
  <c r="N86"/>
  <c r="N84"/>
  <c r="N82"/>
  <c r="N80"/>
  <c r="N78"/>
  <c r="N64"/>
  <c r="K99"/>
  <c r="K97"/>
  <c r="K95"/>
  <c r="K93"/>
  <c r="K91"/>
  <c r="K89"/>
  <c r="K87"/>
  <c r="K85"/>
  <c r="K83"/>
  <c r="K81"/>
  <c r="K79"/>
  <c r="K77"/>
  <c r="N103"/>
  <c r="N101"/>
  <c r="N99"/>
  <c r="N97"/>
  <c r="N95"/>
  <c r="N93"/>
  <c r="N91"/>
  <c r="N89"/>
  <c r="N87"/>
  <c r="N85"/>
  <c r="N83"/>
  <c r="N81"/>
  <c r="N79"/>
  <c r="N77"/>
  <c r="N71"/>
  <c r="N29"/>
  <c r="K22"/>
  <c r="P23"/>
  <c r="P75"/>
  <c r="P73"/>
  <c r="P71"/>
  <c r="P69"/>
  <c r="P67"/>
  <c r="P65"/>
  <c r="P63"/>
  <c r="P61"/>
  <c r="P59"/>
  <c r="P57"/>
  <c r="P55"/>
  <c r="P53"/>
  <c r="P51"/>
  <c r="P49"/>
  <c r="P47"/>
  <c r="P45"/>
  <c r="P43"/>
  <c r="P41"/>
  <c r="P39"/>
  <c r="P37"/>
  <c r="P35"/>
  <c r="P33"/>
  <c r="P31"/>
  <c r="P29"/>
  <c r="P27"/>
  <c r="P25"/>
  <c r="N45"/>
  <c r="N76"/>
  <c r="N73"/>
  <c r="N68"/>
  <c r="N53"/>
  <c r="N24"/>
  <c r="N60"/>
  <c r="N74"/>
  <c r="N72"/>
  <c r="N70"/>
  <c r="N66"/>
  <c r="N62"/>
  <c r="N57"/>
  <c r="N49"/>
  <c r="N69"/>
  <c r="N67"/>
  <c r="N65"/>
  <c r="N63"/>
  <c r="N61"/>
  <c r="N59"/>
  <c r="N55"/>
  <c r="N51"/>
  <c r="N47"/>
  <c r="N41"/>
  <c r="N33"/>
  <c r="N25"/>
  <c r="N58"/>
  <c r="N56"/>
  <c r="N54"/>
  <c r="N52"/>
  <c r="N50"/>
  <c r="N48"/>
  <c r="N46"/>
  <c r="N43"/>
  <c r="N39"/>
  <c r="N35"/>
  <c r="N31"/>
  <c r="N27"/>
  <c r="N23"/>
  <c r="N44"/>
  <c r="N42"/>
  <c r="N40"/>
  <c r="N38"/>
  <c r="N36"/>
  <c r="N34"/>
  <c r="N32"/>
  <c r="N30"/>
  <c r="N28"/>
  <c r="N26"/>
  <c r="Z121" i="1" l="1"/>
  <c r="D15" i="15"/>
  <c r="C305" i="10"/>
  <c r="P119" i="1"/>
  <c r="E113" i="15"/>
  <c r="I113" i="10"/>
  <c r="AR15" i="9"/>
  <c r="J113" i="10" l="1"/>
  <c r="K113" s="1"/>
  <c r="L113" s="1"/>
  <c r="M113" s="1"/>
  <c r="N113" s="1"/>
  <c r="O113" s="1"/>
  <c r="P113"/>
  <c r="F113" i="15"/>
  <c r="G113" s="1"/>
  <c r="H113" s="1"/>
  <c r="I113" s="1"/>
  <c r="AP17" i="9"/>
  <c r="M109" i="8"/>
  <c r="O109" s="1"/>
  <c r="F106" i="10"/>
  <c r="T26" i="16"/>
  <c r="T18"/>
  <c r="T17"/>
  <c r="T11"/>
  <c r="T22" s="1"/>
  <c r="T24" s="1"/>
  <c r="O26"/>
  <c r="O18"/>
  <c r="O17"/>
  <c r="O11"/>
  <c r="O22" s="1"/>
  <c r="O24" s="1"/>
  <c r="J26"/>
  <c r="J18"/>
  <c r="J17"/>
  <c r="J11"/>
  <c r="J22" s="1"/>
  <c r="J24" s="1"/>
  <c r="H26"/>
  <c r="H18"/>
  <c r="H17"/>
  <c r="H11"/>
  <c r="AN6" s="1"/>
  <c r="R22" l="1"/>
  <c r="H22"/>
  <c r="Q22"/>
  <c r="V22" s="1"/>
  <c r="K106" i="9"/>
  <c r="O106" s="1"/>
  <c r="P113" i="15"/>
  <c r="BB113" s="1"/>
  <c r="G106" i="10"/>
  <c r="P106" s="1"/>
  <c r="AN11" i="16"/>
  <c r="AN13" s="1"/>
  <c r="C23" l="1"/>
  <c r="H24"/>
  <c r="L22"/>
  <c r="M22" s="1"/>
  <c r="P106" i="9"/>
  <c r="E116" i="10"/>
  <c r="D33" i="9"/>
  <c r="E24" i="8"/>
  <c r="D211"/>
  <c r="O105" i="1"/>
  <c r="E111" i="10" l="1"/>
  <c r="C108" i="9"/>
  <c r="P212"/>
  <c r="P213" s="1"/>
  <c r="E117" i="15"/>
  <c r="F117"/>
  <c r="G117"/>
  <c r="H117"/>
  <c r="I117"/>
  <c r="J117"/>
  <c r="K117"/>
  <c r="L117"/>
  <c r="M117"/>
  <c r="N117"/>
  <c r="O117"/>
  <c r="D117"/>
  <c r="AX112" i="10"/>
  <c r="AX114" s="1"/>
  <c r="AX115" s="1"/>
  <c r="D212" i="8"/>
  <c r="M208" i="9"/>
  <c r="J223" i="15"/>
  <c r="J218"/>
  <c r="AK9" i="8"/>
  <c r="B155" i="9"/>
  <c r="E111" i="15"/>
  <c r="F111" s="1"/>
  <c r="J111" s="1"/>
  <c r="K111" s="1"/>
  <c r="L111" s="1"/>
  <c r="M111" s="1"/>
  <c r="N111" s="1"/>
  <c r="O111" s="1"/>
  <c r="BE110"/>
  <c r="P117" l="1"/>
  <c r="H137" i="19" s="1"/>
  <c r="I137" s="1"/>
  <c r="C111" i="10"/>
  <c r="C111" i="19"/>
  <c r="P113" i="8"/>
  <c r="AK108" i="9" s="1"/>
  <c r="G17" i="15"/>
  <c r="H17"/>
  <c r="I17"/>
  <c r="J17"/>
  <c r="K17"/>
  <c r="L17"/>
  <c r="M17"/>
  <c r="N17"/>
  <c r="O17"/>
  <c r="G18"/>
  <c r="H18"/>
  <c r="I18"/>
  <c r="J18"/>
  <c r="K18"/>
  <c r="L18"/>
  <c r="M18"/>
  <c r="N18"/>
  <c r="O18"/>
  <c r="F18"/>
  <c r="F17"/>
  <c r="E18"/>
  <c r="E14"/>
  <c r="F14"/>
  <c r="G14"/>
  <c r="H14"/>
  <c r="I14"/>
  <c r="J14"/>
  <c r="K14"/>
  <c r="L14"/>
  <c r="M14"/>
  <c r="N14"/>
  <c r="O14"/>
  <c r="E15"/>
  <c r="F15"/>
  <c r="G15"/>
  <c r="H15"/>
  <c r="I15"/>
  <c r="J15"/>
  <c r="K15"/>
  <c r="L15"/>
  <c r="M15"/>
  <c r="N15"/>
  <c r="O15"/>
  <c r="D14"/>
  <c r="D19"/>
  <c r="N506"/>
  <c r="C489"/>
  <c r="C483"/>
  <c r="J440"/>
  <c r="J439"/>
  <c r="CN433"/>
  <c r="I433"/>
  <c r="D403"/>
  <c r="D402"/>
  <c r="D401"/>
  <c r="D400"/>
  <c r="O397"/>
  <c r="N397"/>
  <c r="M397"/>
  <c r="L397"/>
  <c r="K397"/>
  <c r="J397"/>
  <c r="I397"/>
  <c r="H397"/>
  <c r="G397"/>
  <c r="F397"/>
  <c r="E397"/>
  <c r="D397"/>
  <c r="D395"/>
  <c r="E394" s="1"/>
  <c r="O394"/>
  <c r="N394"/>
  <c r="M394"/>
  <c r="L394"/>
  <c r="K394"/>
  <c r="J394"/>
  <c r="I394"/>
  <c r="H394"/>
  <c r="G394"/>
  <c r="F394"/>
  <c r="D253"/>
  <c r="E242"/>
  <c r="E241"/>
  <c r="BP238"/>
  <c r="CM120"/>
  <c r="P119"/>
  <c r="CN118"/>
  <c r="CN120" s="1"/>
  <c r="L116"/>
  <c r="M116" s="1"/>
  <c r="N116" s="1"/>
  <c r="O116" s="1"/>
  <c r="E116"/>
  <c r="F116" s="1"/>
  <c r="G116" s="1"/>
  <c r="H116" s="1"/>
  <c r="I116" s="1"/>
  <c r="J116" s="1"/>
  <c r="J115"/>
  <c r="K115" s="1"/>
  <c r="L115" s="1"/>
  <c r="M115" s="1"/>
  <c r="N115" s="1"/>
  <c r="O115" s="1"/>
  <c r="E115"/>
  <c r="BZ114"/>
  <c r="P114"/>
  <c r="P109"/>
  <c r="P108"/>
  <c r="P107"/>
  <c r="P106"/>
  <c r="P105"/>
  <c r="P104"/>
  <c r="P103"/>
  <c r="P102"/>
  <c r="BM21"/>
  <c r="D21"/>
  <c r="BM20"/>
  <c r="BM18"/>
  <c r="BM17"/>
  <c r="BM15"/>
  <c r="BM14"/>
  <c r="P9"/>
  <c r="O8"/>
  <c r="N8"/>
  <c r="M8"/>
  <c r="L8"/>
  <c r="K8"/>
  <c r="K32" s="1"/>
  <c r="J8"/>
  <c r="I8"/>
  <c r="I69" s="1"/>
  <c r="H8"/>
  <c r="G8"/>
  <c r="F8"/>
  <c r="E8"/>
  <c r="BM3"/>
  <c r="BM4" s="1"/>
  <c r="D404" l="1"/>
  <c r="D406" s="1"/>
  <c r="D407" s="1"/>
  <c r="J69"/>
  <c r="K69" s="1"/>
  <c r="L69" s="1"/>
  <c r="L32"/>
  <c r="M32" s="1"/>
  <c r="N32" s="1"/>
  <c r="O32" s="1"/>
  <c r="G112" i="10"/>
  <c r="H112" s="1"/>
  <c r="P111"/>
  <c r="AV111" s="1"/>
  <c r="D394" i="15"/>
  <c r="J471"/>
  <c r="E19"/>
  <c r="F19" s="1"/>
  <c r="G19" s="1"/>
  <c r="H19" s="1"/>
  <c r="I19" s="1"/>
  <c r="J19" s="1"/>
  <c r="K19" s="1"/>
  <c r="L19" s="1"/>
  <c r="M19" s="1"/>
  <c r="N19" s="1"/>
  <c r="O19" s="1"/>
  <c r="E20"/>
  <c r="F20" s="1"/>
  <c r="G20" s="1"/>
  <c r="H20" s="1"/>
  <c r="I20" s="1"/>
  <c r="J20" s="1"/>
  <c r="K20" s="1"/>
  <c r="L20" s="1"/>
  <c r="M20" s="1"/>
  <c r="N20" s="1"/>
  <c r="O20" s="1"/>
  <c r="BM22"/>
  <c r="H100"/>
  <c r="I100" s="1"/>
  <c r="J100" s="1"/>
  <c r="H99"/>
  <c r="I99" s="1"/>
  <c r="J99" s="1"/>
  <c r="K99" s="1"/>
  <c r="L99" s="1"/>
  <c r="M99" s="1"/>
  <c r="N99" s="1"/>
  <c r="O99" s="1"/>
  <c r="H98"/>
  <c r="I98" s="1"/>
  <c r="J98" s="1"/>
  <c r="K98" s="1"/>
  <c r="L98" s="1"/>
  <c r="M98" s="1"/>
  <c r="N98" s="1"/>
  <c r="O98" s="1"/>
  <c r="F21"/>
  <c r="G21" s="1"/>
  <c r="P100"/>
  <c r="H105" i="19" s="1"/>
  <c r="E402" i="15"/>
  <c r="F402" s="1"/>
  <c r="G402" s="1"/>
  <c r="H402" s="1"/>
  <c r="I402" s="1"/>
  <c r="J402" s="1"/>
  <c r="K402" s="1"/>
  <c r="L402" s="1"/>
  <c r="M402" s="1"/>
  <c r="N402" s="1"/>
  <c r="O402" s="1"/>
  <c r="E401"/>
  <c r="F401" s="1"/>
  <c r="G401" s="1"/>
  <c r="H401" s="1"/>
  <c r="I401" s="1"/>
  <c r="J401" s="1"/>
  <c r="K401" s="1"/>
  <c r="L401" s="1"/>
  <c r="M401" s="1"/>
  <c r="N401" s="1"/>
  <c r="O401" s="1"/>
  <c r="E403"/>
  <c r="F403" s="1"/>
  <c r="G403" s="1"/>
  <c r="H403" s="1"/>
  <c r="I403" s="1"/>
  <c r="J403" s="1"/>
  <c r="K403" s="1"/>
  <c r="L403" s="1"/>
  <c r="M403" s="1"/>
  <c r="N403" s="1"/>
  <c r="O403" s="1"/>
  <c r="P111"/>
  <c r="F115"/>
  <c r="G115" s="1"/>
  <c r="P116"/>
  <c r="H129" i="19" s="1"/>
  <c r="I129" s="1"/>
  <c r="E400" i="15"/>
  <c r="C170" i="14"/>
  <c r="C173" s="1"/>
  <c r="C174" s="1"/>
  <c r="C176" s="1"/>
  <c r="P115" i="15" l="1"/>
  <c r="M69"/>
  <c r="N69" s="1"/>
  <c r="O69" s="1"/>
  <c r="H20" i="9"/>
  <c r="P20" s="1"/>
  <c r="P19" i="15"/>
  <c r="P20"/>
  <c r="H25" i="19" s="1"/>
  <c r="F400" i="15"/>
  <c r="E404"/>
  <c r="E406" s="1"/>
  <c r="E407" s="1"/>
  <c r="BP241"/>
  <c r="BN240"/>
  <c r="P15"/>
  <c r="H15" i="19" s="1"/>
  <c r="P21" i="15"/>
  <c r="C139" i="14"/>
  <c r="C163"/>
  <c r="D161"/>
  <c r="D160"/>
  <c r="C149"/>
  <c r="C150" s="1"/>
  <c r="C128"/>
  <c r="C132" s="1"/>
  <c r="C133" s="1"/>
  <c r="C135" s="1"/>
  <c r="C136" s="1"/>
  <c r="C137" s="1"/>
  <c r="C121"/>
  <c r="D119"/>
  <c r="D118"/>
  <c r="C107"/>
  <c r="C108" s="1"/>
  <c r="C86"/>
  <c r="C90" s="1"/>
  <c r="C91" s="1"/>
  <c r="C93" s="1"/>
  <c r="C94" s="1"/>
  <c r="C95" s="1"/>
  <c r="C97" s="1"/>
  <c r="D77"/>
  <c r="D76"/>
  <c r="C66"/>
  <c r="C67" s="1"/>
  <c r="C49"/>
  <c r="C50" s="1"/>
  <c r="C52" s="1"/>
  <c r="C53" s="1"/>
  <c r="C54" s="1"/>
  <c r="C56" s="1"/>
  <c r="C45"/>
  <c r="D36"/>
  <c r="D37"/>
  <c r="D33"/>
  <c r="C24"/>
  <c r="C25" s="1"/>
  <c r="C3"/>
  <c r="C7" s="1"/>
  <c r="C8" s="1"/>
  <c r="C10" s="1"/>
  <c r="C11" s="1"/>
  <c r="C12" s="1"/>
  <c r="C14" s="1"/>
  <c r="D34" i="8"/>
  <c r="F19" i="19" l="1"/>
  <c r="P14" i="15"/>
  <c r="H14" i="19" s="1"/>
  <c r="BP242" i="15"/>
  <c r="F404"/>
  <c r="F406" s="1"/>
  <c r="F407" s="1"/>
  <c r="G400"/>
  <c r="D35" i="14"/>
  <c r="D78"/>
  <c r="D116"/>
  <c r="D120"/>
  <c r="D158"/>
  <c r="D162"/>
  <c r="D34"/>
  <c r="D75"/>
  <c r="D79"/>
  <c r="D117"/>
  <c r="D159"/>
  <c r="H400" i="15" l="1"/>
  <c r="G404"/>
  <c r="G406" s="1"/>
  <c r="G407" s="1"/>
  <c r="V43" i="13"/>
  <c r="P43"/>
  <c r="P21"/>
  <c r="V21" s="1"/>
  <c r="L43"/>
  <c r="L29"/>
  <c r="P29" s="1"/>
  <c r="U29" s="1"/>
  <c r="L25"/>
  <c r="P25" s="1"/>
  <c r="U25" s="1"/>
  <c r="D39"/>
  <c r="D40"/>
  <c r="D41"/>
  <c r="D42"/>
  <c r="D38"/>
  <c r="H9"/>
  <c r="H4"/>
  <c r="E6" s="1"/>
  <c r="E14" s="1"/>
  <c r="G16" s="1"/>
  <c r="E19" s="1"/>
  <c r="I112" i="10"/>
  <c r="P112" s="1"/>
  <c r="O10" i="8"/>
  <c r="EZ3" i="10"/>
  <c r="EZ4" s="1"/>
  <c r="D43" i="13" l="1"/>
  <c r="H404" i="15"/>
  <c r="H406" s="1"/>
  <c r="H407" s="1"/>
  <c r="I400"/>
  <c r="E27" i="13"/>
  <c r="E29" s="1"/>
  <c r="E23"/>
  <c r="H11"/>
  <c r="E17"/>
  <c r="DW112" i="10" l="1"/>
  <c r="J400" i="15"/>
  <c r="I404"/>
  <c r="I406" s="1"/>
  <c r="I407" s="1"/>
  <c r="C19" i="14"/>
  <c r="E25" i="13"/>
  <c r="M25" s="1"/>
  <c r="Q25" s="1"/>
  <c r="W25" s="1"/>
  <c r="M29"/>
  <c r="Q29" s="1"/>
  <c r="W29" s="1"/>
  <c r="E115" i="10"/>
  <c r="D188" i="9"/>
  <c r="J404" i="15" l="1"/>
  <c r="J406" s="1"/>
  <c r="J407" s="1"/>
  <c r="K400"/>
  <c r="C20" i="14"/>
  <c r="C61"/>
  <c r="F5" i="12"/>
  <c r="C28" i="14" l="1"/>
  <c r="E38" s="1"/>
  <c r="L400" i="15"/>
  <c r="K404"/>
  <c r="K406" s="1"/>
  <c r="K407" s="1"/>
  <c r="C102" i="14"/>
  <c r="C103" s="1"/>
  <c r="C111" s="1"/>
  <c r="C62"/>
  <c r="G110" i="9"/>
  <c r="M110"/>
  <c r="N110"/>
  <c r="E117" i="8"/>
  <c r="F117"/>
  <c r="D117"/>
  <c r="E16" i="10"/>
  <c r="E17" i="9"/>
  <c r="F17" s="1"/>
  <c r="H17" s="1"/>
  <c r="I17" s="1"/>
  <c r="J17" s="1"/>
  <c r="L17" s="1"/>
  <c r="M17" s="1"/>
  <c r="N17" s="1"/>
  <c r="O17" s="1"/>
  <c r="F16" i="8"/>
  <c r="G16" s="1"/>
  <c r="H16" s="1"/>
  <c r="AP117" i="1"/>
  <c r="N16"/>
  <c r="O16" s="1"/>
  <c r="D16" i="8" s="1"/>
  <c r="D17"/>
  <c r="E17"/>
  <c r="D18"/>
  <c r="AX27" i="1"/>
  <c r="BJ15" i="9"/>
  <c r="BJ16"/>
  <c r="BJ18"/>
  <c r="BJ19"/>
  <c r="BJ21"/>
  <c r="BJ22"/>
  <c r="AZ15" i="8"/>
  <c r="AZ16"/>
  <c r="AZ18"/>
  <c r="AZ19"/>
  <c r="AZ20"/>
  <c r="AZ21"/>
  <c r="AZ22"/>
  <c r="AZ23"/>
  <c r="AZ24"/>
  <c r="AZ25"/>
  <c r="AZ26"/>
  <c r="EZ14" i="10"/>
  <c r="EZ15"/>
  <c r="EZ17"/>
  <c r="EZ18"/>
  <c r="EZ20"/>
  <c r="EZ21"/>
  <c r="E109" i="9"/>
  <c r="F109" s="1"/>
  <c r="G109" s="1"/>
  <c r="H109" s="1"/>
  <c r="I109" s="1"/>
  <c r="J109" s="1"/>
  <c r="K109" s="1"/>
  <c r="L109" s="1"/>
  <c r="M109" s="1"/>
  <c r="N109" s="1"/>
  <c r="O109" s="1"/>
  <c r="FC355" i="10"/>
  <c r="BJ182" i="9"/>
  <c r="B16" i="1"/>
  <c r="E33" i="14" l="1"/>
  <c r="D377" i="10" s="1"/>
  <c r="E37" i="14"/>
  <c r="D381" i="10" s="1"/>
  <c r="E34" i="14"/>
  <c r="D261" i="15" s="1"/>
  <c r="E261" s="1"/>
  <c r="F261" s="1"/>
  <c r="E36" i="14"/>
  <c r="D380" i="10" s="1"/>
  <c r="E35" i="14"/>
  <c r="D379" i="10" s="1"/>
  <c r="C70" i="14"/>
  <c r="E80" s="1"/>
  <c r="D378" i="10"/>
  <c r="D264" i="15"/>
  <c r="E264" s="1"/>
  <c r="F264" s="1"/>
  <c r="D260"/>
  <c r="D262"/>
  <c r="E262" s="1"/>
  <c r="F262" s="1"/>
  <c r="D263"/>
  <c r="E263" s="1"/>
  <c r="F263" s="1"/>
  <c r="F16" i="10"/>
  <c r="L404" i="15"/>
  <c r="L406" s="1"/>
  <c r="L407" s="1"/>
  <c r="M400"/>
  <c r="C144" i="14"/>
  <c r="C145" s="1"/>
  <c r="E121"/>
  <c r="J16" i="8"/>
  <c r="K16" s="1"/>
  <c r="L16" s="1"/>
  <c r="N16" s="1"/>
  <c r="O16" s="1"/>
  <c r="EZ22" i="10"/>
  <c r="BJ23" i="9"/>
  <c r="P16" i="1"/>
  <c r="D16" i="19" s="1"/>
  <c r="AZ27" i="8"/>
  <c r="E79" i="14" l="1"/>
  <c r="G381" i="10" s="1"/>
  <c r="E77" i="14"/>
  <c r="G262" i="15" s="1"/>
  <c r="H262" s="1"/>
  <c r="I262" s="1"/>
  <c r="E75" i="14"/>
  <c r="G260" i="15" s="1"/>
  <c r="E78" i="14"/>
  <c r="G263" i="15" s="1"/>
  <c r="H263" s="1"/>
  <c r="I263" s="1"/>
  <c r="E76" i="14"/>
  <c r="G378" i="10" s="1"/>
  <c r="C153" i="14"/>
  <c r="E163" s="1"/>
  <c r="G264" i="15"/>
  <c r="H264" s="1"/>
  <c r="I264" s="1"/>
  <c r="G261"/>
  <c r="H261" s="1"/>
  <c r="I261" s="1"/>
  <c r="G380" i="10"/>
  <c r="G377"/>
  <c r="G379"/>
  <c r="D265" i="15"/>
  <c r="E260"/>
  <c r="F260" s="1"/>
  <c r="G16" i="10"/>
  <c r="H16" s="1"/>
  <c r="N400" i="15"/>
  <c r="M404"/>
  <c r="M406" s="1"/>
  <c r="M407" s="1"/>
  <c r="E117" i="14"/>
  <c r="E120"/>
  <c r="E119"/>
  <c r="E116"/>
  <c r="E118"/>
  <c r="D105" i="8"/>
  <c r="E161" i="14" l="1"/>
  <c r="M263" i="15" s="1"/>
  <c r="N263" s="1"/>
  <c r="O263" s="1"/>
  <c r="E158" i="14"/>
  <c r="E160"/>
  <c r="M262" i="15" s="1"/>
  <c r="N262" s="1"/>
  <c r="O262" s="1"/>
  <c r="E162" i="14"/>
  <c r="G382" i="10"/>
  <c r="E159" i="14"/>
  <c r="J377" i="10"/>
  <c r="J260" i="15"/>
  <c r="J381" i="10"/>
  <c r="J264" i="15"/>
  <c r="K264" s="1"/>
  <c r="L264" s="1"/>
  <c r="J379" i="10"/>
  <c r="J262" i="15"/>
  <c r="K262" s="1"/>
  <c r="L262" s="1"/>
  <c r="J380" i="10"/>
  <c r="J263" i="15"/>
  <c r="K263" s="1"/>
  <c r="L263" s="1"/>
  <c r="J378" i="10"/>
  <c r="J382" s="1"/>
  <c r="J261" i="15"/>
  <c r="K261" s="1"/>
  <c r="L261" s="1"/>
  <c r="M381" i="10"/>
  <c r="M264" i="15"/>
  <c r="N264" s="1"/>
  <c r="O264" s="1"/>
  <c r="M377" i="10"/>
  <c r="M260" i="15"/>
  <c r="M379" i="10"/>
  <c r="M378"/>
  <c r="M261" i="15"/>
  <c r="N261" s="1"/>
  <c r="O261" s="1"/>
  <c r="M380" i="10"/>
  <c r="G265" i="15"/>
  <c r="H260"/>
  <c r="I260" s="1"/>
  <c r="P112"/>
  <c r="I16" i="10"/>
  <c r="N404" i="15"/>
  <c r="N406" s="1"/>
  <c r="N407" s="1"/>
  <c r="O400"/>
  <c r="O404" s="1"/>
  <c r="O406" s="1"/>
  <c r="O407" s="1"/>
  <c r="M382" i="10"/>
  <c r="D370"/>
  <c r="E379"/>
  <c r="F379" s="1"/>
  <c r="H379" s="1"/>
  <c r="D205" i="8"/>
  <c r="E191" i="9"/>
  <c r="N17" i="1"/>
  <c r="O17"/>
  <c r="BD17" i="8" s="1"/>
  <c r="N18" i="1"/>
  <c r="O18"/>
  <c r="BD18" i="8" s="1"/>
  <c r="M18" i="1"/>
  <c r="M17"/>
  <c r="L17"/>
  <c r="K17"/>
  <c r="K15"/>
  <c r="M265" i="15" l="1"/>
  <c r="N260"/>
  <c r="O260" s="1"/>
  <c r="J265"/>
  <c r="K260"/>
  <c r="L260" s="1"/>
  <c r="BB112"/>
  <c r="BC104" s="1"/>
  <c r="BC106" s="1"/>
  <c r="J16" i="10"/>
  <c r="D207" i="8"/>
  <c r="E18" s="1"/>
  <c r="D206"/>
  <c r="F17" s="1"/>
  <c r="I379" i="10"/>
  <c r="K379" s="1"/>
  <c r="L379" s="1"/>
  <c r="N379" s="1"/>
  <c r="O379" s="1"/>
  <c r="L284" i="1"/>
  <c r="K16" i="10" l="1"/>
  <c r="L15" i="1"/>
  <c r="N9"/>
  <c r="M9"/>
  <c r="E358" i="10"/>
  <c r="E359" s="1"/>
  <c r="N46" i="1" l="1"/>
  <c r="N35"/>
  <c r="N37"/>
  <c r="N41"/>
  <c r="N43"/>
  <c r="N45"/>
  <c r="N47"/>
  <c r="N49"/>
  <c r="N51"/>
  <c r="N53"/>
  <c r="N59"/>
  <c r="N61"/>
  <c r="N63"/>
  <c r="N65"/>
  <c r="N67"/>
  <c r="N69"/>
  <c r="N71"/>
  <c r="N73"/>
  <c r="N75"/>
  <c r="N77"/>
  <c r="N79"/>
  <c r="N81"/>
  <c r="N83"/>
  <c r="N85"/>
  <c r="N89"/>
  <c r="N95"/>
  <c r="N97"/>
  <c r="N99"/>
  <c r="N101"/>
  <c r="N36"/>
  <c r="N38"/>
  <c r="N40"/>
  <c r="N42"/>
  <c r="N44"/>
  <c r="N48"/>
  <c r="N50"/>
  <c r="N52"/>
  <c r="N54"/>
  <c r="N58"/>
  <c r="N60"/>
  <c r="N64"/>
  <c r="N68"/>
  <c r="N70"/>
  <c r="N72"/>
  <c r="N74"/>
  <c r="N76"/>
  <c r="N78"/>
  <c r="N80"/>
  <c r="N82"/>
  <c r="N84"/>
  <c r="N86"/>
  <c r="N88"/>
  <c r="N90"/>
  <c r="N92"/>
  <c r="N94"/>
  <c r="N96"/>
  <c r="N98"/>
  <c r="N100"/>
  <c r="N102"/>
  <c r="L16" i="10"/>
  <c r="M15" i="1"/>
  <c r="N15" s="1"/>
  <c r="AX118"/>
  <c r="BG826" i="8"/>
  <c r="M16" i="10" l="1"/>
  <c r="P24" i="8"/>
  <c r="B24"/>
  <c r="B20" i="9" s="1"/>
  <c r="E19" i="19" l="1"/>
  <c r="BC19" i="15"/>
  <c r="DW19" i="10"/>
  <c r="N16"/>
  <c r="B19"/>
  <c r="B19" i="15"/>
  <c r="P19" i="1"/>
  <c r="P20"/>
  <c r="D20" i="19" s="1"/>
  <c r="I20" s="1"/>
  <c r="P21" i="1"/>
  <c r="D21" i="19" s="1"/>
  <c r="I21" s="1"/>
  <c r="P22" i="1"/>
  <c r="D22" i="19" s="1"/>
  <c r="I22" s="1"/>
  <c r="P23" i="1"/>
  <c r="D23" i="19" s="1"/>
  <c r="I23" s="1"/>
  <c r="AW19" i="10" l="1"/>
  <c r="AW23" s="1"/>
  <c r="D19" i="19"/>
  <c r="I19" s="1"/>
  <c r="AK20" i="9"/>
  <c r="AX104" i="10" s="1"/>
  <c r="AX105" s="1"/>
  <c r="AT20" i="9"/>
  <c r="AT19" s="1"/>
  <c r="AI24" i="8"/>
  <c r="O16" i="10"/>
  <c r="E26" i="11"/>
  <c r="E28" s="1"/>
  <c r="F26"/>
  <c r="F28" s="1"/>
  <c r="G26"/>
  <c r="G28" s="1"/>
  <c r="D26"/>
  <c r="D28" s="1"/>
  <c r="I146"/>
  <c r="P16" i="10" l="1"/>
  <c r="G16" i="19" s="1"/>
  <c r="D16" i="15"/>
  <c r="E16" s="1"/>
  <c r="F16" s="1"/>
  <c r="G16" s="1"/>
  <c r="H16" s="1"/>
  <c r="I16" s="1"/>
  <c r="J16" s="1"/>
  <c r="K16" s="1"/>
  <c r="L16" s="1"/>
  <c r="M16" s="1"/>
  <c r="N16" s="1"/>
  <c r="O16" s="1"/>
  <c r="AK22" i="9"/>
  <c r="AL20"/>
  <c r="B16" i="11" l="1"/>
  <c r="C127" l="1"/>
  <c r="F22" i="15" l="1"/>
  <c r="B17" i="9"/>
  <c r="D2"/>
  <c r="J32"/>
  <c r="J36" i="8"/>
  <c r="I31" i="10" l="1"/>
  <c r="I31" i="15"/>
  <c r="J31" s="1"/>
  <c r="G22"/>
  <c r="B16" i="10"/>
  <c r="B16" i="15"/>
  <c r="P17" i="9"/>
  <c r="F16" i="19" s="1"/>
  <c r="D104" i="8"/>
  <c r="L25" i="1"/>
  <c r="M25" s="1"/>
  <c r="F115" i="10"/>
  <c r="BD106" i="8"/>
  <c r="BF111"/>
  <c r="N25" i="1" l="1"/>
  <c r="O25" s="1"/>
  <c r="H22" i="15"/>
  <c r="G115" i="10"/>
  <c r="P115" s="1"/>
  <c r="P103" i="9"/>
  <c r="P104"/>
  <c r="P105"/>
  <c r="AS106"/>
  <c r="AK105" l="1"/>
  <c r="BC112" i="15"/>
  <c r="I22"/>
  <c r="P9" i="10"/>
  <c r="P102"/>
  <c r="D520"/>
  <c r="D519"/>
  <c r="D518"/>
  <c r="D517"/>
  <c r="O514"/>
  <c r="N514"/>
  <c r="M514"/>
  <c r="L514"/>
  <c r="K514"/>
  <c r="J514"/>
  <c r="I514"/>
  <c r="H514"/>
  <c r="G514"/>
  <c r="F514"/>
  <c r="E514"/>
  <c r="D514"/>
  <c r="D512"/>
  <c r="E511" s="1"/>
  <c r="O511"/>
  <c r="N511"/>
  <c r="M511"/>
  <c r="L511"/>
  <c r="K511"/>
  <c r="J511"/>
  <c r="I511"/>
  <c r="H511"/>
  <c r="G511"/>
  <c r="F511"/>
  <c r="L8"/>
  <c r="M8"/>
  <c r="N8"/>
  <c r="O8"/>
  <c r="F116"/>
  <c r="P255" i="9"/>
  <c r="P259" s="1"/>
  <c r="O178"/>
  <c r="O110" s="1"/>
  <c r="H178"/>
  <c r="H110" s="1"/>
  <c r="D178"/>
  <c r="C110"/>
  <c r="F10"/>
  <c r="G10"/>
  <c r="H10"/>
  <c r="I10"/>
  <c r="J10"/>
  <c r="K10"/>
  <c r="L10"/>
  <c r="D22"/>
  <c r="D198" i="8"/>
  <c r="E198"/>
  <c r="F198"/>
  <c r="P197"/>
  <c r="P195"/>
  <c r="G196"/>
  <c r="G117" s="1"/>
  <c r="E115"/>
  <c r="F115" s="1"/>
  <c r="G115" s="1"/>
  <c r="H115" s="1"/>
  <c r="P115" s="1"/>
  <c r="K109"/>
  <c r="P119"/>
  <c r="P28"/>
  <c r="P30"/>
  <c r="P31"/>
  <c r="P32"/>
  <c r="P33"/>
  <c r="P107"/>
  <c r="P108"/>
  <c r="P110"/>
  <c r="P111"/>
  <c r="P112"/>
  <c r="P114"/>
  <c r="BN111" i="15"/>
  <c r="BN115" s="1"/>
  <c r="B18" i="8"/>
  <c r="B17"/>
  <c r="P121" i="1"/>
  <c r="P114"/>
  <c r="G116" i="10" l="1"/>
  <c r="H116" s="1"/>
  <c r="C177" i="9"/>
  <c r="L116" i="10"/>
  <c r="M116" s="1"/>
  <c r="N116" s="1"/>
  <c r="O116" s="1"/>
  <c r="I116"/>
  <c r="J116" s="1"/>
  <c r="BN239" i="15"/>
  <c r="BN241" s="1"/>
  <c r="DW111" i="10"/>
  <c r="DW110" s="1"/>
  <c r="J22" i="15"/>
  <c r="D521" i="10"/>
  <c r="D523" s="1"/>
  <c r="D524" s="1"/>
  <c r="E178" i="9"/>
  <c r="E110" s="1"/>
  <c r="D110"/>
  <c r="F12" i="12"/>
  <c r="FA111" i="10"/>
  <c r="FA115" s="1"/>
  <c r="FA356"/>
  <c r="F11" i="12"/>
  <c r="BJ106" i="9"/>
  <c r="BJ109" s="1"/>
  <c r="FC358" i="10"/>
  <c r="FC359" s="1"/>
  <c r="FA357"/>
  <c r="D511"/>
  <c r="I178" i="9"/>
  <c r="P109"/>
  <c r="H196" i="8"/>
  <c r="H117" s="1"/>
  <c r="G198"/>
  <c r="P116" i="10" l="1"/>
  <c r="K22" i="15"/>
  <c r="J178" i="9"/>
  <c r="I110"/>
  <c r="F178"/>
  <c r="F110" s="1"/>
  <c r="FA358" i="10"/>
  <c r="BJ107" i="9"/>
  <c r="H198" i="8"/>
  <c r="I196"/>
  <c r="I117" s="1"/>
  <c r="P109"/>
  <c r="AV106" i="10" l="1"/>
  <c r="AV103" s="1"/>
  <c r="AX111" i="34"/>
  <c r="AX112" i="29"/>
  <c r="AS108" i="9"/>
  <c r="AV112" i="10" s="1"/>
  <c r="AT105" i="9"/>
  <c r="BJ108"/>
  <c r="L22" i="15"/>
  <c r="K178" i="9"/>
  <c r="J110"/>
  <c r="I198" i="8"/>
  <c r="J196"/>
  <c r="J117" s="1"/>
  <c r="M22" i="15" l="1"/>
  <c r="L178" i="9"/>
  <c r="K110"/>
  <c r="K196" i="8"/>
  <c r="K117" s="1"/>
  <c r="J198"/>
  <c r="N22" i="15" l="1"/>
  <c r="L110" i="9"/>
  <c r="P110" s="1"/>
  <c r="P178"/>
  <c r="BN253" s="1"/>
  <c r="BN256" s="1"/>
  <c r="L196" i="8"/>
  <c r="L117" s="1"/>
  <c r="K198"/>
  <c r="O22" i="15" l="1"/>
  <c r="P16"/>
  <c r="H16" i="19" s="1"/>
  <c r="M196" i="8"/>
  <c r="M117" s="1"/>
  <c r="L198"/>
  <c r="N196" l="1"/>
  <c r="N117" s="1"/>
  <c r="M198"/>
  <c r="O196" l="1"/>
  <c r="O117" s="1"/>
  <c r="N198"/>
  <c r="O198" l="1"/>
  <c r="P117"/>
  <c r="AK110" i="9" s="1"/>
  <c r="P196" i="8"/>
  <c r="P198" s="1"/>
  <c r="BN155" i="9" l="1"/>
  <c r="BP243" i="15"/>
  <c r="BP244" s="1"/>
  <c r="BP247" s="1"/>
  <c r="BO118"/>
  <c r="FB117" i="10"/>
  <c r="F9" i="12"/>
  <c r="BN175" i="9"/>
  <c r="FC360" i="10"/>
  <c r="FC361" s="1"/>
  <c r="FC364" s="1"/>
  <c r="F9" i="1"/>
  <c r="G9"/>
  <c r="H9"/>
  <c r="I9"/>
  <c r="J9"/>
  <c r="E9"/>
  <c r="P105" l="1"/>
  <c r="P109"/>
  <c r="P110"/>
  <c r="P111"/>
  <c r="P112"/>
  <c r="P113"/>
  <c r="P115"/>
  <c r="P118"/>
  <c r="P126"/>
  <c r="P122"/>
  <c r="P125"/>
  <c r="P132"/>
  <c r="P28"/>
  <c r="P30"/>
  <c r="P31"/>
  <c r="P32"/>
  <c r="P33"/>
  <c r="P34"/>
  <c r="D34" i="19" s="1"/>
  <c r="P24" i="1"/>
  <c r="D24" i="19" s="1"/>
  <c r="I24" s="1"/>
  <c r="P26" i="1"/>
  <c r="D26" i="19" s="1"/>
  <c r="I26" s="1"/>
  <c r="I14" i="1"/>
  <c r="J17"/>
  <c r="I4"/>
  <c r="AY4" s="1"/>
  <c r="I17"/>
  <c r="I18" s="1"/>
  <c r="K18" s="1"/>
  <c r="H17"/>
  <c r="H18" s="1"/>
  <c r="D104" i="11" l="1"/>
  <c r="D105" s="1"/>
  <c r="D128" s="1"/>
  <c r="D130" s="1"/>
  <c r="D105" i="19"/>
  <c r="J18" i="1"/>
  <c r="G17" l="1"/>
  <c r="G18" s="1"/>
  <c r="F17"/>
  <c r="D17"/>
  <c r="D18" s="1"/>
  <c r="F18" l="1"/>
  <c r="BI34" i="8" l="1"/>
  <c r="BJ34" s="1"/>
  <c r="F106" i="1"/>
  <c r="F131" s="1"/>
  <c r="G106"/>
  <c r="G131" s="1"/>
  <c r="H106"/>
  <c r="H131" s="1"/>
  <c r="I106"/>
  <c r="I131" s="1"/>
  <c r="J106"/>
  <c r="F27"/>
  <c r="G27"/>
  <c r="H27"/>
  <c r="C606" i="10"/>
  <c r="C600"/>
  <c r="K127" i="1" l="1"/>
  <c r="L91"/>
  <c r="M91" l="1"/>
  <c r="N91" s="1"/>
  <c r="P128" l="1"/>
  <c r="P120" l="1"/>
  <c r="L39"/>
  <c r="K116"/>
  <c r="P116" s="1"/>
  <c r="BE118"/>
  <c r="L9" i="8"/>
  <c r="N623" i="10"/>
  <c r="J557"/>
  <c r="J556"/>
  <c r="GA550"/>
  <c r="I550"/>
  <c r="FZ119"/>
  <c r="GA117"/>
  <c r="GA119" s="1"/>
  <c r="FM114"/>
  <c r="D21"/>
  <c r="K8"/>
  <c r="J8"/>
  <c r="I8"/>
  <c r="H8"/>
  <c r="G8"/>
  <c r="F8"/>
  <c r="E8"/>
  <c r="N341" i="9"/>
  <c r="J300"/>
  <c r="J299"/>
  <c r="L295"/>
  <c r="CD293"/>
  <c r="I293"/>
  <c r="CC113"/>
  <c r="CD111"/>
  <c r="CD113" s="1"/>
  <c r="BP107"/>
  <c r="E10"/>
  <c r="K9" i="8"/>
  <c r="H9"/>
  <c r="H103" s="1"/>
  <c r="I9"/>
  <c r="I74" s="1"/>
  <c r="J9"/>
  <c r="M37" s="1"/>
  <c r="E34"/>
  <c r="G9"/>
  <c r="F9"/>
  <c r="E9"/>
  <c r="BU120"/>
  <c r="BV118"/>
  <c r="BV120" s="1"/>
  <c r="BH111"/>
  <c r="E206" l="1"/>
  <c r="G17" s="1"/>
  <c r="E207"/>
  <c r="F18" s="1"/>
  <c r="E188" i="9"/>
  <c r="BE114" i="8"/>
  <c r="AX111" i="1"/>
  <c r="E518" i="10"/>
  <c r="F518" s="1"/>
  <c r="G518" s="1"/>
  <c r="H518" s="1"/>
  <c r="I518" s="1"/>
  <c r="J518" s="1"/>
  <c r="K518" s="1"/>
  <c r="L518" s="1"/>
  <c r="M518" s="1"/>
  <c r="N518" s="1"/>
  <c r="O518" s="1"/>
  <c r="E519"/>
  <c r="E520"/>
  <c r="E517"/>
  <c r="M10" i="9"/>
  <c r="N10"/>
  <c r="F34" i="8"/>
  <c r="G34" s="1"/>
  <c r="H34" s="1"/>
  <c r="I34" s="1"/>
  <c r="J34" s="1"/>
  <c r="M9"/>
  <c r="M39" i="1"/>
  <c r="N39" s="1"/>
  <c r="I103" i="8"/>
  <c r="J103" s="1"/>
  <c r="K103" s="1"/>
  <c r="L103" s="1"/>
  <c r="M103" s="1"/>
  <c r="N103" s="1"/>
  <c r="J306" i="9"/>
  <c r="J588" i="10"/>
  <c r="H104" i="8"/>
  <c r="H105"/>
  <c r="H99" i="10"/>
  <c r="H100"/>
  <c r="H98"/>
  <c r="H100" i="9"/>
  <c r="H101"/>
  <c r="H99"/>
  <c r="D8" i="6"/>
  <c r="D10" s="1"/>
  <c r="O13"/>
  <c r="D7" i="7"/>
  <c r="D6"/>
  <c r="N8" i="5"/>
  <c r="G188" i="9" l="1"/>
  <c r="H188" s="1"/>
  <c r="I188" s="1"/>
  <c r="J188" s="1"/>
  <c r="K188" s="1"/>
  <c r="L188" s="1"/>
  <c r="M188" s="1"/>
  <c r="N188" s="1"/>
  <c r="O188" s="1"/>
  <c r="F188"/>
  <c r="F207" i="8"/>
  <c r="G18" s="1"/>
  <c r="F206"/>
  <c r="H17" s="1"/>
  <c r="F517" i="10"/>
  <c r="E521"/>
  <c r="E523" s="1"/>
  <c r="E524" s="1"/>
  <c r="K34" i="8"/>
  <c r="L34" s="1"/>
  <c r="M34" s="1"/>
  <c r="N34" s="1"/>
  <c r="O34" s="1"/>
  <c r="D30" i="9" s="1"/>
  <c r="E30" s="1"/>
  <c r="F30" s="1"/>
  <c r="G30" s="1"/>
  <c r="H30" s="1"/>
  <c r="J37" i="8"/>
  <c r="I98" i="10"/>
  <c r="J98" s="1"/>
  <c r="I100"/>
  <c r="J100" s="1"/>
  <c r="I99"/>
  <c r="J99" s="1"/>
  <c r="K99" s="1"/>
  <c r="L99" s="1"/>
  <c r="M99" s="1"/>
  <c r="N99" s="1"/>
  <c r="O99" s="1"/>
  <c r="D99" i="15" s="1"/>
  <c r="P99" s="1"/>
  <c r="H104" i="19" s="1"/>
  <c r="F519" i="10"/>
  <c r="F520"/>
  <c r="D8" i="7"/>
  <c r="D10" s="1"/>
  <c r="I100" i="9"/>
  <c r="J100" s="1"/>
  <c r="K100" s="1"/>
  <c r="I101"/>
  <c r="J101" s="1"/>
  <c r="I99"/>
  <c r="J99" s="1"/>
  <c r="K99" s="1"/>
  <c r="O11"/>
  <c r="I105" i="8"/>
  <c r="J105" s="1"/>
  <c r="I104"/>
  <c r="J104" s="1"/>
  <c r="K104" s="1"/>
  <c r="L104" s="1"/>
  <c r="M104" s="1"/>
  <c r="N104" s="1"/>
  <c r="D10" i="9"/>
  <c r="N9" i="8"/>
  <c r="E26"/>
  <c r="O107" i="1"/>
  <c r="N107"/>
  <c r="J7" i="4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C7"/>
  <c r="C8"/>
  <c r="C9"/>
  <c r="P99" i="10" l="1"/>
  <c r="G104" i="19" s="1"/>
  <c r="P100" i="10"/>
  <c r="G105" i="19" s="1"/>
  <c r="D8" i="10"/>
  <c r="D8" i="15"/>
  <c r="K98" i="10"/>
  <c r="G104" i="11"/>
  <c r="G206" i="8"/>
  <c r="G207"/>
  <c r="P16"/>
  <c r="G517" i="10"/>
  <c r="F521"/>
  <c r="F523" s="1"/>
  <c r="F524" s="1"/>
  <c r="P107" i="1"/>
  <c r="P34" i="8"/>
  <c r="E34" i="19" s="1"/>
  <c r="G520" i="10"/>
  <c r="G519"/>
  <c r="P101" i="9"/>
  <c r="O10"/>
  <c r="P11"/>
  <c r="P105" i="8"/>
  <c r="O9"/>
  <c r="P10"/>
  <c r="F26"/>
  <c r="G26" s="1"/>
  <c r="I30" i="9"/>
  <c r="I33" s="1"/>
  <c r="E7" i="4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N330" i="1"/>
  <c r="M93"/>
  <c r="N93" s="1"/>
  <c r="M66"/>
  <c r="N66" s="1"/>
  <c r="M62"/>
  <c r="N62" s="1"/>
  <c r="L62"/>
  <c r="L57"/>
  <c r="M56"/>
  <c r="N56" s="1"/>
  <c r="O108"/>
  <c r="P108" s="1"/>
  <c r="N127"/>
  <c r="M87"/>
  <c r="N87" s="1"/>
  <c r="L87"/>
  <c r="M103"/>
  <c r="N103" s="1"/>
  <c r="M104"/>
  <c r="P104" s="1"/>
  <c r="D104" i="19" s="1"/>
  <c r="AY126" i="1"/>
  <c r="AZ118" s="1"/>
  <c r="L124"/>
  <c r="L123"/>
  <c r="E105" i="19" l="1"/>
  <c r="AX1" i="34"/>
  <c r="AX2" i="29"/>
  <c r="P127" i="1"/>
  <c r="AP121"/>
  <c r="F10" i="12" s="1"/>
  <c r="F13" s="1"/>
  <c r="F104" i="11"/>
  <c r="F105" i="19"/>
  <c r="I105" s="1"/>
  <c r="BN9" i="15"/>
  <c r="E16" i="19"/>
  <c r="I16" s="1"/>
  <c r="I206" i="8"/>
  <c r="J206" s="1"/>
  <c r="K206" s="1"/>
  <c r="I207"/>
  <c r="J207" s="1"/>
  <c r="K207" s="1"/>
  <c r="I17"/>
  <c r="H18"/>
  <c r="L98" i="10"/>
  <c r="M98" s="1"/>
  <c r="N98" s="1"/>
  <c r="O98" s="1"/>
  <c r="D98" i="15" s="1"/>
  <c r="P98" s="1"/>
  <c r="H103" i="19" s="1"/>
  <c r="FA9" i="10"/>
  <c r="F8" i="12"/>
  <c r="H13" s="1"/>
  <c r="H207" i="8"/>
  <c r="H206"/>
  <c r="AX1" i="1"/>
  <c r="E104" i="11"/>
  <c r="O103" i="8"/>
  <c r="P21"/>
  <c r="H517" i="10"/>
  <c r="G521"/>
  <c r="G523" s="1"/>
  <c r="G524" s="1"/>
  <c r="P22" i="8"/>
  <c r="O104"/>
  <c r="P19"/>
  <c r="P23"/>
  <c r="M124" i="1"/>
  <c r="N124" s="1"/>
  <c r="O124" s="1"/>
  <c r="D116" i="8" s="1"/>
  <c r="E33" i="9"/>
  <c r="F33" s="1"/>
  <c r="M123" i="1"/>
  <c r="N123" s="1"/>
  <c r="O123" s="1"/>
  <c r="H519" i="10"/>
  <c r="H520"/>
  <c r="P26" i="8"/>
  <c r="M57" i="1"/>
  <c r="N57" s="1"/>
  <c r="L106"/>
  <c r="L131" s="1"/>
  <c r="J30" i="9"/>
  <c r="K30" s="1"/>
  <c r="L30" s="1"/>
  <c r="M30" s="1"/>
  <c r="N30" s="1"/>
  <c r="O30" s="1"/>
  <c r="H16" i="12" l="1"/>
  <c r="P98" i="10"/>
  <c r="G103" i="19" s="1"/>
  <c r="G33" i="9"/>
  <c r="H33" s="1"/>
  <c r="D99"/>
  <c r="P99" s="1"/>
  <c r="F103" i="19" s="1"/>
  <c r="I18" i="8"/>
  <c r="J18"/>
  <c r="J17"/>
  <c r="K17"/>
  <c r="L283" i="1"/>
  <c r="L285" s="1"/>
  <c r="I517" i="10"/>
  <c r="H521"/>
  <c r="H523" s="1"/>
  <c r="H524" s="1"/>
  <c r="P30" i="9"/>
  <c r="F34" i="19" s="1"/>
  <c r="P104" i="8"/>
  <c r="E104" i="19" s="1"/>
  <c r="D100" i="9"/>
  <c r="P100" s="1"/>
  <c r="F104" i="19" s="1"/>
  <c r="M106" i="1"/>
  <c r="M131" s="1"/>
  <c r="P124"/>
  <c r="P123"/>
  <c r="E116" i="8"/>
  <c r="I519" i="10"/>
  <c r="I520"/>
  <c r="N106" i="1"/>
  <c r="N131" s="1"/>
  <c r="I104" i="19" l="1"/>
  <c r="E32" i="10"/>
  <c r="P33" i="9"/>
  <c r="F37" i="19" s="1"/>
  <c r="I70" i="9"/>
  <c r="J70" s="1"/>
  <c r="K70" s="1"/>
  <c r="L70" s="1"/>
  <c r="M70" s="1"/>
  <c r="N70" s="1"/>
  <c r="O70" s="1"/>
  <c r="K18" i="8"/>
  <c r="L17"/>
  <c r="J517" i="10"/>
  <c r="I521"/>
  <c r="I523" s="1"/>
  <c r="I524" s="1"/>
  <c r="E69"/>
  <c r="F116" i="8"/>
  <c r="J519" i="10"/>
  <c r="J520"/>
  <c r="F32" l="1"/>
  <c r="F69"/>
  <c r="H32"/>
  <c r="K32" s="1"/>
  <c r="L32" s="1"/>
  <c r="N32" s="1"/>
  <c r="I69"/>
  <c r="M17" i="8"/>
  <c r="L18"/>
  <c r="K517" i="10"/>
  <c r="J521"/>
  <c r="J523" s="1"/>
  <c r="J524" s="1"/>
  <c r="G116" i="8"/>
  <c r="K519" i="10"/>
  <c r="K520"/>
  <c r="AY127" i="1"/>
  <c r="E32" i="15" l="1"/>
  <c r="F32" s="1"/>
  <c r="K69" i="10"/>
  <c r="L69" s="1"/>
  <c r="L207" i="8"/>
  <c r="M18" s="1"/>
  <c r="L206"/>
  <c r="N17" s="1"/>
  <c r="L517" i="10"/>
  <c r="K521"/>
  <c r="K523" s="1"/>
  <c r="K524" s="1"/>
  <c r="H116" i="8"/>
  <c r="L519" i="10"/>
  <c r="L520"/>
  <c r="I27" i="1"/>
  <c r="G32" i="15" l="1"/>
  <c r="H32" s="1"/>
  <c r="M206" i="8"/>
  <c r="O17" s="1"/>
  <c r="M207"/>
  <c r="N18" s="1"/>
  <c r="M517" i="10"/>
  <c r="L521"/>
  <c r="L523" s="1"/>
  <c r="L524" s="1"/>
  <c r="I116" i="8"/>
  <c r="M519" i="10"/>
  <c r="M520"/>
  <c r="BN131" i="1"/>
  <c r="J289"/>
  <c r="J288"/>
  <c r="P117" l="1"/>
  <c r="J131"/>
  <c r="N69" i="10"/>
  <c r="P69" s="1"/>
  <c r="G74" i="19" s="1"/>
  <c r="N207" i="8"/>
  <c r="O18" s="1"/>
  <c r="N206"/>
  <c r="D18" i="9" s="1"/>
  <c r="N517" i="10"/>
  <c r="M521"/>
  <c r="M523" s="1"/>
  <c r="M524" s="1"/>
  <c r="J116" i="8"/>
  <c r="N519" i="10"/>
  <c r="O519" s="1"/>
  <c r="N520"/>
  <c r="J295" i="1"/>
  <c r="BN282"/>
  <c r="AY117"/>
  <c r="BM133"/>
  <c r="BN133"/>
  <c r="C107"/>
  <c r="E69" i="15" l="1"/>
  <c r="F69" s="1"/>
  <c r="BN18" i="9"/>
  <c r="D189" s="1"/>
  <c r="P17" i="8"/>
  <c r="E17" i="19" s="1"/>
  <c r="O206" i="8"/>
  <c r="E18" i="9" s="1"/>
  <c r="O207" i="8"/>
  <c r="D19" i="9" s="1"/>
  <c r="O517" i="10"/>
  <c r="N521"/>
  <c r="N523" s="1"/>
  <c r="N524" s="1"/>
  <c r="K116" i="8"/>
  <c r="O9" i="1"/>
  <c r="O46" s="1"/>
  <c r="P10"/>
  <c r="O520" i="10"/>
  <c r="P20" i="8"/>
  <c r="K36" i="1"/>
  <c r="P69" i="15" l="1"/>
  <c r="H74" i="19" s="1"/>
  <c r="O15" i="1"/>
  <c r="BD15" i="8" s="1"/>
  <c r="D204" s="1"/>
  <c r="O100" i="1"/>
  <c r="O92"/>
  <c r="O84"/>
  <c r="O76"/>
  <c r="O68"/>
  <c r="O60"/>
  <c r="O52"/>
  <c r="O44"/>
  <c r="O36"/>
  <c r="D36" i="8" s="1"/>
  <c r="O95" i="1"/>
  <c r="O87"/>
  <c r="O79"/>
  <c r="O71"/>
  <c r="O63"/>
  <c r="O47"/>
  <c r="D47" i="8" s="1"/>
  <c r="O39" i="1"/>
  <c r="O102"/>
  <c r="O94"/>
  <c r="O86"/>
  <c r="O78"/>
  <c r="O70"/>
  <c r="O62"/>
  <c r="D62" i="8" s="1"/>
  <c r="O54" i="1"/>
  <c r="O38"/>
  <c r="O97"/>
  <c r="O89"/>
  <c r="O81"/>
  <c r="O73"/>
  <c r="D73" i="8" s="1"/>
  <c r="O65" i="1"/>
  <c r="O57"/>
  <c r="O49"/>
  <c r="O41"/>
  <c r="O90"/>
  <c r="O74"/>
  <c r="O58"/>
  <c r="O42"/>
  <c r="O93"/>
  <c r="O77"/>
  <c r="O61"/>
  <c r="O45"/>
  <c r="O103"/>
  <c r="O96"/>
  <c r="O88"/>
  <c r="O80"/>
  <c r="O72"/>
  <c r="O64"/>
  <c r="O56"/>
  <c r="O48"/>
  <c r="O40"/>
  <c r="O99"/>
  <c r="O91"/>
  <c r="O83"/>
  <c r="O75"/>
  <c r="O67"/>
  <c r="O59"/>
  <c r="O51"/>
  <c r="O43"/>
  <c r="O35"/>
  <c r="O98"/>
  <c r="O82"/>
  <c r="O66"/>
  <c r="O50"/>
  <c r="O101"/>
  <c r="O85"/>
  <c r="O69"/>
  <c r="O53"/>
  <c r="O37"/>
  <c r="E189" i="9"/>
  <c r="BN19"/>
  <c r="D190" s="1"/>
  <c r="P18" i="8"/>
  <c r="E18" i="19" s="1"/>
  <c r="P15" i="1"/>
  <c r="D15" i="19" s="1"/>
  <c r="P17" i="1"/>
  <c r="D17" i="19" s="1"/>
  <c r="D25" i="8"/>
  <c r="E25" s="1"/>
  <c r="O521" i="10"/>
  <c r="O523" s="1"/>
  <c r="O524" s="1"/>
  <c r="P25" i="1"/>
  <c r="D25" i="19" s="1"/>
  <c r="K106" i="1"/>
  <c r="K131" s="1"/>
  <c r="P36"/>
  <c r="D36" i="19" s="1"/>
  <c r="L116" i="8"/>
  <c r="G18" i="9" l="1"/>
  <c r="F189"/>
  <c r="H18" s="1"/>
  <c r="D53" i="8"/>
  <c r="P53" i="1"/>
  <c r="D53" i="19" s="1"/>
  <c r="D85" i="8"/>
  <c r="P85" i="1"/>
  <c r="D85" i="19" s="1"/>
  <c r="D50" i="8"/>
  <c r="P50" i="1"/>
  <c r="D50" i="19" s="1"/>
  <c r="D82" i="8"/>
  <c r="P82" i="1"/>
  <c r="D82" i="19" s="1"/>
  <c r="D35" i="8"/>
  <c r="P35" i="1"/>
  <c r="D35" i="19" s="1"/>
  <c r="O106" i="1"/>
  <c r="O131" s="1"/>
  <c r="D51" i="8"/>
  <c r="P51" i="1"/>
  <c r="D51" i="19" s="1"/>
  <c r="D67" i="8"/>
  <c r="P67" i="1"/>
  <c r="D67" i="19" s="1"/>
  <c r="D83" i="8"/>
  <c r="P83" i="1"/>
  <c r="D83" i="19" s="1"/>
  <c r="D99" i="8"/>
  <c r="P99" i="1"/>
  <c r="D99" i="19" s="1"/>
  <c r="D48" i="8"/>
  <c r="P48" i="1"/>
  <c r="D48" i="19" s="1"/>
  <c r="D64" i="8"/>
  <c r="P64" i="1"/>
  <c r="D64" i="19" s="1"/>
  <c r="D80" i="8"/>
  <c r="P80" i="1"/>
  <c r="D80" i="19" s="1"/>
  <c r="D96" i="8"/>
  <c r="P96" i="1"/>
  <c r="D96" i="19" s="1"/>
  <c r="D45" i="8"/>
  <c r="P45" i="1"/>
  <c r="D45" i="19" s="1"/>
  <c r="D77" i="8"/>
  <c r="P77" i="1"/>
  <c r="D77" i="19" s="1"/>
  <c r="D42" i="8"/>
  <c r="P42" i="1"/>
  <c r="D42" i="19" s="1"/>
  <c r="D74" i="8"/>
  <c r="P74" i="1"/>
  <c r="D74" i="19" s="1"/>
  <c r="D41" i="8"/>
  <c r="P41" i="1"/>
  <c r="D41" i="19" s="1"/>
  <c r="D57" i="8"/>
  <c r="P57" i="1"/>
  <c r="D57" i="19" s="1"/>
  <c r="P73" i="1"/>
  <c r="D73" i="19" s="1"/>
  <c r="D89" i="8"/>
  <c r="P89" i="1"/>
  <c r="D89" i="19" s="1"/>
  <c r="D38" i="8"/>
  <c r="P38" i="1"/>
  <c r="D38" i="19" s="1"/>
  <c r="D54" i="8"/>
  <c r="P54" i="1"/>
  <c r="D54" i="19" s="1"/>
  <c r="D70" i="8"/>
  <c r="P70" i="1"/>
  <c r="D70" i="19" s="1"/>
  <c r="D86" i="8"/>
  <c r="P86" i="1"/>
  <c r="D86" i="19" s="1"/>
  <c r="D102" i="8"/>
  <c r="P102" i="1"/>
  <c r="D102" i="19" s="1"/>
  <c r="P47" i="1"/>
  <c r="D47" i="19" s="1"/>
  <c r="D63" i="8"/>
  <c r="P63" i="1"/>
  <c r="D63" i="19" s="1"/>
  <c r="D79" i="8"/>
  <c r="P79" i="1"/>
  <c r="D79" i="19" s="1"/>
  <c r="D95" i="8"/>
  <c r="P95" i="1"/>
  <c r="D95" i="19" s="1"/>
  <c r="D44" i="8"/>
  <c r="P44" i="1"/>
  <c r="D44" i="19" s="1"/>
  <c r="P60" i="1"/>
  <c r="D60" i="19" s="1"/>
  <c r="D76" i="8"/>
  <c r="P76" i="1"/>
  <c r="D76" i="19" s="1"/>
  <c r="D92" i="8"/>
  <c r="P92" i="1"/>
  <c r="D92" i="19" s="1"/>
  <c r="D37" i="8"/>
  <c r="P37" i="1"/>
  <c r="D37" i="19" s="1"/>
  <c r="D69" i="8"/>
  <c r="P69" i="1"/>
  <c r="D69" i="19" s="1"/>
  <c r="D101" i="8"/>
  <c r="P101" i="1"/>
  <c r="D101" i="19" s="1"/>
  <c r="D66" i="8"/>
  <c r="P66" i="1"/>
  <c r="D66" i="19" s="1"/>
  <c r="P98" i="1"/>
  <c r="D98" i="19" s="1"/>
  <c r="D43" i="8"/>
  <c r="P43" i="1"/>
  <c r="D43" i="19" s="1"/>
  <c r="D59" i="8"/>
  <c r="P59" i="1"/>
  <c r="D59" i="19" s="1"/>
  <c r="D75" i="8"/>
  <c r="P75" i="1"/>
  <c r="D75" i="19" s="1"/>
  <c r="D91" i="8"/>
  <c r="P91" i="1"/>
  <c r="D91" i="19" s="1"/>
  <c r="D40" i="8"/>
  <c r="P40" i="1"/>
  <c r="D40" i="19" s="1"/>
  <c r="D56" i="8"/>
  <c r="P56" i="1"/>
  <c r="D56" i="19" s="1"/>
  <c r="D72" i="8"/>
  <c r="P72" i="1"/>
  <c r="D72" i="19" s="1"/>
  <c r="D88" i="8"/>
  <c r="P88" i="1"/>
  <c r="D88" i="19" s="1"/>
  <c r="D103" i="8"/>
  <c r="P103" s="1"/>
  <c r="E103" i="19" s="1"/>
  <c r="P103" i="1"/>
  <c r="D103" i="19" s="1"/>
  <c r="P61" i="1"/>
  <c r="D61" i="19" s="1"/>
  <c r="D93" i="8"/>
  <c r="P93" i="1"/>
  <c r="D93" i="19" s="1"/>
  <c r="P58" i="1"/>
  <c r="D58" i="19" s="1"/>
  <c r="D90" i="8"/>
  <c r="P90" i="1"/>
  <c r="D90" i="19" s="1"/>
  <c r="D49" i="8"/>
  <c r="P49" i="1"/>
  <c r="D49" i="19" s="1"/>
  <c r="D65" i="8"/>
  <c r="P65" i="1"/>
  <c r="D65" i="19" s="1"/>
  <c r="D81" i="8"/>
  <c r="P81" i="1"/>
  <c r="D81" i="19" s="1"/>
  <c r="D97" i="8"/>
  <c r="P97" i="1"/>
  <c r="D97" i="19" s="1"/>
  <c r="D46" i="8"/>
  <c r="P46" i="1"/>
  <c r="D46" i="19" s="1"/>
  <c r="P62" i="1"/>
  <c r="D62" i="19" s="1"/>
  <c r="D78" i="8"/>
  <c r="P78" i="1"/>
  <c r="D78" i="19" s="1"/>
  <c r="D94" i="8"/>
  <c r="P94" i="1"/>
  <c r="D94" i="19" s="1"/>
  <c r="D39" i="8"/>
  <c r="P39" i="1"/>
  <c r="D39" i="19" s="1"/>
  <c r="P55" i="1"/>
  <c r="D55" i="19" s="1"/>
  <c r="D71" i="8"/>
  <c r="P71" i="1"/>
  <c r="D71" i="19" s="1"/>
  <c r="D87" i="8"/>
  <c r="P87" i="1"/>
  <c r="D87" i="19" s="1"/>
  <c r="E36" i="8"/>
  <c r="F36" s="1"/>
  <c r="G36" s="1"/>
  <c r="H36" s="1"/>
  <c r="I36" s="1"/>
  <c r="K36" s="1"/>
  <c r="L36" s="1"/>
  <c r="M36" s="1"/>
  <c r="N36" s="1"/>
  <c r="O36" s="1"/>
  <c r="D32" i="9" s="1"/>
  <c r="BI36" i="8"/>
  <c r="BJ36" s="1"/>
  <c r="D52"/>
  <c r="P52" i="1"/>
  <c r="D52" i="19" s="1"/>
  <c r="D68" i="8"/>
  <c r="P68" i="1"/>
  <c r="D68" i="19" s="1"/>
  <c r="D84" i="8"/>
  <c r="P84" i="1"/>
  <c r="D84" i="19" s="1"/>
  <c r="D100" i="8"/>
  <c r="P100" i="1"/>
  <c r="D100" i="19" s="1"/>
  <c r="E204" i="8"/>
  <c r="D15"/>
  <c r="E19" i="9"/>
  <c r="F18"/>
  <c r="F25" i="8"/>
  <c r="M116"/>
  <c r="F22" i="9"/>
  <c r="I282" i="1"/>
  <c r="D106" i="19" l="1"/>
  <c r="D138" s="1"/>
  <c r="I103"/>
  <c r="P36" i="8"/>
  <c r="E36" i="19" s="1"/>
  <c r="E100" i="8"/>
  <c r="F100" s="1"/>
  <c r="G100" s="1"/>
  <c r="H100" s="1"/>
  <c r="I100" s="1"/>
  <c r="J100" s="1"/>
  <c r="K100" s="1"/>
  <c r="L100" s="1"/>
  <c r="M100" s="1"/>
  <c r="N100" s="1"/>
  <c r="O100" s="1"/>
  <c r="D96" i="9" s="1"/>
  <c r="BI100" i="8"/>
  <c r="BJ100" s="1"/>
  <c r="P100"/>
  <c r="E100" i="19" s="1"/>
  <c r="E84" i="8"/>
  <c r="F84" s="1"/>
  <c r="G84" s="1"/>
  <c r="H84" s="1"/>
  <c r="I84" s="1"/>
  <c r="J84" s="1"/>
  <c r="K84" s="1"/>
  <c r="L84" s="1"/>
  <c r="M84" s="1"/>
  <c r="N84" s="1"/>
  <c r="O84" s="1"/>
  <c r="D80" i="9" s="1"/>
  <c r="BI84" i="8"/>
  <c r="BJ84" s="1"/>
  <c r="P84"/>
  <c r="E84" i="19" s="1"/>
  <c r="E68" i="8"/>
  <c r="F68" s="1"/>
  <c r="G68" s="1"/>
  <c r="H68" s="1"/>
  <c r="I68" s="1"/>
  <c r="J68" s="1"/>
  <c r="K68" s="1"/>
  <c r="L68" s="1"/>
  <c r="M68" s="1"/>
  <c r="N68" s="1"/>
  <c r="O68" s="1"/>
  <c r="D64" i="9" s="1"/>
  <c r="BI68" i="8"/>
  <c r="BJ68" s="1"/>
  <c r="P68"/>
  <c r="E68" i="19" s="1"/>
  <c r="E52" i="8"/>
  <c r="F52" s="1"/>
  <c r="G52" s="1"/>
  <c r="H52" s="1"/>
  <c r="I52" s="1"/>
  <c r="J52" s="1"/>
  <c r="K52" s="1"/>
  <c r="L52" s="1"/>
  <c r="M52" s="1"/>
  <c r="N52" s="1"/>
  <c r="O52" s="1"/>
  <c r="D48" i="9" s="1"/>
  <c r="BI52" i="8"/>
  <c r="BJ52" s="1"/>
  <c r="P52"/>
  <c r="E52" i="19" s="1"/>
  <c r="BI35" i="8"/>
  <c r="BJ35" s="1"/>
  <c r="E35"/>
  <c r="D106"/>
  <c r="D118" s="1"/>
  <c r="E82"/>
  <c r="F82" s="1"/>
  <c r="G82" s="1"/>
  <c r="H82" s="1"/>
  <c r="I82" s="1"/>
  <c r="J82" s="1"/>
  <c r="K82" s="1"/>
  <c r="L82" s="1"/>
  <c r="M82" s="1"/>
  <c r="N82" s="1"/>
  <c r="O82" s="1"/>
  <c r="D78" i="9" s="1"/>
  <c r="BI82" i="8"/>
  <c r="BJ82" s="1"/>
  <c r="E50"/>
  <c r="F50" s="1"/>
  <c r="G50" s="1"/>
  <c r="H50" s="1"/>
  <c r="I50" s="1"/>
  <c r="J50" s="1"/>
  <c r="K50" s="1"/>
  <c r="L50" s="1"/>
  <c r="M50" s="1"/>
  <c r="N50" s="1"/>
  <c r="O50" s="1"/>
  <c r="D46" i="9" s="1"/>
  <c r="BI50" i="8"/>
  <c r="BJ50" s="1"/>
  <c r="P50"/>
  <c r="E50" i="19" s="1"/>
  <c r="E85" i="8"/>
  <c r="F85" s="1"/>
  <c r="G85" s="1"/>
  <c r="H85" s="1"/>
  <c r="I85" s="1"/>
  <c r="J85" s="1"/>
  <c r="K85" s="1"/>
  <c r="L85" s="1"/>
  <c r="M85" s="1"/>
  <c r="N85" s="1"/>
  <c r="O85" s="1"/>
  <c r="D81" i="9" s="1"/>
  <c r="BI85" i="8"/>
  <c r="BJ85" s="1"/>
  <c r="P85"/>
  <c r="E85" i="19" s="1"/>
  <c r="E53" i="8"/>
  <c r="F53" s="1"/>
  <c r="G53" s="1"/>
  <c r="H53" s="1"/>
  <c r="I53" s="1"/>
  <c r="J53" s="1"/>
  <c r="K53" s="1"/>
  <c r="L53" s="1"/>
  <c r="M53" s="1"/>
  <c r="N53" s="1"/>
  <c r="O53" s="1"/>
  <c r="D49" i="9" s="1"/>
  <c r="BI53" i="8"/>
  <c r="BJ53" s="1"/>
  <c r="P53"/>
  <c r="E53" i="19" s="1"/>
  <c r="E32" i="9"/>
  <c r="F32" s="1"/>
  <c r="G32" s="1"/>
  <c r="H32" s="1"/>
  <c r="I32" s="1"/>
  <c r="K32" s="1"/>
  <c r="L32" s="1"/>
  <c r="M32" s="1"/>
  <c r="N32" s="1"/>
  <c r="O32" s="1"/>
  <c r="E87" i="8"/>
  <c r="F87" s="1"/>
  <c r="G87" s="1"/>
  <c r="H87" s="1"/>
  <c r="I87" s="1"/>
  <c r="J87" s="1"/>
  <c r="K87" s="1"/>
  <c r="L87" s="1"/>
  <c r="M87" s="1"/>
  <c r="N87" s="1"/>
  <c r="O87" s="1"/>
  <c r="D83" i="9" s="1"/>
  <c r="BI87" i="8"/>
  <c r="BJ87" s="1"/>
  <c r="P87"/>
  <c r="E87" i="19" s="1"/>
  <c r="E71" i="8"/>
  <c r="F71" s="1"/>
  <c r="G71" s="1"/>
  <c r="H71" s="1"/>
  <c r="I71" s="1"/>
  <c r="J71" s="1"/>
  <c r="K71" s="1"/>
  <c r="L71" s="1"/>
  <c r="M71" s="1"/>
  <c r="N71" s="1"/>
  <c r="O71" s="1"/>
  <c r="D67" i="9" s="1"/>
  <c r="BI71" i="8"/>
  <c r="BJ71" s="1"/>
  <c r="P71"/>
  <c r="E71" i="19" s="1"/>
  <c r="D51" i="9"/>
  <c r="BI55" i="8"/>
  <c r="BJ55" s="1"/>
  <c r="E39"/>
  <c r="F39" s="1"/>
  <c r="G39" s="1"/>
  <c r="H39" s="1"/>
  <c r="I39" s="1"/>
  <c r="J39" s="1"/>
  <c r="K39" s="1"/>
  <c r="L39" s="1"/>
  <c r="M39" s="1"/>
  <c r="N39" s="1"/>
  <c r="BI39"/>
  <c r="BJ39" s="1"/>
  <c r="E94"/>
  <c r="F94" s="1"/>
  <c r="G94" s="1"/>
  <c r="H94" s="1"/>
  <c r="I94" s="1"/>
  <c r="J94" s="1"/>
  <c r="K94" s="1"/>
  <c r="L94" s="1"/>
  <c r="M94" s="1"/>
  <c r="N94" s="1"/>
  <c r="O94" s="1"/>
  <c r="D90" i="9" s="1"/>
  <c r="BI94" i="8"/>
  <c r="BJ94" s="1"/>
  <c r="E78"/>
  <c r="F78" s="1"/>
  <c r="G78" s="1"/>
  <c r="H78" s="1"/>
  <c r="I78" s="1"/>
  <c r="J78" s="1"/>
  <c r="K78" s="1"/>
  <c r="L78" s="1"/>
  <c r="M78" s="1"/>
  <c r="N78" s="1"/>
  <c r="O78" s="1"/>
  <c r="D74" i="9" s="1"/>
  <c r="BI78" i="8"/>
  <c r="BJ78" s="1"/>
  <c r="E62"/>
  <c r="F62" s="1"/>
  <c r="G62" s="1"/>
  <c r="H62" s="1"/>
  <c r="I62" s="1"/>
  <c r="J62" s="1"/>
  <c r="K62" s="1"/>
  <c r="L62" s="1"/>
  <c r="M62" s="1"/>
  <c r="N62" s="1"/>
  <c r="O62" s="1"/>
  <c r="D58" i="9" s="1"/>
  <c r="BI62" i="8"/>
  <c r="BJ62" s="1"/>
  <c r="E46"/>
  <c r="F46" s="1"/>
  <c r="G46" s="1"/>
  <c r="H46" s="1"/>
  <c r="I46" s="1"/>
  <c r="J46" s="1"/>
  <c r="K46" s="1"/>
  <c r="L46" s="1"/>
  <c r="M46" s="1"/>
  <c r="N46" s="1"/>
  <c r="O46" s="1"/>
  <c r="D42" i="9" s="1"/>
  <c r="BI46" i="8"/>
  <c r="BJ46" s="1"/>
  <c r="P46"/>
  <c r="E46" i="19" s="1"/>
  <c r="E97" i="8"/>
  <c r="F97" s="1"/>
  <c r="G97" s="1"/>
  <c r="H97" s="1"/>
  <c r="I97" s="1"/>
  <c r="J97" s="1"/>
  <c r="K97" s="1"/>
  <c r="L97" s="1"/>
  <c r="M97" s="1"/>
  <c r="N97" s="1"/>
  <c r="O97" s="1"/>
  <c r="D93" i="9" s="1"/>
  <c r="BI97" i="8"/>
  <c r="BJ97" s="1"/>
  <c r="P97"/>
  <c r="E97" i="19" s="1"/>
  <c r="E81" i="8"/>
  <c r="F81" s="1"/>
  <c r="G81" s="1"/>
  <c r="H81" s="1"/>
  <c r="I81" s="1"/>
  <c r="J81" s="1"/>
  <c r="K81" s="1"/>
  <c r="L81" s="1"/>
  <c r="M81" s="1"/>
  <c r="N81" s="1"/>
  <c r="O81" s="1"/>
  <c r="D77" i="9" s="1"/>
  <c r="BI81" i="8"/>
  <c r="BJ81" s="1"/>
  <c r="E65"/>
  <c r="F65" s="1"/>
  <c r="G65" s="1"/>
  <c r="H65" s="1"/>
  <c r="I65" s="1"/>
  <c r="J65" s="1"/>
  <c r="K65" s="1"/>
  <c r="L65" s="1"/>
  <c r="M65" s="1"/>
  <c r="N65" s="1"/>
  <c r="O65" s="1"/>
  <c r="D61" i="9" s="1"/>
  <c r="BI65" i="8"/>
  <c r="BJ65" s="1"/>
  <c r="P65"/>
  <c r="E65" i="19" s="1"/>
  <c r="E49" i="8"/>
  <c r="F49" s="1"/>
  <c r="G49" s="1"/>
  <c r="H49" s="1"/>
  <c r="I49" s="1"/>
  <c r="J49" s="1"/>
  <c r="K49" s="1"/>
  <c r="L49" s="1"/>
  <c r="M49" s="1"/>
  <c r="N49" s="1"/>
  <c r="O49" s="1"/>
  <c r="D45" i="9" s="1"/>
  <c r="BI49" i="8"/>
  <c r="BJ49" s="1"/>
  <c r="E90"/>
  <c r="F90" s="1"/>
  <c r="G90" s="1"/>
  <c r="H90" s="1"/>
  <c r="I90" s="1"/>
  <c r="J90" s="1"/>
  <c r="K90" s="1"/>
  <c r="L90" s="1"/>
  <c r="M90" s="1"/>
  <c r="N90" s="1"/>
  <c r="O90" s="1"/>
  <c r="D86" i="9" s="1"/>
  <c r="BI90" i="8"/>
  <c r="BJ90" s="1"/>
  <c r="P90"/>
  <c r="E90" i="19" s="1"/>
  <c r="E58" i="8"/>
  <c r="F58" s="1"/>
  <c r="G58" s="1"/>
  <c r="H58" s="1"/>
  <c r="I58" s="1"/>
  <c r="J58" s="1"/>
  <c r="K58" s="1"/>
  <c r="L58" s="1"/>
  <c r="M58" s="1"/>
  <c r="N58" s="1"/>
  <c r="O58" s="1"/>
  <c r="D54" i="9" s="1"/>
  <c r="BI58" i="8"/>
  <c r="BJ58" s="1"/>
  <c r="E93"/>
  <c r="F93" s="1"/>
  <c r="G93" s="1"/>
  <c r="H93" s="1"/>
  <c r="I93" s="1"/>
  <c r="J93" s="1"/>
  <c r="K93" s="1"/>
  <c r="L93" s="1"/>
  <c r="M93" s="1"/>
  <c r="N93" s="1"/>
  <c r="O93" s="1"/>
  <c r="BI93"/>
  <c r="BJ93" s="1"/>
  <c r="P93"/>
  <c r="E93" i="19" s="1"/>
  <c r="E61" i="8"/>
  <c r="F61" s="1"/>
  <c r="G61" s="1"/>
  <c r="H61" s="1"/>
  <c r="I61" s="1"/>
  <c r="J61" s="1"/>
  <c r="K61" s="1"/>
  <c r="L61" s="1"/>
  <c r="M61" s="1"/>
  <c r="N61" s="1"/>
  <c r="O61" s="1"/>
  <c r="D57" i="9" s="1"/>
  <c r="BI61" i="8"/>
  <c r="BJ61" s="1"/>
  <c r="E88"/>
  <c r="F88" s="1"/>
  <c r="G88" s="1"/>
  <c r="H88" s="1"/>
  <c r="I88" s="1"/>
  <c r="J88" s="1"/>
  <c r="K88" s="1"/>
  <c r="L88" s="1"/>
  <c r="M88" s="1"/>
  <c r="N88" s="1"/>
  <c r="O88" s="1"/>
  <c r="D84" i="9" s="1"/>
  <c r="BI88" i="8"/>
  <c r="BJ88" s="1"/>
  <c r="E72"/>
  <c r="F72" s="1"/>
  <c r="G72" s="1"/>
  <c r="H72" s="1"/>
  <c r="I72" s="1"/>
  <c r="J72" s="1"/>
  <c r="K72" s="1"/>
  <c r="L72" s="1"/>
  <c r="M72" s="1"/>
  <c r="N72" s="1"/>
  <c r="O72" s="1"/>
  <c r="D68" i="9" s="1"/>
  <c r="BI72" i="8"/>
  <c r="BJ72" s="1"/>
  <c r="P72"/>
  <c r="E72" i="19" s="1"/>
  <c r="E56" i="8"/>
  <c r="F56" s="1"/>
  <c r="G56" s="1"/>
  <c r="H56" s="1"/>
  <c r="I56" s="1"/>
  <c r="J56" s="1"/>
  <c r="K56" s="1"/>
  <c r="L56" s="1"/>
  <c r="M56" s="1"/>
  <c r="BI56"/>
  <c r="BJ56" s="1"/>
  <c r="E40"/>
  <c r="F40" s="1"/>
  <c r="G40" s="1"/>
  <c r="H40" s="1"/>
  <c r="I40" s="1"/>
  <c r="J40" s="1"/>
  <c r="K40" s="1"/>
  <c r="L40" s="1"/>
  <c r="M40" s="1"/>
  <c r="N40" s="1"/>
  <c r="O40" s="1"/>
  <c r="D36" i="9" s="1"/>
  <c r="BI40" i="8"/>
  <c r="BJ40" s="1"/>
  <c r="E91"/>
  <c r="BI91"/>
  <c r="BJ91" s="1"/>
  <c r="E75"/>
  <c r="F75" s="1"/>
  <c r="G75" s="1"/>
  <c r="H75" s="1"/>
  <c r="I75" s="1"/>
  <c r="J75" s="1"/>
  <c r="K75" s="1"/>
  <c r="L75" s="1"/>
  <c r="M75" s="1"/>
  <c r="N75" s="1"/>
  <c r="O75" s="1"/>
  <c r="D71" i="9" s="1"/>
  <c r="BI75" i="8"/>
  <c r="BJ75" s="1"/>
  <c r="E59"/>
  <c r="F59" s="1"/>
  <c r="G59" s="1"/>
  <c r="H59" s="1"/>
  <c r="I59" s="1"/>
  <c r="J59" s="1"/>
  <c r="K59" s="1"/>
  <c r="L59" s="1"/>
  <c r="M59" s="1"/>
  <c r="N59" s="1"/>
  <c r="O59" s="1"/>
  <c r="D55" i="9" s="1"/>
  <c r="BI59" i="8"/>
  <c r="BJ59" s="1"/>
  <c r="P59"/>
  <c r="E59" i="19" s="1"/>
  <c r="E43" i="8"/>
  <c r="F43" s="1"/>
  <c r="G43" s="1"/>
  <c r="H43" s="1"/>
  <c r="I43" s="1"/>
  <c r="J43" s="1"/>
  <c r="K43" s="1"/>
  <c r="L43" s="1"/>
  <c r="M43" s="1"/>
  <c r="N43" s="1"/>
  <c r="O43" s="1"/>
  <c r="D39" i="9" s="1"/>
  <c r="BI43" i="8"/>
  <c r="BJ43" s="1"/>
  <c r="D94" i="9"/>
  <c r="BI98" i="8"/>
  <c r="BJ98" s="1"/>
  <c r="P98"/>
  <c r="E98" i="19" s="1"/>
  <c r="E66" i="8"/>
  <c r="F66" s="1"/>
  <c r="G66" s="1"/>
  <c r="H66" s="1"/>
  <c r="I66" s="1"/>
  <c r="J66" s="1"/>
  <c r="K66" s="1"/>
  <c r="L66" s="1"/>
  <c r="M66" s="1"/>
  <c r="N66" s="1"/>
  <c r="O66" s="1"/>
  <c r="D62" i="9" s="1"/>
  <c r="BI66" i="8"/>
  <c r="BJ66" s="1"/>
  <c r="E101"/>
  <c r="F101" s="1"/>
  <c r="G101" s="1"/>
  <c r="H101" s="1"/>
  <c r="I101" s="1"/>
  <c r="J101" s="1"/>
  <c r="K101" s="1"/>
  <c r="L101" s="1"/>
  <c r="M101" s="1"/>
  <c r="N101" s="1"/>
  <c r="O101" s="1"/>
  <c r="D97" i="9" s="1"/>
  <c r="BI101" i="8"/>
  <c r="BJ101" s="1"/>
  <c r="E69"/>
  <c r="F69" s="1"/>
  <c r="G69" s="1"/>
  <c r="H69" s="1"/>
  <c r="I69" s="1"/>
  <c r="J69" s="1"/>
  <c r="K69" s="1"/>
  <c r="L69" s="1"/>
  <c r="M69" s="1"/>
  <c r="N69" s="1"/>
  <c r="O69" s="1"/>
  <c r="D65" i="9" s="1"/>
  <c r="BI69" i="8"/>
  <c r="BJ69" s="1"/>
  <c r="E37"/>
  <c r="F37" s="1"/>
  <c r="G37" s="1"/>
  <c r="H37" s="1"/>
  <c r="I37" s="1"/>
  <c r="BI37"/>
  <c r="P37"/>
  <c r="E37" i="19" s="1"/>
  <c r="E92" i="8"/>
  <c r="BI92"/>
  <c r="BJ92" s="1"/>
  <c r="E76"/>
  <c r="F76" s="1"/>
  <c r="G76" s="1"/>
  <c r="H76" s="1"/>
  <c r="I76" s="1"/>
  <c r="J76" s="1"/>
  <c r="K76" s="1"/>
  <c r="L76" s="1"/>
  <c r="M76" s="1"/>
  <c r="N76" s="1"/>
  <c r="O76" s="1"/>
  <c r="D72" i="9" s="1"/>
  <c r="BI76" i="8"/>
  <c r="BJ76" s="1"/>
  <c r="P76"/>
  <c r="E76" i="19" s="1"/>
  <c r="E60" i="8"/>
  <c r="F60" s="1"/>
  <c r="G60" s="1"/>
  <c r="H60" s="1"/>
  <c r="I60" s="1"/>
  <c r="J60" s="1"/>
  <c r="K60" s="1"/>
  <c r="L60" s="1"/>
  <c r="M60" s="1"/>
  <c r="N60" s="1"/>
  <c r="O60" s="1"/>
  <c r="D56" i="9" s="1"/>
  <c r="BI60" i="8"/>
  <c r="BJ60" s="1"/>
  <c r="E44"/>
  <c r="F44" s="1"/>
  <c r="G44" s="1"/>
  <c r="H44" s="1"/>
  <c r="I44" s="1"/>
  <c r="J44" s="1"/>
  <c r="K44" s="1"/>
  <c r="L44" s="1"/>
  <c r="M44" s="1"/>
  <c r="N44" s="1"/>
  <c r="O44" s="1"/>
  <c r="D40" i="9" s="1"/>
  <c r="BI44" i="8"/>
  <c r="BJ44" s="1"/>
  <c r="E95"/>
  <c r="F95" s="1"/>
  <c r="G95" s="1"/>
  <c r="H95" s="1"/>
  <c r="I95" s="1"/>
  <c r="J95" s="1"/>
  <c r="K95" s="1"/>
  <c r="L95" s="1"/>
  <c r="M95" s="1"/>
  <c r="N95" s="1"/>
  <c r="O95" s="1"/>
  <c r="D91" i="9" s="1"/>
  <c r="BI95" i="8"/>
  <c r="BJ95" s="1"/>
  <c r="E79"/>
  <c r="F79" s="1"/>
  <c r="G79" s="1"/>
  <c r="H79" s="1"/>
  <c r="I79" s="1"/>
  <c r="J79" s="1"/>
  <c r="K79" s="1"/>
  <c r="L79" s="1"/>
  <c r="M79" s="1"/>
  <c r="N79" s="1"/>
  <c r="O79" s="1"/>
  <c r="D75" i="9" s="1"/>
  <c r="BI79" i="8"/>
  <c r="BJ79" s="1"/>
  <c r="E63"/>
  <c r="F63" s="1"/>
  <c r="G63" s="1"/>
  <c r="H63" s="1"/>
  <c r="I63" s="1"/>
  <c r="J63" s="1"/>
  <c r="K63" s="1"/>
  <c r="L63" s="1"/>
  <c r="M63" s="1"/>
  <c r="N63" s="1"/>
  <c r="O63" s="1"/>
  <c r="D59" i="9" s="1"/>
  <c r="BI63" i="8"/>
  <c r="BJ63" s="1"/>
  <c r="P63"/>
  <c r="E63" i="19" s="1"/>
  <c r="E47" i="8"/>
  <c r="F47" s="1"/>
  <c r="G47" s="1"/>
  <c r="H47" s="1"/>
  <c r="I47" s="1"/>
  <c r="J47" s="1"/>
  <c r="K47" s="1"/>
  <c r="L47" s="1"/>
  <c r="M47" s="1"/>
  <c r="N47" s="1"/>
  <c r="O47" s="1"/>
  <c r="D43" i="9" s="1"/>
  <c r="BI47" i="8"/>
  <c r="BJ47" s="1"/>
  <c r="E102"/>
  <c r="F102" s="1"/>
  <c r="G102" s="1"/>
  <c r="H102" s="1"/>
  <c r="I102" s="1"/>
  <c r="J102" s="1"/>
  <c r="K102" s="1"/>
  <c r="L102" s="1"/>
  <c r="M102" s="1"/>
  <c r="N102" s="1"/>
  <c r="O102" s="1"/>
  <c r="D98" i="9" s="1"/>
  <c r="BI102" i="8"/>
  <c r="BJ102" s="1"/>
  <c r="E86"/>
  <c r="F86" s="1"/>
  <c r="G86" s="1"/>
  <c r="H86" s="1"/>
  <c r="I86" s="1"/>
  <c r="J86" s="1"/>
  <c r="K86" s="1"/>
  <c r="L86" s="1"/>
  <c r="M86" s="1"/>
  <c r="N86" s="1"/>
  <c r="O86" s="1"/>
  <c r="D82" i="9" s="1"/>
  <c r="BI86" i="8"/>
  <c r="BJ86" s="1"/>
  <c r="E70"/>
  <c r="F70" s="1"/>
  <c r="G70" s="1"/>
  <c r="H70" s="1"/>
  <c r="I70" s="1"/>
  <c r="J70" s="1"/>
  <c r="K70" s="1"/>
  <c r="L70" s="1"/>
  <c r="M70" s="1"/>
  <c r="N70" s="1"/>
  <c r="O70" s="1"/>
  <c r="D66" i="9" s="1"/>
  <c r="BI70" i="8"/>
  <c r="BJ70" s="1"/>
  <c r="E54"/>
  <c r="F54" s="1"/>
  <c r="G54" s="1"/>
  <c r="H54" s="1"/>
  <c r="I54" s="1"/>
  <c r="J54" s="1"/>
  <c r="K54" s="1"/>
  <c r="L54" s="1"/>
  <c r="M54" s="1"/>
  <c r="N54" s="1"/>
  <c r="O54" s="1"/>
  <c r="D50" i="9" s="1"/>
  <c r="BI54" i="8"/>
  <c r="BJ54" s="1"/>
  <c r="E38"/>
  <c r="F38" s="1"/>
  <c r="G38" s="1"/>
  <c r="H38" s="1"/>
  <c r="I38" s="1"/>
  <c r="J38" s="1"/>
  <c r="K38" s="1"/>
  <c r="L38" s="1"/>
  <c r="M38" s="1"/>
  <c r="N38" s="1"/>
  <c r="O38" s="1"/>
  <c r="D34" i="9" s="1"/>
  <c r="BI38" i="8"/>
  <c r="E89"/>
  <c r="F89" s="1"/>
  <c r="G89" s="1"/>
  <c r="H89" s="1"/>
  <c r="I89" s="1"/>
  <c r="J89" s="1"/>
  <c r="K89" s="1"/>
  <c r="L89" s="1"/>
  <c r="M89" s="1"/>
  <c r="N89" s="1"/>
  <c r="O89" s="1"/>
  <c r="D85" i="9" s="1"/>
  <c r="BI89" i="8"/>
  <c r="BJ89" s="1"/>
  <c r="E73"/>
  <c r="F73" s="1"/>
  <c r="BI73"/>
  <c r="BJ73" s="1"/>
  <c r="E57"/>
  <c r="F57" s="1"/>
  <c r="G57" s="1"/>
  <c r="H57" s="1"/>
  <c r="I57" s="1"/>
  <c r="J57" s="1"/>
  <c r="K57" s="1"/>
  <c r="L57" s="1"/>
  <c r="M57" s="1"/>
  <c r="N57" s="1"/>
  <c r="O57" s="1"/>
  <c r="D53" i="9" s="1"/>
  <c r="BI57" i="8"/>
  <c r="BJ57" s="1"/>
  <c r="E41"/>
  <c r="F41" s="1"/>
  <c r="G41" s="1"/>
  <c r="H41" s="1"/>
  <c r="I41" s="1"/>
  <c r="J41" s="1"/>
  <c r="K41" s="1"/>
  <c r="L41" s="1"/>
  <c r="M41" s="1"/>
  <c r="N41" s="1"/>
  <c r="O41" s="1"/>
  <c r="D37" i="9" s="1"/>
  <c r="BI41" i="8"/>
  <c r="BJ41" s="1"/>
  <c r="E74"/>
  <c r="F74" s="1"/>
  <c r="J74" s="1"/>
  <c r="K74" s="1"/>
  <c r="L74" s="1"/>
  <c r="M74" s="1"/>
  <c r="N74" s="1"/>
  <c r="O74" s="1"/>
  <c r="D70" i="9" s="1"/>
  <c r="BI74" i="8"/>
  <c r="BJ74" s="1"/>
  <c r="E42"/>
  <c r="BI42"/>
  <c r="BJ42" s="1"/>
  <c r="E77"/>
  <c r="F77" s="1"/>
  <c r="G77" s="1"/>
  <c r="H77" s="1"/>
  <c r="I77" s="1"/>
  <c r="J77" s="1"/>
  <c r="K77" s="1"/>
  <c r="L77" s="1"/>
  <c r="M77" s="1"/>
  <c r="N77" s="1"/>
  <c r="O77" s="1"/>
  <c r="D73" i="9" s="1"/>
  <c r="BI77" i="8"/>
  <c r="BJ77" s="1"/>
  <c r="E45"/>
  <c r="F45" s="1"/>
  <c r="G45" s="1"/>
  <c r="H45" s="1"/>
  <c r="I45" s="1"/>
  <c r="J45" s="1"/>
  <c r="K45" s="1"/>
  <c r="L45" s="1"/>
  <c r="M45" s="1"/>
  <c r="N45" s="1"/>
  <c r="O45" s="1"/>
  <c r="D41" i="9" s="1"/>
  <c r="BI45" i="8"/>
  <c r="BJ45" s="1"/>
  <c r="E96"/>
  <c r="F96" s="1"/>
  <c r="G96" s="1"/>
  <c r="H96" s="1"/>
  <c r="I96" s="1"/>
  <c r="J96" s="1"/>
  <c r="K96" s="1"/>
  <c r="L96" s="1"/>
  <c r="M96" s="1"/>
  <c r="N96" s="1"/>
  <c r="O96" s="1"/>
  <c r="D92" i="9" s="1"/>
  <c r="BI96" i="8"/>
  <c r="BJ96" s="1"/>
  <c r="E80"/>
  <c r="F80" s="1"/>
  <c r="G80" s="1"/>
  <c r="H80" s="1"/>
  <c r="I80" s="1"/>
  <c r="J80" s="1"/>
  <c r="K80" s="1"/>
  <c r="L80" s="1"/>
  <c r="M80" s="1"/>
  <c r="N80" s="1"/>
  <c r="O80" s="1"/>
  <c r="D76" i="9" s="1"/>
  <c r="BI80" i="8"/>
  <c r="BJ80" s="1"/>
  <c r="P80"/>
  <c r="E80" i="19" s="1"/>
  <c r="E64" i="8"/>
  <c r="F64" s="1"/>
  <c r="G64" s="1"/>
  <c r="H64" s="1"/>
  <c r="I64" s="1"/>
  <c r="J64" s="1"/>
  <c r="K64" s="1"/>
  <c r="L64" s="1"/>
  <c r="M64" s="1"/>
  <c r="N64" s="1"/>
  <c r="O64" s="1"/>
  <c r="D60" i="9" s="1"/>
  <c r="BI64" i="8"/>
  <c r="BJ64" s="1"/>
  <c r="E48"/>
  <c r="F48" s="1"/>
  <c r="G48" s="1"/>
  <c r="H48" s="1"/>
  <c r="I48" s="1"/>
  <c r="J48" s="1"/>
  <c r="K48" s="1"/>
  <c r="L48" s="1"/>
  <c r="M48" s="1"/>
  <c r="N48" s="1"/>
  <c r="O48" s="1"/>
  <c r="D44" i="9" s="1"/>
  <c r="BI48" i="8"/>
  <c r="BJ48" s="1"/>
  <c r="E99"/>
  <c r="F99" s="1"/>
  <c r="G99" s="1"/>
  <c r="H99" s="1"/>
  <c r="I99" s="1"/>
  <c r="J99" s="1"/>
  <c r="K99" s="1"/>
  <c r="L99" s="1"/>
  <c r="M99" s="1"/>
  <c r="N99" s="1"/>
  <c r="O99" s="1"/>
  <c r="D95" i="9" s="1"/>
  <c r="BI99" i="8"/>
  <c r="BJ99" s="1"/>
  <c r="E83"/>
  <c r="F83" s="1"/>
  <c r="G83" s="1"/>
  <c r="H83" s="1"/>
  <c r="I83" s="1"/>
  <c r="J83" s="1"/>
  <c r="K83" s="1"/>
  <c r="L83" s="1"/>
  <c r="M83" s="1"/>
  <c r="N83" s="1"/>
  <c r="O83" s="1"/>
  <c r="D79" i="9" s="1"/>
  <c r="BI83" i="8"/>
  <c r="BJ83" s="1"/>
  <c r="E67"/>
  <c r="F67" s="1"/>
  <c r="G67" s="1"/>
  <c r="H67" s="1"/>
  <c r="I67" s="1"/>
  <c r="J67" s="1"/>
  <c r="K67" s="1"/>
  <c r="L67" s="1"/>
  <c r="M67" s="1"/>
  <c r="N67" s="1"/>
  <c r="O67" s="1"/>
  <c r="D63" i="9" s="1"/>
  <c r="BI67" i="8"/>
  <c r="BJ67" s="1"/>
  <c r="E51"/>
  <c r="F51" s="1"/>
  <c r="G51" s="1"/>
  <c r="H51" s="1"/>
  <c r="I51" s="1"/>
  <c r="J51" s="1"/>
  <c r="K51" s="1"/>
  <c r="L51" s="1"/>
  <c r="M51" s="1"/>
  <c r="N51" s="1"/>
  <c r="O51" s="1"/>
  <c r="D47" i="9" s="1"/>
  <c r="BI51" i="8"/>
  <c r="BJ51" s="1"/>
  <c r="F204"/>
  <c r="E15"/>
  <c r="E190" i="9"/>
  <c r="G189"/>
  <c r="I18" s="1"/>
  <c r="G25" i="8"/>
  <c r="N116"/>
  <c r="G22" i="9"/>
  <c r="P22" s="1"/>
  <c r="F42" i="8" l="1"/>
  <c r="D12" i="33"/>
  <c r="P45" i="8"/>
  <c r="E45" i="19" s="1"/>
  <c r="P44" i="8"/>
  <c r="E44" i="19" s="1"/>
  <c r="P89" i="8"/>
  <c r="E89" i="19" s="1"/>
  <c r="F92" i="8"/>
  <c r="C10" i="30"/>
  <c r="F91" i="8"/>
  <c r="C9" i="30"/>
  <c r="P41" i="8"/>
  <c r="E41" i="19" s="1"/>
  <c r="P54" i="8"/>
  <c r="E54" i="19" s="1"/>
  <c r="P83" i="8"/>
  <c r="E83" i="19" s="1"/>
  <c r="P101" i="8"/>
  <c r="E101" i="19" s="1"/>
  <c r="P86" i="8"/>
  <c r="E86" i="19" s="1"/>
  <c r="P95" i="8"/>
  <c r="E95" i="19" s="1"/>
  <c r="P78" i="8"/>
  <c r="E78" i="19" s="1"/>
  <c r="P48" i="8"/>
  <c r="E48" i="19" s="1"/>
  <c r="P77" i="8"/>
  <c r="E77" i="19" s="1"/>
  <c r="P57" i="8"/>
  <c r="E57" i="19" s="1"/>
  <c r="P70" i="8"/>
  <c r="E70" i="19" s="1"/>
  <c r="P66" i="8"/>
  <c r="E66" i="19" s="1"/>
  <c r="P75" i="8"/>
  <c r="E75" i="19" s="1"/>
  <c r="P58" i="8"/>
  <c r="E58" i="19" s="1"/>
  <c r="P81" i="8"/>
  <c r="E81" i="19" s="1"/>
  <c r="P74" i="8"/>
  <c r="E74" i="19" s="1"/>
  <c r="P38" i="8"/>
  <c r="E38" i="19" s="1"/>
  <c r="P102" i="8"/>
  <c r="E102" i="19" s="1"/>
  <c r="P79" i="8"/>
  <c r="E79" i="19" s="1"/>
  <c r="P69" i="8"/>
  <c r="E69" i="19" s="1"/>
  <c r="P43" i="8"/>
  <c r="E43" i="19" s="1"/>
  <c r="P40" i="8"/>
  <c r="E40" i="19" s="1"/>
  <c r="P88" i="8"/>
  <c r="E88" i="19" s="1"/>
  <c r="P49" i="8"/>
  <c r="E49" i="19" s="1"/>
  <c r="P94" i="8"/>
  <c r="E94" i="19" s="1"/>
  <c r="P96" i="8"/>
  <c r="E96" i="19" s="1"/>
  <c r="P64" i="8"/>
  <c r="E64" i="19" s="1"/>
  <c r="P82" i="8"/>
  <c r="E82" i="19" s="1"/>
  <c r="F19" i="9"/>
  <c r="F190"/>
  <c r="G19" s="1"/>
  <c r="D89"/>
  <c r="E89" s="1"/>
  <c r="F89" s="1"/>
  <c r="G89" s="1"/>
  <c r="P99" i="8"/>
  <c r="E99" i="19" s="1"/>
  <c r="P67" i="8"/>
  <c r="E67" i="19" s="1"/>
  <c r="P55" i="8"/>
  <c r="R55" s="1"/>
  <c r="P61"/>
  <c r="E61" i="19" s="1"/>
  <c r="H73" i="8"/>
  <c r="I73" s="1"/>
  <c r="P60"/>
  <c r="E60" i="19" s="1"/>
  <c r="P62" i="8"/>
  <c r="E62" i="19" s="1"/>
  <c r="P47" i="8"/>
  <c r="E47" i="19" s="1"/>
  <c r="E57" i="11"/>
  <c r="P51" i="8"/>
  <c r="E51" i="19" s="1"/>
  <c r="E70" i="9"/>
  <c r="F70" s="1"/>
  <c r="E63"/>
  <c r="F63" s="1"/>
  <c r="G63" s="1"/>
  <c r="H63" s="1"/>
  <c r="I63" s="1"/>
  <c r="J63" s="1"/>
  <c r="K63" s="1"/>
  <c r="L63" s="1"/>
  <c r="M63" s="1"/>
  <c r="N63" s="1"/>
  <c r="O63" s="1"/>
  <c r="E95"/>
  <c r="F95" s="1"/>
  <c r="G95" s="1"/>
  <c r="H95" s="1"/>
  <c r="I95" s="1"/>
  <c r="J95" s="1"/>
  <c r="K95" s="1"/>
  <c r="L95" s="1"/>
  <c r="M95" s="1"/>
  <c r="N95" s="1"/>
  <c r="O95" s="1"/>
  <c r="E60"/>
  <c r="F60" s="1"/>
  <c r="G60" s="1"/>
  <c r="H60" s="1"/>
  <c r="I60" s="1"/>
  <c r="J60" s="1"/>
  <c r="K60" s="1"/>
  <c r="L60" s="1"/>
  <c r="M60" s="1"/>
  <c r="N60" s="1"/>
  <c r="O60" s="1"/>
  <c r="E92"/>
  <c r="F92" s="1"/>
  <c r="G92" s="1"/>
  <c r="H92" s="1"/>
  <c r="I92" s="1"/>
  <c r="J92" s="1"/>
  <c r="K92" s="1"/>
  <c r="L92" s="1"/>
  <c r="M92" s="1"/>
  <c r="N92" s="1"/>
  <c r="O92" s="1"/>
  <c r="E73"/>
  <c r="F73" s="1"/>
  <c r="G73" s="1"/>
  <c r="H73" s="1"/>
  <c r="I73" s="1"/>
  <c r="J73" s="1"/>
  <c r="K73" s="1"/>
  <c r="L73" s="1"/>
  <c r="M73" s="1"/>
  <c r="N73" s="1"/>
  <c r="O73" s="1"/>
  <c r="E53"/>
  <c r="F53" s="1"/>
  <c r="G53" s="1"/>
  <c r="H53" s="1"/>
  <c r="I53" s="1"/>
  <c r="J53" s="1"/>
  <c r="K53" s="1"/>
  <c r="L53" s="1"/>
  <c r="M53" s="1"/>
  <c r="N53" s="1"/>
  <c r="O53" s="1"/>
  <c r="E85"/>
  <c r="F85" s="1"/>
  <c r="G85" s="1"/>
  <c r="H85" s="1"/>
  <c r="I85" s="1"/>
  <c r="J85" s="1"/>
  <c r="K85" s="1"/>
  <c r="L85" s="1"/>
  <c r="M85" s="1"/>
  <c r="N85" s="1"/>
  <c r="O85" s="1"/>
  <c r="E50"/>
  <c r="F50" s="1"/>
  <c r="G50" s="1"/>
  <c r="H50" s="1"/>
  <c r="I50" s="1"/>
  <c r="J50" s="1"/>
  <c r="K50" s="1"/>
  <c r="L50" s="1"/>
  <c r="M50" s="1"/>
  <c r="N50" s="1"/>
  <c r="O50" s="1"/>
  <c r="E82"/>
  <c r="F82" s="1"/>
  <c r="G82" s="1"/>
  <c r="H82" s="1"/>
  <c r="I82" s="1"/>
  <c r="J82" s="1"/>
  <c r="K82" s="1"/>
  <c r="L82" s="1"/>
  <c r="M82" s="1"/>
  <c r="N82" s="1"/>
  <c r="O82" s="1"/>
  <c r="E43"/>
  <c r="F43" s="1"/>
  <c r="G43" s="1"/>
  <c r="H43" s="1"/>
  <c r="I43" s="1"/>
  <c r="J43" s="1"/>
  <c r="K43" s="1"/>
  <c r="L43" s="1"/>
  <c r="M43" s="1"/>
  <c r="N43" s="1"/>
  <c r="O43" s="1"/>
  <c r="E75"/>
  <c r="F75" s="1"/>
  <c r="G75" s="1"/>
  <c r="H75" s="1"/>
  <c r="I75" s="1"/>
  <c r="J75" s="1"/>
  <c r="K75" s="1"/>
  <c r="L75" s="1"/>
  <c r="M75" s="1"/>
  <c r="N75" s="1"/>
  <c r="O75" s="1"/>
  <c r="E40"/>
  <c r="F40" s="1"/>
  <c r="G40" s="1"/>
  <c r="H40" s="1"/>
  <c r="I40" s="1"/>
  <c r="J40" s="1"/>
  <c r="K40" s="1"/>
  <c r="L40" s="1"/>
  <c r="M40" s="1"/>
  <c r="N40" s="1"/>
  <c r="O40" s="1"/>
  <c r="E72"/>
  <c r="F72" s="1"/>
  <c r="G72" s="1"/>
  <c r="H72" s="1"/>
  <c r="I72" s="1"/>
  <c r="J72" s="1"/>
  <c r="K72" s="1"/>
  <c r="L72" s="1"/>
  <c r="M72" s="1"/>
  <c r="N72" s="1"/>
  <c r="O72" s="1"/>
  <c r="E97"/>
  <c r="F97" s="1"/>
  <c r="G97" s="1"/>
  <c r="H97" s="1"/>
  <c r="I97" s="1"/>
  <c r="J97" s="1"/>
  <c r="K97" s="1"/>
  <c r="L97" s="1"/>
  <c r="M97" s="1"/>
  <c r="N97" s="1"/>
  <c r="O97" s="1"/>
  <c r="E94"/>
  <c r="F94" s="1"/>
  <c r="G94" s="1"/>
  <c r="H94" s="1"/>
  <c r="I94" s="1"/>
  <c r="J94" s="1"/>
  <c r="K94" s="1"/>
  <c r="L94" s="1"/>
  <c r="M94" s="1"/>
  <c r="N94" s="1"/>
  <c r="O94" s="1"/>
  <c r="E55"/>
  <c r="F55" s="1"/>
  <c r="G55" s="1"/>
  <c r="H55" s="1"/>
  <c r="I55" s="1"/>
  <c r="J55" s="1"/>
  <c r="K55" s="1"/>
  <c r="L55" s="1"/>
  <c r="M55" s="1"/>
  <c r="N55" s="1"/>
  <c r="O55" s="1"/>
  <c r="E68"/>
  <c r="F68" s="1"/>
  <c r="G68" s="1"/>
  <c r="H68" s="1"/>
  <c r="I68" s="1"/>
  <c r="J68" s="1"/>
  <c r="K68" s="1"/>
  <c r="L68" s="1"/>
  <c r="M68" s="1"/>
  <c r="N68" s="1"/>
  <c r="O68" s="1"/>
  <c r="E57"/>
  <c r="F57" s="1"/>
  <c r="G57" s="1"/>
  <c r="H57" s="1"/>
  <c r="I57" s="1"/>
  <c r="J57" s="1"/>
  <c r="K57" s="1"/>
  <c r="L57" s="1"/>
  <c r="M57" s="1"/>
  <c r="N57" s="1"/>
  <c r="O57" s="1"/>
  <c r="D56" i="10" s="1"/>
  <c r="E54" i="9"/>
  <c r="F54" s="1"/>
  <c r="G54" s="1"/>
  <c r="H54" s="1"/>
  <c r="I54" s="1"/>
  <c r="J54" s="1"/>
  <c r="K54" s="1"/>
  <c r="L54" s="1"/>
  <c r="M54" s="1"/>
  <c r="N54" s="1"/>
  <c r="O54" s="1"/>
  <c r="D53" i="10" s="1"/>
  <c r="E45" i="9"/>
  <c r="F45" s="1"/>
  <c r="G45" s="1"/>
  <c r="H45" s="1"/>
  <c r="I45" s="1"/>
  <c r="J45" s="1"/>
  <c r="K45" s="1"/>
  <c r="L45" s="1"/>
  <c r="M45" s="1"/>
  <c r="N45" s="1"/>
  <c r="O45" s="1"/>
  <c r="E77"/>
  <c r="F77" s="1"/>
  <c r="G77" s="1"/>
  <c r="H77" s="1"/>
  <c r="I77" s="1"/>
  <c r="J77" s="1"/>
  <c r="K77" s="1"/>
  <c r="L77" s="1"/>
  <c r="M77" s="1"/>
  <c r="N77" s="1"/>
  <c r="O77" s="1"/>
  <c r="E42"/>
  <c r="F42" s="1"/>
  <c r="G42" s="1"/>
  <c r="H42" s="1"/>
  <c r="I42" s="1"/>
  <c r="J42" s="1"/>
  <c r="K42" s="1"/>
  <c r="L42" s="1"/>
  <c r="M42" s="1"/>
  <c r="N42" s="1"/>
  <c r="O42" s="1"/>
  <c r="E41" i="10" s="1"/>
  <c r="E74" i="9"/>
  <c r="F74" s="1"/>
  <c r="G74" s="1"/>
  <c r="H74" s="1"/>
  <c r="I74" s="1"/>
  <c r="J74" s="1"/>
  <c r="K74" s="1"/>
  <c r="L74" s="1"/>
  <c r="M74" s="1"/>
  <c r="N74" s="1"/>
  <c r="O74" s="1"/>
  <c r="E51"/>
  <c r="F51" s="1"/>
  <c r="G51" s="1"/>
  <c r="H51" s="1"/>
  <c r="I51" s="1"/>
  <c r="J51" s="1"/>
  <c r="K51" s="1"/>
  <c r="L51" s="1"/>
  <c r="M51" s="1"/>
  <c r="N51" s="1"/>
  <c r="O51" s="1"/>
  <c r="D50" i="10" s="1"/>
  <c r="E83" i="9"/>
  <c r="F83" s="1"/>
  <c r="G83" s="1"/>
  <c r="H83" s="1"/>
  <c r="I83" s="1"/>
  <c r="J83" s="1"/>
  <c r="K83" s="1"/>
  <c r="L83" s="1"/>
  <c r="M83" s="1"/>
  <c r="N83" s="1"/>
  <c r="O83" s="1"/>
  <c r="E31" i="10"/>
  <c r="E81" i="9"/>
  <c r="F81" s="1"/>
  <c r="G81" s="1"/>
  <c r="H81" s="1"/>
  <c r="I81" s="1"/>
  <c r="J81" s="1"/>
  <c r="K81" s="1"/>
  <c r="L81" s="1"/>
  <c r="M81" s="1"/>
  <c r="N81" s="1"/>
  <c r="O81" s="1"/>
  <c r="E78"/>
  <c r="F78" s="1"/>
  <c r="G78" s="1"/>
  <c r="H78" s="1"/>
  <c r="I78" s="1"/>
  <c r="J78" s="1"/>
  <c r="K78" s="1"/>
  <c r="L78" s="1"/>
  <c r="M78" s="1"/>
  <c r="N78" s="1"/>
  <c r="O78" s="1"/>
  <c r="E64"/>
  <c r="F64" s="1"/>
  <c r="G64" s="1"/>
  <c r="H64" s="1"/>
  <c r="I64" s="1"/>
  <c r="J64" s="1"/>
  <c r="K64" s="1"/>
  <c r="L64" s="1"/>
  <c r="M64" s="1"/>
  <c r="N64" s="1"/>
  <c r="O64" s="1"/>
  <c r="E96"/>
  <c r="F96" s="1"/>
  <c r="G96" s="1"/>
  <c r="H96" s="1"/>
  <c r="I96" s="1"/>
  <c r="J96" s="1"/>
  <c r="K96" s="1"/>
  <c r="L96" s="1"/>
  <c r="M96" s="1"/>
  <c r="N96" s="1"/>
  <c r="O96" s="1"/>
  <c r="E47"/>
  <c r="F47" s="1"/>
  <c r="G47" s="1"/>
  <c r="H47" s="1"/>
  <c r="I47" s="1"/>
  <c r="J47" s="1"/>
  <c r="K47" s="1"/>
  <c r="L47" s="1"/>
  <c r="M47" s="1"/>
  <c r="N47" s="1"/>
  <c r="O47" s="1"/>
  <c r="E79"/>
  <c r="F79" s="1"/>
  <c r="G79" s="1"/>
  <c r="H79" s="1"/>
  <c r="I79" s="1"/>
  <c r="J79" s="1"/>
  <c r="K79" s="1"/>
  <c r="L79" s="1"/>
  <c r="M79" s="1"/>
  <c r="N79" s="1"/>
  <c r="O79" s="1"/>
  <c r="E44"/>
  <c r="F44" s="1"/>
  <c r="G44" s="1"/>
  <c r="H44" s="1"/>
  <c r="I44" s="1"/>
  <c r="J44" s="1"/>
  <c r="K44" s="1"/>
  <c r="L44" s="1"/>
  <c r="M44" s="1"/>
  <c r="N44" s="1"/>
  <c r="O44" s="1"/>
  <c r="E76"/>
  <c r="F76" s="1"/>
  <c r="G76" s="1"/>
  <c r="H76" s="1"/>
  <c r="I76" s="1"/>
  <c r="J76" s="1"/>
  <c r="K76" s="1"/>
  <c r="L76" s="1"/>
  <c r="M76" s="1"/>
  <c r="N76" s="1"/>
  <c r="O76" s="1"/>
  <c r="E41"/>
  <c r="F41" s="1"/>
  <c r="G41" s="1"/>
  <c r="H41" s="1"/>
  <c r="I41" s="1"/>
  <c r="J41" s="1"/>
  <c r="K41" s="1"/>
  <c r="L41" s="1"/>
  <c r="M41" s="1"/>
  <c r="N41" s="1"/>
  <c r="O41" s="1"/>
  <c r="E37"/>
  <c r="F37" s="1"/>
  <c r="G37" s="1"/>
  <c r="H37" s="1"/>
  <c r="I37" s="1"/>
  <c r="J37" s="1"/>
  <c r="K37" s="1"/>
  <c r="L37" s="1"/>
  <c r="M37" s="1"/>
  <c r="N37" s="1"/>
  <c r="O37" s="1"/>
  <c r="E34"/>
  <c r="F34" s="1"/>
  <c r="G34" s="1"/>
  <c r="H34" s="1"/>
  <c r="I34" s="1"/>
  <c r="J34" s="1"/>
  <c r="K34" s="1"/>
  <c r="L34" s="1"/>
  <c r="M34" s="1"/>
  <c r="N34" s="1"/>
  <c r="O34" s="1"/>
  <c r="E66"/>
  <c r="F66" s="1"/>
  <c r="G66" s="1"/>
  <c r="H66" s="1"/>
  <c r="I66" s="1"/>
  <c r="J66" s="1"/>
  <c r="K66" s="1"/>
  <c r="L66" s="1"/>
  <c r="M66" s="1"/>
  <c r="N66" s="1"/>
  <c r="O66" s="1"/>
  <c r="E98"/>
  <c r="F98" s="1"/>
  <c r="G98" s="1"/>
  <c r="H98" s="1"/>
  <c r="I98" s="1"/>
  <c r="J98" s="1"/>
  <c r="K98" s="1"/>
  <c r="L98" s="1"/>
  <c r="M98" s="1"/>
  <c r="N98" s="1"/>
  <c r="O98" s="1"/>
  <c r="E59"/>
  <c r="F59" s="1"/>
  <c r="G59" s="1"/>
  <c r="H59" s="1"/>
  <c r="I59" s="1"/>
  <c r="J59" s="1"/>
  <c r="K59" s="1"/>
  <c r="L59" s="1"/>
  <c r="M59" s="1"/>
  <c r="N59" s="1"/>
  <c r="O59" s="1"/>
  <c r="E91"/>
  <c r="F91" s="1"/>
  <c r="G91" s="1"/>
  <c r="H91" s="1"/>
  <c r="I91" s="1"/>
  <c r="J91" s="1"/>
  <c r="K91" s="1"/>
  <c r="L91" s="1"/>
  <c r="M91" s="1"/>
  <c r="N91" s="1"/>
  <c r="O91" s="1"/>
  <c r="E56"/>
  <c r="F56" s="1"/>
  <c r="G56" s="1"/>
  <c r="H56" s="1"/>
  <c r="I56" s="1"/>
  <c r="J56" s="1"/>
  <c r="K56" s="1"/>
  <c r="L56" s="1"/>
  <c r="M56" s="1"/>
  <c r="N56" s="1"/>
  <c r="O56" s="1"/>
  <c r="D55" i="10" s="1"/>
  <c r="E65" i="9"/>
  <c r="F65" s="1"/>
  <c r="G65" s="1"/>
  <c r="H65" s="1"/>
  <c r="I65" s="1"/>
  <c r="J65" s="1"/>
  <c r="K65" s="1"/>
  <c r="L65" s="1"/>
  <c r="M65" s="1"/>
  <c r="N65" s="1"/>
  <c r="O65" s="1"/>
  <c r="E62"/>
  <c r="F62" s="1"/>
  <c r="G62" s="1"/>
  <c r="H62" s="1"/>
  <c r="I62" s="1"/>
  <c r="J62" s="1"/>
  <c r="K62" s="1"/>
  <c r="L62" s="1"/>
  <c r="M62" s="1"/>
  <c r="N62" s="1"/>
  <c r="O62" s="1"/>
  <c r="E39"/>
  <c r="F39" s="1"/>
  <c r="G39" s="1"/>
  <c r="H39" s="1"/>
  <c r="I39" s="1"/>
  <c r="J39" s="1"/>
  <c r="K39" s="1"/>
  <c r="L39" s="1"/>
  <c r="M39" s="1"/>
  <c r="N39" s="1"/>
  <c r="O39" s="1"/>
  <c r="E71"/>
  <c r="F71" s="1"/>
  <c r="G71" s="1"/>
  <c r="H71" s="1"/>
  <c r="I71" s="1"/>
  <c r="J71" s="1"/>
  <c r="K71" s="1"/>
  <c r="L71" s="1"/>
  <c r="M71" s="1"/>
  <c r="N71" s="1"/>
  <c r="O71" s="1"/>
  <c r="E36"/>
  <c r="F36" s="1"/>
  <c r="G36" s="1"/>
  <c r="H36" s="1"/>
  <c r="I36" s="1"/>
  <c r="J36" s="1"/>
  <c r="K36" s="1"/>
  <c r="L36" s="1"/>
  <c r="M36" s="1"/>
  <c r="N36" s="1"/>
  <c r="O36" s="1"/>
  <c r="E84"/>
  <c r="F84" s="1"/>
  <c r="G84" s="1"/>
  <c r="H84" s="1"/>
  <c r="I84" s="1"/>
  <c r="J84" s="1"/>
  <c r="K84" s="1"/>
  <c r="L84" s="1"/>
  <c r="M84" s="1"/>
  <c r="N84" s="1"/>
  <c r="O84" s="1"/>
  <c r="E86"/>
  <c r="F86" s="1"/>
  <c r="G86" s="1"/>
  <c r="H86" s="1"/>
  <c r="I86" s="1"/>
  <c r="J86" s="1"/>
  <c r="K86" s="1"/>
  <c r="L86" s="1"/>
  <c r="M86" s="1"/>
  <c r="N86" s="1"/>
  <c r="O86" s="1"/>
  <c r="E61"/>
  <c r="F61" s="1"/>
  <c r="G61" s="1"/>
  <c r="H61" s="1"/>
  <c r="I61" s="1"/>
  <c r="J61" s="1"/>
  <c r="K61" s="1"/>
  <c r="L61" s="1"/>
  <c r="M61" s="1"/>
  <c r="N61" s="1"/>
  <c r="O61" s="1"/>
  <c r="E93"/>
  <c r="F93" s="1"/>
  <c r="G93" s="1"/>
  <c r="H93" s="1"/>
  <c r="I93" s="1"/>
  <c r="J93" s="1"/>
  <c r="K93" s="1"/>
  <c r="L93" s="1"/>
  <c r="M93" s="1"/>
  <c r="N93" s="1"/>
  <c r="O93" s="1"/>
  <c r="E58"/>
  <c r="F58" s="1"/>
  <c r="G58" s="1"/>
  <c r="H58" s="1"/>
  <c r="I58" s="1"/>
  <c r="J58" s="1"/>
  <c r="K58" s="1"/>
  <c r="L58" s="1"/>
  <c r="M58" s="1"/>
  <c r="N58" s="1"/>
  <c r="O58" s="1"/>
  <c r="E57" i="10" s="1"/>
  <c r="E90" i="9"/>
  <c r="F90" s="1"/>
  <c r="G90" s="1"/>
  <c r="H90" s="1"/>
  <c r="I90" s="1"/>
  <c r="J90" s="1"/>
  <c r="K90" s="1"/>
  <c r="L90" s="1"/>
  <c r="M90" s="1"/>
  <c r="N90" s="1"/>
  <c r="O90" s="1"/>
  <c r="E67"/>
  <c r="F67" s="1"/>
  <c r="G67" s="1"/>
  <c r="H67" s="1"/>
  <c r="I67" s="1"/>
  <c r="J67" s="1"/>
  <c r="K67" s="1"/>
  <c r="L67" s="1"/>
  <c r="M67" s="1"/>
  <c r="N67" s="1"/>
  <c r="O67" s="1"/>
  <c r="E66" i="10" s="1"/>
  <c r="E49" i="9"/>
  <c r="F49" s="1"/>
  <c r="G49" s="1"/>
  <c r="H49" s="1"/>
  <c r="I49" s="1"/>
  <c r="J49" s="1"/>
  <c r="K49" s="1"/>
  <c r="L49" s="1"/>
  <c r="M49" s="1"/>
  <c r="N49" s="1"/>
  <c r="O49" s="1"/>
  <c r="E46"/>
  <c r="F46" s="1"/>
  <c r="G46" s="1"/>
  <c r="H46" s="1"/>
  <c r="I46" s="1"/>
  <c r="J46" s="1"/>
  <c r="K46" s="1"/>
  <c r="L46" s="1"/>
  <c r="M46" s="1"/>
  <c r="N46" s="1"/>
  <c r="O46" s="1"/>
  <c r="F35" i="8"/>
  <c r="E106"/>
  <c r="E118" s="1"/>
  <c r="E48" i="9"/>
  <c r="F48" s="1"/>
  <c r="G48" s="1"/>
  <c r="H48" s="1"/>
  <c r="I48" s="1"/>
  <c r="J48" s="1"/>
  <c r="K48" s="1"/>
  <c r="L48" s="1"/>
  <c r="M48" s="1"/>
  <c r="N48" s="1"/>
  <c r="O48" s="1"/>
  <c r="E80"/>
  <c r="F80" s="1"/>
  <c r="G80" s="1"/>
  <c r="H80" s="1"/>
  <c r="I80" s="1"/>
  <c r="J80" s="1"/>
  <c r="K80" s="1"/>
  <c r="L80" s="1"/>
  <c r="M80" s="1"/>
  <c r="N80" s="1"/>
  <c r="O80" s="1"/>
  <c r="P32"/>
  <c r="F36" i="19" s="1"/>
  <c r="G204" i="8"/>
  <c r="F15"/>
  <c r="H189" i="9"/>
  <c r="J18" s="1"/>
  <c r="O39" i="8"/>
  <c r="D35" i="9" s="1"/>
  <c r="H25" i="8"/>
  <c r="I25" s="1"/>
  <c r="P116"/>
  <c r="E29" i="10"/>
  <c r="G42" i="8" l="1"/>
  <c r="E12" i="33"/>
  <c r="C12" i="30"/>
  <c r="C22" s="1"/>
  <c r="G91" i="8"/>
  <c r="D9" i="30"/>
  <c r="G92" i="8"/>
  <c r="D10" i="30"/>
  <c r="F66" i="10"/>
  <c r="H66" s="1"/>
  <c r="I66" s="1"/>
  <c r="K66" s="1"/>
  <c r="L66" s="1"/>
  <c r="N66" s="1"/>
  <c r="F57"/>
  <c r="H57" s="1"/>
  <c r="I57" s="1"/>
  <c r="K57" s="1"/>
  <c r="L57" s="1"/>
  <c r="N57" s="1"/>
  <c r="F31"/>
  <c r="H31" s="1"/>
  <c r="K31" s="1"/>
  <c r="L31" s="1"/>
  <c r="N31" s="1"/>
  <c r="F41"/>
  <c r="H41" s="1"/>
  <c r="I41" s="1"/>
  <c r="K41" s="1"/>
  <c r="L41" s="1"/>
  <c r="N41" s="1"/>
  <c r="I204" i="8"/>
  <c r="J204" s="1"/>
  <c r="K204" s="1"/>
  <c r="E54" i="11"/>
  <c r="E105" s="1"/>
  <c r="E128" s="1"/>
  <c r="E130" s="1"/>
  <c r="E55" i="19"/>
  <c r="J73" i="8"/>
  <c r="K73" s="1"/>
  <c r="L73" s="1"/>
  <c r="M73" s="1"/>
  <c r="N73" s="1"/>
  <c r="O73" s="1"/>
  <c r="E57" i="15"/>
  <c r="P70" i="9"/>
  <c r="F74" i="19" s="1"/>
  <c r="I74" s="1"/>
  <c r="P47" i="9"/>
  <c r="F51" i="19" s="1"/>
  <c r="P79" i="9"/>
  <c r="F83" i="19" s="1"/>
  <c r="P80" i="9"/>
  <c r="F84" i="19" s="1"/>
  <c r="P48" i="9"/>
  <c r="F52" i="19" s="1"/>
  <c r="P46" i="9"/>
  <c r="F50" i="19" s="1"/>
  <c r="P49" i="9"/>
  <c r="F53" i="19" s="1"/>
  <c r="P67" i="9"/>
  <c r="F71" i="19" s="1"/>
  <c r="P90" i="9"/>
  <c r="F94" i="19" s="1"/>
  <c r="P58" i="9"/>
  <c r="F62" i="19" s="1"/>
  <c r="P93" i="9"/>
  <c r="F97" i="19" s="1"/>
  <c r="P61" i="9"/>
  <c r="F65" i="19" s="1"/>
  <c r="P86" i="9"/>
  <c r="F90" i="19" s="1"/>
  <c r="P84" i="9"/>
  <c r="F88" i="19" s="1"/>
  <c r="P36" i="9"/>
  <c r="F40" i="19" s="1"/>
  <c r="P71" i="9"/>
  <c r="F75" i="19" s="1"/>
  <c r="P39" i="9"/>
  <c r="F43" i="19" s="1"/>
  <c r="P62" i="9"/>
  <c r="F66" i="19" s="1"/>
  <c r="P65" i="9"/>
  <c r="F69" i="19" s="1"/>
  <c r="P56" i="9"/>
  <c r="F60" i="19" s="1"/>
  <c r="P91" i="9"/>
  <c r="F95" i="19" s="1"/>
  <c r="P59" i="9"/>
  <c r="F63" i="19" s="1"/>
  <c r="P98" i="9"/>
  <c r="F102" i="19" s="1"/>
  <c r="P66" i="9"/>
  <c r="F70" i="19" s="1"/>
  <c r="P34" i="9"/>
  <c r="F38" i="19" s="1"/>
  <c r="P37" i="9"/>
  <c r="F41" i="19" s="1"/>
  <c r="P41" i="9"/>
  <c r="F45" i="19" s="1"/>
  <c r="P76" i="9"/>
  <c r="F80" i="19" s="1"/>
  <c r="P44" i="9"/>
  <c r="F48" i="19" s="1"/>
  <c r="E95" i="10"/>
  <c r="E63"/>
  <c r="E77"/>
  <c r="E80"/>
  <c r="E31" i="15"/>
  <c r="F31" s="1"/>
  <c r="E82" i="10"/>
  <c r="E50"/>
  <c r="E73"/>
  <c r="E76"/>
  <c r="E44"/>
  <c r="E53"/>
  <c r="E56"/>
  <c r="E67"/>
  <c r="E86"/>
  <c r="F86" s="1"/>
  <c r="H86" s="1"/>
  <c r="I86" s="1"/>
  <c r="K86" s="1"/>
  <c r="L86" s="1"/>
  <c r="N86" s="1"/>
  <c r="E54"/>
  <c r="E93"/>
  <c r="E96"/>
  <c r="E71"/>
  <c r="E39"/>
  <c r="E74"/>
  <c r="E42"/>
  <c r="E81"/>
  <c r="E49"/>
  <c r="E84"/>
  <c r="E52"/>
  <c r="E72"/>
  <c r="E91"/>
  <c r="E59"/>
  <c r="E94"/>
  <c r="E62"/>
  <c r="E79"/>
  <c r="E47"/>
  <c r="G35" i="8"/>
  <c r="F106"/>
  <c r="F118" s="1"/>
  <c r="E45" i="10"/>
  <c r="E48"/>
  <c r="E89"/>
  <c r="E92"/>
  <c r="E60"/>
  <c r="E85"/>
  <c r="E83"/>
  <c r="E35"/>
  <c r="E70"/>
  <c r="E38"/>
  <c r="E61"/>
  <c r="E64"/>
  <c r="E87"/>
  <c r="E55"/>
  <c r="E90"/>
  <c r="E58"/>
  <c r="E97"/>
  <c r="E65"/>
  <c r="E33"/>
  <c r="E36"/>
  <c r="E37"/>
  <c r="E40"/>
  <c r="E75"/>
  <c r="E43"/>
  <c r="E78"/>
  <c r="E46"/>
  <c r="P96" i="9"/>
  <c r="F100" i="19" s="1"/>
  <c r="P64" i="9"/>
  <c r="F68" i="19" s="1"/>
  <c r="P78" i="9"/>
  <c r="F82" i="19" s="1"/>
  <c r="P81" i="9"/>
  <c r="F85" i="19" s="1"/>
  <c r="P83" i="9"/>
  <c r="F87" i="19" s="1"/>
  <c r="P51" i="9"/>
  <c r="P74"/>
  <c r="F78" i="19" s="1"/>
  <c r="P42" i="9"/>
  <c r="F46" i="19" s="1"/>
  <c r="P77" i="9"/>
  <c r="F81" i="19" s="1"/>
  <c r="P45" i="9"/>
  <c r="F49" i="19" s="1"/>
  <c r="P54" i="9"/>
  <c r="F58" i="19" s="1"/>
  <c r="P57" i="9"/>
  <c r="F61" i="19" s="1"/>
  <c r="P68" i="9"/>
  <c r="F72" i="19" s="1"/>
  <c r="P55" i="9"/>
  <c r="F59" i="19" s="1"/>
  <c r="P94" i="9"/>
  <c r="F98" i="19" s="1"/>
  <c r="P97" i="9"/>
  <c r="F101" i="19" s="1"/>
  <c r="P72" i="9"/>
  <c r="F76" i="19" s="1"/>
  <c r="P40" i="9"/>
  <c r="F44" i="19" s="1"/>
  <c r="P75" i="9"/>
  <c r="F79" i="19" s="1"/>
  <c r="P43" i="9"/>
  <c r="F47" i="19" s="1"/>
  <c r="P82" i="9"/>
  <c r="F86" i="19" s="1"/>
  <c r="P50" i="9"/>
  <c r="F54" i="19" s="1"/>
  <c r="P85" i="9"/>
  <c r="F89" i="19" s="1"/>
  <c r="P53" i="9"/>
  <c r="F57" i="19" s="1"/>
  <c r="P73" i="9"/>
  <c r="F77" i="19" s="1"/>
  <c r="P92" i="9"/>
  <c r="F96" i="19" s="1"/>
  <c r="P60" i="9"/>
  <c r="F64" i="19" s="1"/>
  <c r="P95" i="9"/>
  <c r="F99" i="19" s="1"/>
  <c r="P63" i="9"/>
  <c r="F67" i="19" s="1"/>
  <c r="E66" i="15"/>
  <c r="F66" s="1"/>
  <c r="E41"/>
  <c r="F41" s="1"/>
  <c r="H204" i="8"/>
  <c r="G15"/>
  <c r="G190" i="9"/>
  <c r="H19" s="1"/>
  <c r="I189"/>
  <c r="K18" s="1"/>
  <c r="P39" i="8"/>
  <c r="E39" i="19" s="1"/>
  <c r="N56" i="8"/>
  <c r="H89" i="9"/>
  <c r="F29" i="10"/>
  <c r="H29" s="1"/>
  <c r="I29" s="1"/>
  <c r="K29" s="1"/>
  <c r="L29" s="1"/>
  <c r="N29" s="1"/>
  <c r="O29" s="1"/>
  <c r="H42" i="8" l="1"/>
  <c r="F12" i="33"/>
  <c r="D12" i="30"/>
  <c r="D22" s="1"/>
  <c r="H92" i="8"/>
  <c r="E10" i="30"/>
  <c r="H91" i="8"/>
  <c r="E9" i="30"/>
  <c r="P41" i="10"/>
  <c r="G46" i="19" s="1"/>
  <c r="P31" i="10"/>
  <c r="G36" i="19" s="1"/>
  <c r="P57" i="10"/>
  <c r="G62" i="19" s="1"/>
  <c r="P66" i="10"/>
  <c r="G71" i="19" s="1"/>
  <c r="F46" i="10"/>
  <c r="H46" s="1"/>
  <c r="I46" s="1"/>
  <c r="K46" s="1"/>
  <c r="L46" s="1"/>
  <c r="N46" s="1"/>
  <c r="F43"/>
  <c r="H43" s="1"/>
  <c r="I43" s="1"/>
  <c r="K43" s="1"/>
  <c r="L43" s="1"/>
  <c r="N43" s="1"/>
  <c r="F40"/>
  <c r="H40" s="1"/>
  <c r="I40" s="1"/>
  <c r="K40" s="1"/>
  <c r="L40" s="1"/>
  <c r="N40" s="1"/>
  <c r="F36"/>
  <c r="H36" s="1"/>
  <c r="I36" s="1"/>
  <c r="K36" s="1"/>
  <c r="L36" s="1"/>
  <c r="N36" s="1"/>
  <c r="F65"/>
  <c r="H65" s="1"/>
  <c r="I65" s="1"/>
  <c r="K65" s="1"/>
  <c r="L65" s="1"/>
  <c r="N65" s="1"/>
  <c r="F58"/>
  <c r="H58" s="1"/>
  <c r="I58" s="1"/>
  <c r="K58" s="1"/>
  <c r="L58" s="1"/>
  <c r="N58" s="1"/>
  <c r="F64"/>
  <c r="H64" s="1"/>
  <c r="I64" s="1"/>
  <c r="K64" s="1"/>
  <c r="L64" s="1"/>
  <c r="N64" s="1"/>
  <c r="F38"/>
  <c r="H38" s="1"/>
  <c r="I38" s="1"/>
  <c r="K38" s="1"/>
  <c r="L38" s="1"/>
  <c r="N38" s="1"/>
  <c r="F35"/>
  <c r="H35" s="1"/>
  <c r="I35" s="1"/>
  <c r="K35" s="1"/>
  <c r="L35" s="1"/>
  <c r="N35" s="1"/>
  <c r="F85"/>
  <c r="H85" s="1"/>
  <c r="I85" s="1"/>
  <c r="K85" s="1"/>
  <c r="L85" s="1"/>
  <c r="N85" s="1"/>
  <c r="F92"/>
  <c r="H92" s="1"/>
  <c r="I92" s="1"/>
  <c r="K92" s="1"/>
  <c r="L92" s="1"/>
  <c r="N92" s="1"/>
  <c r="F48"/>
  <c r="H48" s="1"/>
  <c r="I48" s="1"/>
  <c r="K48" s="1"/>
  <c r="L48" s="1"/>
  <c r="N48" s="1"/>
  <c r="F47"/>
  <c r="H47" s="1"/>
  <c r="I47" s="1"/>
  <c r="K47" s="1"/>
  <c r="L47" s="1"/>
  <c r="N47" s="1"/>
  <c r="F62"/>
  <c r="H62" s="1"/>
  <c r="I62" s="1"/>
  <c r="K62" s="1"/>
  <c r="L62" s="1"/>
  <c r="N62" s="1"/>
  <c r="F59"/>
  <c r="H59" s="1"/>
  <c r="I59" s="1"/>
  <c r="K59" s="1"/>
  <c r="L59" s="1"/>
  <c r="N59" s="1"/>
  <c r="F72"/>
  <c r="H72" s="1"/>
  <c r="I72" s="1"/>
  <c r="K72" s="1"/>
  <c r="L72" s="1"/>
  <c r="N72" s="1"/>
  <c r="F84"/>
  <c r="H84" s="1"/>
  <c r="I84" s="1"/>
  <c r="K84" s="1"/>
  <c r="L84" s="1"/>
  <c r="N84" s="1"/>
  <c r="F81"/>
  <c r="H81" s="1"/>
  <c r="I81" s="1"/>
  <c r="K81" s="1"/>
  <c r="L81" s="1"/>
  <c r="N81" s="1"/>
  <c r="F74"/>
  <c r="H74" s="1"/>
  <c r="I74" s="1"/>
  <c r="K74" s="1"/>
  <c r="L74" s="1"/>
  <c r="N74" s="1"/>
  <c r="F71"/>
  <c r="H71" s="1"/>
  <c r="I71" s="1"/>
  <c r="K71" s="1"/>
  <c r="L71" s="1"/>
  <c r="N71" s="1"/>
  <c r="F93"/>
  <c r="H93" s="1"/>
  <c r="I93" s="1"/>
  <c r="K93" s="1"/>
  <c r="L93" s="1"/>
  <c r="N93" s="1"/>
  <c r="F44"/>
  <c r="H44" s="1"/>
  <c r="I44" s="1"/>
  <c r="K44" s="1"/>
  <c r="L44" s="1"/>
  <c r="N44" s="1"/>
  <c r="F73"/>
  <c r="H73" s="1"/>
  <c r="I73" s="1"/>
  <c r="K73" s="1"/>
  <c r="L73" s="1"/>
  <c r="N73" s="1"/>
  <c r="F82"/>
  <c r="H82" s="1"/>
  <c r="I82" s="1"/>
  <c r="K82" s="1"/>
  <c r="L82" s="1"/>
  <c r="N82" s="1"/>
  <c r="F80"/>
  <c r="H80" s="1"/>
  <c r="I80" s="1"/>
  <c r="K80" s="1"/>
  <c r="L80" s="1"/>
  <c r="N80" s="1"/>
  <c r="F63"/>
  <c r="H63" s="1"/>
  <c r="I63" s="1"/>
  <c r="K63" s="1"/>
  <c r="L63" s="1"/>
  <c r="N63" s="1"/>
  <c r="F78"/>
  <c r="H78" s="1"/>
  <c r="I78" s="1"/>
  <c r="K78" s="1"/>
  <c r="L78" s="1"/>
  <c r="N78" s="1"/>
  <c r="F75"/>
  <c r="H75" s="1"/>
  <c r="I75" s="1"/>
  <c r="K75" s="1"/>
  <c r="L75" s="1"/>
  <c r="N75" s="1"/>
  <c r="F37"/>
  <c r="H37" s="1"/>
  <c r="I37" s="1"/>
  <c r="K37" s="1"/>
  <c r="L37" s="1"/>
  <c r="N37" s="1"/>
  <c r="F33"/>
  <c r="H33" s="1"/>
  <c r="I33" s="1"/>
  <c r="K33" s="1"/>
  <c r="L33" s="1"/>
  <c r="N33" s="1"/>
  <c r="F97"/>
  <c r="H97" s="1"/>
  <c r="I97" s="1"/>
  <c r="K97" s="1"/>
  <c r="L97" s="1"/>
  <c r="N97" s="1"/>
  <c r="F90"/>
  <c r="H90" s="1"/>
  <c r="I90" s="1"/>
  <c r="K90" s="1"/>
  <c r="L90" s="1"/>
  <c r="N90" s="1"/>
  <c r="F87"/>
  <c r="H87" s="1"/>
  <c r="I87" s="1"/>
  <c r="K87" s="1"/>
  <c r="L87" s="1"/>
  <c r="N87" s="1"/>
  <c r="F61"/>
  <c r="H61" s="1"/>
  <c r="I61" s="1"/>
  <c r="K61" s="1"/>
  <c r="L61" s="1"/>
  <c r="N61" s="1"/>
  <c r="F70"/>
  <c r="H70" s="1"/>
  <c r="I70" s="1"/>
  <c r="K70" s="1"/>
  <c r="L70" s="1"/>
  <c r="N70" s="1"/>
  <c r="F83"/>
  <c r="H83" s="1"/>
  <c r="I83" s="1"/>
  <c r="K83" s="1"/>
  <c r="L83" s="1"/>
  <c r="N83" s="1"/>
  <c r="F60"/>
  <c r="H60" s="1"/>
  <c r="I60" s="1"/>
  <c r="K60" s="1"/>
  <c r="L60" s="1"/>
  <c r="N60" s="1"/>
  <c r="F89"/>
  <c r="H89" s="1"/>
  <c r="I89" s="1"/>
  <c r="K89" s="1"/>
  <c r="L89" s="1"/>
  <c r="N89" s="1"/>
  <c r="F45"/>
  <c r="H45" s="1"/>
  <c r="I45" s="1"/>
  <c r="K45" s="1"/>
  <c r="L45" s="1"/>
  <c r="N45" s="1"/>
  <c r="F79"/>
  <c r="H79" s="1"/>
  <c r="I79" s="1"/>
  <c r="K79" s="1"/>
  <c r="L79" s="1"/>
  <c r="N79" s="1"/>
  <c r="F94"/>
  <c r="H94" s="1"/>
  <c r="I94" s="1"/>
  <c r="K94" s="1"/>
  <c r="L94" s="1"/>
  <c r="N94" s="1"/>
  <c r="F91"/>
  <c r="H91" s="1"/>
  <c r="I91" s="1"/>
  <c r="K91" s="1"/>
  <c r="L91" s="1"/>
  <c r="N91" s="1"/>
  <c r="F52"/>
  <c r="H52" s="1"/>
  <c r="I52" s="1"/>
  <c r="K52" s="1"/>
  <c r="L52" s="1"/>
  <c r="N52" s="1"/>
  <c r="F49"/>
  <c r="H49" s="1"/>
  <c r="I49" s="1"/>
  <c r="K49" s="1"/>
  <c r="L49" s="1"/>
  <c r="N49" s="1"/>
  <c r="F42"/>
  <c r="H42" s="1"/>
  <c r="I42" s="1"/>
  <c r="K42" s="1"/>
  <c r="L42" s="1"/>
  <c r="N42" s="1"/>
  <c r="F39"/>
  <c r="H39" s="1"/>
  <c r="I39" s="1"/>
  <c r="K39" s="1"/>
  <c r="L39" s="1"/>
  <c r="N39" s="1"/>
  <c r="F96"/>
  <c r="H96" s="1"/>
  <c r="I96" s="1"/>
  <c r="K96" s="1"/>
  <c r="L96" s="1"/>
  <c r="N96" s="1"/>
  <c r="F54"/>
  <c r="H54" s="1"/>
  <c r="I54" s="1"/>
  <c r="K54" s="1"/>
  <c r="L54" s="1"/>
  <c r="N54" s="1"/>
  <c r="F67"/>
  <c r="H67" s="1"/>
  <c r="I67" s="1"/>
  <c r="K67" s="1"/>
  <c r="L67" s="1"/>
  <c r="N67" s="1"/>
  <c r="F76"/>
  <c r="H76" s="1"/>
  <c r="I76" s="1"/>
  <c r="K76" s="1"/>
  <c r="L76" s="1"/>
  <c r="N76" s="1"/>
  <c r="F77"/>
  <c r="H77" s="1"/>
  <c r="I77" s="1"/>
  <c r="K77" s="1"/>
  <c r="L77" s="1"/>
  <c r="N77" s="1"/>
  <c r="F95"/>
  <c r="H95" s="1"/>
  <c r="I95" s="1"/>
  <c r="K95" s="1"/>
  <c r="L95" s="1"/>
  <c r="N95" s="1"/>
  <c r="D69" i="9"/>
  <c r="E69" s="1"/>
  <c r="F69" s="1"/>
  <c r="E86" i="15"/>
  <c r="F86" s="1"/>
  <c r="P86" i="10"/>
  <c r="G91" i="19" s="1"/>
  <c r="F50" i="10"/>
  <c r="F54" i="11"/>
  <c r="F55" i="19"/>
  <c r="F56" i="10"/>
  <c r="F55"/>
  <c r="P73" i="8"/>
  <c r="E73" i="19" s="1"/>
  <c r="G41" i="15"/>
  <c r="H41" s="1"/>
  <c r="G31"/>
  <c r="H31" s="1"/>
  <c r="G66"/>
  <c r="H66" s="1"/>
  <c r="I66" s="1"/>
  <c r="F57" i="11"/>
  <c r="F53" i="10"/>
  <c r="F57" i="15"/>
  <c r="E78"/>
  <c r="F78" s="1"/>
  <c r="E82"/>
  <c r="F82" s="1"/>
  <c r="E46"/>
  <c r="F46" s="1"/>
  <c r="E43"/>
  <c r="F43" s="1"/>
  <c r="E75"/>
  <c r="F75" s="1"/>
  <c r="E40"/>
  <c r="F40" s="1"/>
  <c r="E37"/>
  <c r="F37" s="1"/>
  <c r="E36"/>
  <c r="F36" s="1"/>
  <c r="E68"/>
  <c r="F68" s="1"/>
  <c r="H68" s="1"/>
  <c r="E33"/>
  <c r="F33" s="1"/>
  <c r="E65"/>
  <c r="F65" s="1"/>
  <c r="E97"/>
  <c r="F97" s="1"/>
  <c r="E58"/>
  <c r="F58" s="1"/>
  <c r="E90"/>
  <c r="F90" s="1"/>
  <c r="E87"/>
  <c r="F87" s="1"/>
  <c r="E64"/>
  <c r="F64" s="1"/>
  <c r="E61"/>
  <c r="F61" s="1"/>
  <c r="E38"/>
  <c r="F38" s="1"/>
  <c r="E70"/>
  <c r="F70" s="1"/>
  <c r="E35"/>
  <c r="F35" s="1"/>
  <c r="E83"/>
  <c r="F83" s="1"/>
  <c r="E85"/>
  <c r="F85" s="1"/>
  <c r="E60"/>
  <c r="F60" s="1"/>
  <c r="E92"/>
  <c r="F92" s="1"/>
  <c r="E89"/>
  <c r="F89" s="1"/>
  <c r="E48"/>
  <c r="F48" s="1"/>
  <c r="E45"/>
  <c r="F45" s="1"/>
  <c r="H35" i="8"/>
  <c r="G106"/>
  <c r="G118" s="1"/>
  <c r="E47" i="15"/>
  <c r="F47" s="1"/>
  <c r="E79"/>
  <c r="F79" s="1"/>
  <c r="E62"/>
  <c r="F62" s="1"/>
  <c r="E94"/>
  <c r="F94" s="1"/>
  <c r="E59"/>
  <c r="F59" s="1"/>
  <c r="E91"/>
  <c r="F91" s="1"/>
  <c r="E72"/>
  <c r="F72" s="1"/>
  <c r="E52"/>
  <c r="F52" s="1"/>
  <c r="E84"/>
  <c r="F84" s="1"/>
  <c r="E49"/>
  <c r="F49" s="1"/>
  <c r="E81"/>
  <c r="F81" s="1"/>
  <c r="E42"/>
  <c r="F42" s="1"/>
  <c r="E74"/>
  <c r="F74" s="1"/>
  <c r="E39"/>
  <c r="F39" s="1"/>
  <c r="E71"/>
  <c r="F71" s="1"/>
  <c r="E96"/>
  <c r="F96" s="1"/>
  <c r="E93"/>
  <c r="F93" s="1"/>
  <c r="E54"/>
  <c r="F54" s="1"/>
  <c r="E67"/>
  <c r="F67" s="1"/>
  <c r="E44"/>
  <c r="F44" s="1"/>
  <c r="E76"/>
  <c r="F76" s="1"/>
  <c r="E73"/>
  <c r="F73" s="1"/>
  <c r="E80"/>
  <c r="F80" s="1"/>
  <c r="E77"/>
  <c r="F77" s="1"/>
  <c r="E63"/>
  <c r="F63" s="1"/>
  <c r="E95"/>
  <c r="F95" s="1"/>
  <c r="H15" i="8"/>
  <c r="H190" i="9"/>
  <c r="I19" s="1"/>
  <c r="J189"/>
  <c r="L18" s="1"/>
  <c r="O56" i="8"/>
  <c r="D52" i="9" s="1"/>
  <c r="E35"/>
  <c r="J25" i="8"/>
  <c r="I89" i="9"/>
  <c r="E106" i="1"/>
  <c r="E131" s="1"/>
  <c r="D106"/>
  <c r="D131" s="1"/>
  <c r="E27"/>
  <c r="D27"/>
  <c r="D29" s="1"/>
  <c r="D202" s="1"/>
  <c r="I42" i="8" l="1"/>
  <c r="G12" i="33"/>
  <c r="D87" i="9"/>
  <c r="F9" i="30"/>
  <c r="P91" i="8"/>
  <c r="E91" i="19" s="1"/>
  <c r="I92" i="8"/>
  <c r="F10" i="30"/>
  <c r="E12"/>
  <c r="E22" s="1"/>
  <c r="P95" i="10"/>
  <c r="G100" i="19" s="1"/>
  <c r="P77" i="10"/>
  <c r="G82" i="19" s="1"/>
  <c r="P76" i="10"/>
  <c r="G81" i="19" s="1"/>
  <c r="P67" i="10"/>
  <c r="G72" i="19" s="1"/>
  <c r="P54" i="10"/>
  <c r="G59" i="19" s="1"/>
  <c r="P96" i="10"/>
  <c r="G101" i="19" s="1"/>
  <c r="P39" i="10"/>
  <c r="G44" i="19" s="1"/>
  <c r="P42" i="10"/>
  <c r="G47" i="19" s="1"/>
  <c r="P49" i="10"/>
  <c r="G54" i="19" s="1"/>
  <c r="P52" i="10"/>
  <c r="G57" i="19" s="1"/>
  <c r="P91" i="10"/>
  <c r="G96" i="19" s="1"/>
  <c r="P94" i="10"/>
  <c r="G99" i="19" s="1"/>
  <c r="P79" i="10"/>
  <c r="G84" i="19" s="1"/>
  <c r="P45" i="10"/>
  <c r="G50" i="19" s="1"/>
  <c r="P89" i="10"/>
  <c r="G94" i="19" s="1"/>
  <c r="P60" i="10"/>
  <c r="G65" i="19" s="1"/>
  <c r="P83" i="10"/>
  <c r="G88" i="19" s="1"/>
  <c r="P70" i="10"/>
  <c r="G75" i="19" s="1"/>
  <c r="P61" i="10"/>
  <c r="G66" i="19" s="1"/>
  <c r="P87" i="10"/>
  <c r="G92" i="19" s="1"/>
  <c r="P90" i="10"/>
  <c r="G95" i="19" s="1"/>
  <c r="P97" i="10"/>
  <c r="G102" i="19" s="1"/>
  <c r="P33" i="10"/>
  <c r="G38" i="19" s="1"/>
  <c r="P37" i="10"/>
  <c r="G42" i="19" s="1"/>
  <c r="P75" i="10"/>
  <c r="G80" i="19" s="1"/>
  <c r="P78" i="10"/>
  <c r="G83" i="19" s="1"/>
  <c r="P63" i="10"/>
  <c r="G68" i="19" s="1"/>
  <c r="P80" i="10"/>
  <c r="G85" i="19" s="1"/>
  <c r="P82" i="10"/>
  <c r="G87" i="19" s="1"/>
  <c r="P73" i="10"/>
  <c r="G78" i="19" s="1"/>
  <c r="P44" i="10"/>
  <c r="G49" i="19" s="1"/>
  <c r="P93" i="10"/>
  <c r="G98" i="19" s="1"/>
  <c r="P71" i="10"/>
  <c r="G76" i="19" s="1"/>
  <c r="P74" i="10"/>
  <c r="G79" i="19" s="1"/>
  <c r="P81" i="10"/>
  <c r="G86" i="19" s="1"/>
  <c r="P84" i="10"/>
  <c r="G89" i="19" s="1"/>
  <c r="P72" i="10"/>
  <c r="G77" i="19" s="1"/>
  <c r="P59" i="10"/>
  <c r="G64" i="19" s="1"/>
  <c r="P62" i="10"/>
  <c r="G67" i="19" s="1"/>
  <c r="P47" i="10"/>
  <c r="G52" i="19" s="1"/>
  <c r="P48" i="10"/>
  <c r="G53" i="19" s="1"/>
  <c r="P92" i="10"/>
  <c r="G97" i="19" s="1"/>
  <c r="P85" i="10"/>
  <c r="G90" i="19" s="1"/>
  <c r="P35" i="10"/>
  <c r="G40" i="19" s="1"/>
  <c r="P38" i="10"/>
  <c r="G43" i="19" s="1"/>
  <c r="P64" i="10"/>
  <c r="G69" i="19" s="1"/>
  <c r="P58" i="10"/>
  <c r="G63" i="19" s="1"/>
  <c r="P65" i="10"/>
  <c r="G70" i="19" s="1"/>
  <c r="P36" i="10"/>
  <c r="G41" i="19" s="1"/>
  <c r="P40" i="10"/>
  <c r="G45" i="19" s="1"/>
  <c r="P43" i="10"/>
  <c r="G48" i="19" s="1"/>
  <c r="P46" i="10"/>
  <c r="G51" i="19" s="1"/>
  <c r="F105" i="11"/>
  <c r="F128" s="1"/>
  <c r="F130" s="1"/>
  <c r="H69" i="9"/>
  <c r="G50" i="10"/>
  <c r="H50" s="1"/>
  <c r="G55"/>
  <c r="H55" s="1"/>
  <c r="I55" s="1"/>
  <c r="G56"/>
  <c r="J66" i="15"/>
  <c r="K66" s="1"/>
  <c r="I41"/>
  <c r="K31"/>
  <c r="L31" s="1"/>
  <c r="M31" s="1"/>
  <c r="N31" s="1"/>
  <c r="O31" s="1"/>
  <c r="G95"/>
  <c r="H95" s="1"/>
  <c r="I95" s="1"/>
  <c r="G77"/>
  <c r="H77" s="1"/>
  <c r="I77" s="1"/>
  <c r="G76"/>
  <c r="H76" s="1"/>
  <c r="I76" s="1"/>
  <c r="G67"/>
  <c r="H67" s="1"/>
  <c r="I67" s="1"/>
  <c r="G54"/>
  <c r="H54" s="1"/>
  <c r="I54" s="1"/>
  <c r="G96"/>
  <c r="H96" s="1"/>
  <c r="I96" s="1"/>
  <c r="G39"/>
  <c r="H39" s="1"/>
  <c r="I39" s="1"/>
  <c r="G42"/>
  <c r="H42" s="1"/>
  <c r="I42" s="1"/>
  <c r="G49"/>
  <c r="H49" s="1"/>
  <c r="I49" s="1"/>
  <c r="G52"/>
  <c r="H52" s="1"/>
  <c r="I52" s="1"/>
  <c r="G91"/>
  <c r="H91" s="1"/>
  <c r="I91" s="1"/>
  <c r="G94"/>
  <c r="H94" s="1"/>
  <c r="I94" s="1"/>
  <c r="G79"/>
  <c r="H79" s="1"/>
  <c r="I79" s="1"/>
  <c r="G45"/>
  <c r="H45" s="1"/>
  <c r="I45" s="1"/>
  <c r="G89"/>
  <c r="H89" s="1"/>
  <c r="I89" s="1"/>
  <c r="G60"/>
  <c r="H60" s="1"/>
  <c r="I60" s="1"/>
  <c r="G83"/>
  <c r="H83" s="1"/>
  <c r="I83" s="1"/>
  <c r="G70"/>
  <c r="H70" s="1"/>
  <c r="I70" s="1"/>
  <c r="G61"/>
  <c r="H61" s="1"/>
  <c r="I61" s="1"/>
  <c r="G87"/>
  <c r="H87" s="1"/>
  <c r="I87" s="1"/>
  <c r="G90"/>
  <c r="H90" s="1"/>
  <c r="I90" s="1"/>
  <c r="G97"/>
  <c r="H97" s="1"/>
  <c r="I97" s="1"/>
  <c r="G33"/>
  <c r="H33" s="1"/>
  <c r="I33" s="1"/>
  <c r="G36"/>
  <c r="H36" s="1"/>
  <c r="I36" s="1"/>
  <c r="G40"/>
  <c r="H40" s="1"/>
  <c r="I40" s="1"/>
  <c r="G43"/>
  <c r="H43" s="1"/>
  <c r="I43" s="1"/>
  <c r="G78"/>
  <c r="H78" s="1"/>
  <c r="I78" s="1"/>
  <c r="G53" i="10"/>
  <c r="H53" s="1"/>
  <c r="I53" s="1"/>
  <c r="G63" i="15"/>
  <c r="H63" s="1"/>
  <c r="I63" s="1"/>
  <c r="G80"/>
  <c r="H80" s="1"/>
  <c r="I80" s="1"/>
  <c r="G73"/>
  <c r="H73" s="1"/>
  <c r="I73" s="1"/>
  <c r="G44"/>
  <c r="H44" s="1"/>
  <c r="I44" s="1"/>
  <c r="G86"/>
  <c r="H86" s="1"/>
  <c r="I86" s="1"/>
  <c r="G93"/>
  <c r="H93" s="1"/>
  <c r="I93" s="1"/>
  <c r="G71"/>
  <c r="H71" s="1"/>
  <c r="I71" s="1"/>
  <c r="G74"/>
  <c r="H74" s="1"/>
  <c r="I74" s="1"/>
  <c r="G81"/>
  <c r="H81" s="1"/>
  <c r="I81" s="1"/>
  <c r="G84"/>
  <c r="H84" s="1"/>
  <c r="I84" s="1"/>
  <c r="G72"/>
  <c r="H72" s="1"/>
  <c r="I72" s="1"/>
  <c r="G59"/>
  <c r="H59" s="1"/>
  <c r="I59" s="1"/>
  <c r="G62"/>
  <c r="H62" s="1"/>
  <c r="I62" s="1"/>
  <c r="G47"/>
  <c r="H47" s="1"/>
  <c r="I47" s="1"/>
  <c r="G48"/>
  <c r="H48" s="1"/>
  <c r="I48" s="1"/>
  <c r="G92"/>
  <c r="H92" s="1"/>
  <c r="I92" s="1"/>
  <c r="G85"/>
  <c r="H85" s="1"/>
  <c r="I85" s="1"/>
  <c r="G35"/>
  <c r="H35" s="1"/>
  <c r="I35" s="1"/>
  <c r="G38"/>
  <c r="H38" s="1"/>
  <c r="I38" s="1"/>
  <c r="G64"/>
  <c r="H64" s="1"/>
  <c r="I64" s="1"/>
  <c r="G58"/>
  <c r="H58" s="1"/>
  <c r="I58" s="1"/>
  <c r="G65"/>
  <c r="H65" s="1"/>
  <c r="I65" s="1"/>
  <c r="I68"/>
  <c r="G37"/>
  <c r="H37" s="1"/>
  <c r="I37" s="1"/>
  <c r="G75"/>
  <c r="H75" s="1"/>
  <c r="I75" s="1"/>
  <c r="G46"/>
  <c r="H46" s="1"/>
  <c r="I46" s="1"/>
  <c r="G82"/>
  <c r="H82" s="1"/>
  <c r="I82" s="1"/>
  <c r="G57"/>
  <c r="H57" s="1"/>
  <c r="I57" s="1"/>
  <c r="I35" i="8"/>
  <c r="H106"/>
  <c r="H118" s="1"/>
  <c r="I15"/>
  <c r="I190" i="9"/>
  <c r="J19" s="1"/>
  <c r="K189"/>
  <c r="M18" s="1"/>
  <c r="K25" i="8"/>
  <c r="F35" i="9"/>
  <c r="G35" s="1"/>
  <c r="P56" i="8"/>
  <c r="E56" i="19" s="1"/>
  <c r="P131" i="1"/>
  <c r="P106"/>
  <c r="J89" i="9"/>
  <c r="E87" l="1"/>
  <c r="F87" s="1"/>
  <c r="G87" s="1"/>
  <c r="H87" s="1"/>
  <c r="I87" s="1"/>
  <c r="J87" s="1"/>
  <c r="K87" s="1"/>
  <c r="L87" s="1"/>
  <c r="M87" s="1"/>
  <c r="N87" s="1"/>
  <c r="O87" s="1"/>
  <c r="J42" i="8"/>
  <c r="H12" i="33"/>
  <c r="J92" i="8"/>
  <c r="G10" i="30"/>
  <c r="F12"/>
  <c r="F22" s="1"/>
  <c r="N9"/>
  <c r="I69" i="9"/>
  <c r="J69" s="1"/>
  <c r="K69" s="1"/>
  <c r="L69" s="1"/>
  <c r="M69" s="1"/>
  <c r="N69" s="1"/>
  <c r="O69" s="1"/>
  <c r="D68" i="10" s="1"/>
  <c r="I50"/>
  <c r="J55"/>
  <c r="K55" s="1"/>
  <c r="H56"/>
  <c r="I56" s="1"/>
  <c r="L66" i="15"/>
  <c r="M66" s="1"/>
  <c r="N66" s="1"/>
  <c r="O66" s="1"/>
  <c r="J57"/>
  <c r="K57" s="1"/>
  <c r="J46"/>
  <c r="K46" s="1"/>
  <c r="J37"/>
  <c r="K37" s="1"/>
  <c r="J65"/>
  <c r="K65" s="1"/>
  <c r="J38"/>
  <c r="K38" s="1"/>
  <c r="J85"/>
  <c r="K85" s="1"/>
  <c r="J48"/>
  <c r="K48" s="1"/>
  <c r="J62"/>
  <c r="K62" s="1"/>
  <c r="J72"/>
  <c r="K72" s="1"/>
  <c r="J81"/>
  <c r="K81" s="1"/>
  <c r="J71"/>
  <c r="K71" s="1"/>
  <c r="J93"/>
  <c r="K93" s="1"/>
  <c r="J44"/>
  <c r="K44" s="1"/>
  <c r="J73"/>
  <c r="K73" s="1"/>
  <c r="J80"/>
  <c r="K80" s="1"/>
  <c r="J63"/>
  <c r="K63" s="1"/>
  <c r="J53" i="10"/>
  <c r="K53" s="1"/>
  <c r="L53" s="1"/>
  <c r="J78" i="15"/>
  <c r="K78" s="1"/>
  <c r="L78" s="1"/>
  <c r="M78" s="1"/>
  <c r="N78" s="1"/>
  <c r="O78" s="1"/>
  <c r="P78" s="1"/>
  <c r="H83" i="19" s="1"/>
  <c r="I83" s="1"/>
  <c r="J43" i="15"/>
  <c r="K43" s="1"/>
  <c r="L43" s="1"/>
  <c r="M43" s="1"/>
  <c r="N43" s="1"/>
  <c r="O43" s="1"/>
  <c r="P43" s="1"/>
  <c r="H48" i="19" s="1"/>
  <c r="I48" s="1"/>
  <c r="J40" i="15"/>
  <c r="K40" s="1"/>
  <c r="L40" s="1"/>
  <c r="M40" s="1"/>
  <c r="N40" s="1"/>
  <c r="O40" s="1"/>
  <c r="P40" s="1"/>
  <c r="H45" i="19" s="1"/>
  <c r="I45" s="1"/>
  <c r="J36" i="15"/>
  <c r="K36" s="1"/>
  <c r="L36" s="1"/>
  <c r="M36" s="1"/>
  <c r="N36" s="1"/>
  <c r="O36" s="1"/>
  <c r="P36" s="1"/>
  <c r="H41" i="19" s="1"/>
  <c r="I41" s="1"/>
  <c r="J33" i="15"/>
  <c r="K33" s="1"/>
  <c r="L33" s="1"/>
  <c r="M33" s="1"/>
  <c r="N33" s="1"/>
  <c r="O33" s="1"/>
  <c r="P33" s="1"/>
  <c r="H38" i="19" s="1"/>
  <c r="I38" s="1"/>
  <c r="J97" i="15"/>
  <c r="K97" s="1"/>
  <c r="L97" s="1"/>
  <c r="M97" s="1"/>
  <c r="N97" s="1"/>
  <c r="O97" s="1"/>
  <c r="P97" s="1"/>
  <c r="H102" i="19" s="1"/>
  <c r="I102" s="1"/>
  <c r="J90" i="15"/>
  <c r="K90" s="1"/>
  <c r="L90" s="1"/>
  <c r="M90" s="1"/>
  <c r="N90" s="1"/>
  <c r="O90" s="1"/>
  <c r="P90" s="1"/>
  <c r="H95" i="19" s="1"/>
  <c r="I95" s="1"/>
  <c r="J87" i="15"/>
  <c r="K87" s="1"/>
  <c r="L87" s="1"/>
  <c r="M87" s="1"/>
  <c r="N87" s="1"/>
  <c r="O87" s="1"/>
  <c r="P87" s="1"/>
  <c r="H92" i="19" s="1"/>
  <c r="J61" i="15"/>
  <c r="K61" s="1"/>
  <c r="L61" s="1"/>
  <c r="M61" s="1"/>
  <c r="N61" s="1"/>
  <c r="O61" s="1"/>
  <c r="P61" s="1"/>
  <c r="H66" i="19" s="1"/>
  <c r="I66" s="1"/>
  <c r="J70" i="15"/>
  <c r="K70" s="1"/>
  <c r="L70" s="1"/>
  <c r="M70" s="1"/>
  <c r="N70" s="1"/>
  <c r="O70" s="1"/>
  <c r="P70" s="1"/>
  <c r="H75" i="19" s="1"/>
  <c r="I75" s="1"/>
  <c r="J83" i="15"/>
  <c r="K83" s="1"/>
  <c r="L83" s="1"/>
  <c r="M83" s="1"/>
  <c r="N83" s="1"/>
  <c r="O83" s="1"/>
  <c r="P83" s="1"/>
  <c r="H88" i="19" s="1"/>
  <c r="I88" s="1"/>
  <c r="J60" i="15"/>
  <c r="K60" s="1"/>
  <c r="L60" s="1"/>
  <c r="M60" s="1"/>
  <c r="N60" s="1"/>
  <c r="O60" s="1"/>
  <c r="P60" s="1"/>
  <c r="H65" i="19" s="1"/>
  <c r="I65" s="1"/>
  <c r="J89" i="15"/>
  <c r="K89" s="1"/>
  <c r="L89" s="1"/>
  <c r="M89" s="1"/>
  <c r="N89" s="1"/>
  <c r="O89" s="1"/>
  <c r="P89" s="1"/>
  <c r="H94" i="19" s="1"/>
  <c r="I94" s="1"/>
  <c r="J45" i="15"/>
  <c r="K45" s="1"/>
  <c r="L45" s="1"/>
  <c r="M45" s="1"/>
  <c r="N45" s="1"/>
  <c r="O45" s="1"/>
  <c r="P45" s="1"/>
  <c r="H50" i="19" s="1"/>
  <c r="I50" s="1"/>
  <c r="J79" i="15"/>
  <c r="K79" s="1"/>
  <c r="L79" s="1"/>
  <c r="M79" s="1"/>
  <c r="N79" s="1"/>
  <c r="O79" s="1"/>
  <c r="P79" s="1"/>
  <c r="H84" i="19" s="1"/>
  <c r="I84" s="1"/>
  <c r="J94" i="15"/>
  <c r="K94" s="1"/>
  <c r="L94" s="1"/>
  <c r="M94" s="1"/>
  <c r="N94" s="1"/>
  <c r="O94" s="1"/>
  <c r="P94" s="1"/>
  <c r="H99" i="19" s="1"/>
  <c r="I99" s="1"/>
  <c r="J91" i="15"/>
  <c r="K91" s="1"/>
  <c r="L91" s="1"/>
  <c r="M91" s="1"/>
  <c r="N91" s="1"/>
  <c r="O91" s="1"/>
  <c r="P91" s="1"/>
  <c r="H96" i="19" s="1"/>
  <c r="I96" s="1"/>
  <c r="J52" i="15"/>
  <c r="K52" s="1"/>
  <c r="L52" s="1"/>
  <c r="M52" s="1"/>
  <c r="N52" s="1"/>
  <c r="O52" s="1"/>
  <c r="P52" s="1"/>
  <c r="H57" i="19" s="1"/>
  <c r="I57" s="1"/>
  <c r="J49" i="15"/>
  <c r="K49" s="1"/>
  <c r="L49" s="1"/>
  <c r="M49" s="1"/>
  <c r="N49" s="1"/>
  <c r="O49" s="1"/>
  <c r="P49" s="1"/>
  <c r="H54" i="19" s="1"/>
  <c r="I54" s="1"/>
  <c r="J42" i="15"/>
  <c r="K42" s="1"/>
  <c r="L42" s="1"/>
  <c r="M42" s="1"/>
  <c r="N42" s="1"/>
  <c r="O42" s="1"/>
  <c r="P42" s="1"/>
  <c r="H47" i="19" s="1"/>
  <c r="I47" s="1"/>
  <c r="J39" i="15"/>
  <c r="K39" s="1"/>
  <c r="L39" s="1"/>
  <c r="M39" s="1"/>
  <c r="N39" s="1"/>
  <c r="O39" s="1"/>
  <c r="P39" s="1"/>
  <c r="H44" i="19" s="1"/>
  <c r="I44" s="1"/>
  <c r="J96" i="15"/>
  <c r="K96" s="1"/>
  <c r="L96" s="1"/>
  <c r="M96" s="1"/>
  <c r="N96" s="1"/>
  <c r="O96" s="1"/>
  <c r="P96" s="1"/>
  <c r="H101" i="19" s="1"/>
  <c r="I101" s="1"/>
  <c r="J54" i="15"/>
  <c r="K54" s="1"/>
  <c r="L54" s="1"/>
  <c r="M54" s="1"/>
  <c r="N54" s="1"/>
  <c r="O54" s="1"/>
  <c r="P54" s="1"/>
  <c r="H59" i="19" s="1"/>
  <c r="I59" s="1"/>
  <c r="J67" i="15"/>
  <c r="K67" s="1"/>
  <c r="L67" s="1"/>
  <c r="M67" s="1"/>
  <c r="N67" s="1"/>
  <c r="O67" s="1"/>
  <c r="P67" s="1"/>
  <c r="H72" i="19" s="1"/>
  <c r="I72" s="1"/>
  <c r="J76" i="15"/>
  <c r="K76" s="1"/>
  <c r="L76" s="1"/>
  <c r="M76" s="1"/>
  <c r="N76" s="1"/>
  <c r="O76" s="1"/>
  <c r="P76" s="1"/>
  <c r="H81" i="19" s="1"/>
  <c r="I81" s="1"/>
  <c r="J77" i="15"/>
  <c r="K77" s="1"/>
  <c r="L77" s="1"/>
  <c r="M77" s="1"/>
  <c r="N77" s="1"/>
  <c r="O77" s="1"/>
  <c r="P77" s="1"/>
  <c r="H82" i="19" s="1"/>
  <c r="I82" s="1"/>
  <c r="J95" i="15"/>
  <c r="K95" s="1"/>
  <c r="L95" s="1"/>
  <c r="M95" s="1"/>
  <c r="N95" s="1"/>
  <c r="O95" s="1"/>
  <c r="P95" s="1"/>
  <c r="H100" i="19" s="1"/>
  <c r="I100" s="1"/>
  <c r="J41" i="15"/>
  <c r="K41" s="1"/>
  <c r="J82"/>
  <c r="K82" s="1"/>
  <c r="L82" s="1"/>
  <c r="M82" s="1"/>
  <c r="N82" s="1"/>
  <c r="O82" s="1"/>
  <c r="P82" s="1"/>
  <c r="H87" i="19" s="1"/>
  <c r="I87" s="1"/>
  <c r="J75" i="15"/>
  <c r="K75" s="1"/>
  <c r="L75" s="1"/>
  <c r="M75" s="1"/>
  <c r="N75" s="1"/>
  <c r="O75" s="1"/>
  <c r="P75" s="1"/>
  <c r="H80" i="19" s="1"/>
  <c r="I80" s="1"/>
  <c r="J68" i="15"/>
  <c r="K68" s="1"/>
  <c r="L68" s="1"/>
  <c r="M68" s="1"/>
  <c r="N68" s="1"/>
  <c r="O68" s="1"/>
  <c r="P68" s="1"/>
  <c r="H73" i="19" s="1"/>
  <c r="J58" i="15"/>
  <c r="K58" s="1"/>
  <c r="L58" s="1"/>
  <c r="M58" s="1"/>
  <c r="N58" s="1"/>
  <c r="O58" s="1"/>
  <c r="P58" s="1"/>
  <c r="H63" i="19" s="1"/>
  <c r="I63" s="1"/>
  <c r="J64" i="15"/>
  <c r="K64" s="1"/>
  <c r="L64" s="1"/>
  <c r="M64" s="1"/>
  <c r="N64" s="1"/>
  <c r="O64" s="1"/>
  <c r="P64" s="1"/>
  <c r="H69" i="19" s="1"/>
  <c r="I69" s="1"/>
  <c r="J35" i="15"/>
  <c r="K35" s="1"/>
  <c r="L35" s="1"/>
  <c r="M35" s="1"/>
  <c r="N35" s="1"/>
  <c r="O35" s="1"/>
  <c r="P35" s="1"/>
  <c r="H40" i="19" s="1"/>
  <c r="I40" s="1"/>
  <c r="J92" i="15"/>
  <c r="K92" s="1"/>
  <c r="L92" s="1"/>
  <c r="M92" s="1"/>
  <c r="N92" s="1"/>
  <c r="O92" s="1"/>
  <c r="P92" s="1"/>
  <c r="H97" i="19" s="1"/>
  <c r="I97" s="1"/>
  <c r="J47" i="15"/>
  <c r="K47" s="1"/>
  <c r="L47" s="1"/>
  <c r="M47" s="1"/>
  <c r="N47" s="1"/>
  <c r="O47" s="1"/>
  <c r="P47" s="1"/>
  <c r="H52" i="19" s="1"/>
  <c r="I52" s="1"/>
  <c r="J59" i="15"/>
  <c r="K59" s="1"/>
  <c r="L59" s="1"/>
  <c r="M59" s="1"/>
  <c r="N59" s="1"/>
  <c r="O59" s="1"/>
  <c r="P59" s="1"/>
  <c r="H64" i="19" s="1"/>
  <c r="I64" s="1"/>
  <c r="J84" i="15"/>
  <c r="K84" s="1"/>
  <c r="L84" s="1"/>
  <c r="M84" s="1"/>
  <c r="N84" s="1"/>
  <c r="O84" s="1"/>
  <c r="P84" s="1"/>
  <c r="H89" i="19" s="1"/>
  <c r="I89" s="1"/>
  <c r="J74" i="15"/>
  <c r="K74" s="1"/>
  <c r="L74" s="1"/>
  <c r="M74" s="1"/>
  <c r="N74" s="1"/>
  <c r="O74" s="1"/>
  <c r="P74" s="1"/>
  <c r="H79" i="19" s="1"/>
  <c r="I79" s="1"/>
  <c r="J86" i="15"/>
  <c r="K86" s="1"/>
  <c r="L86" s="1"/>
  <c r="M86" s="1"/>
  <c r="N86" s="1"/>
  <c r="O86" s="1"/>
  <c r="P86" s="1"/>
  <c r="H91" i="19" s="1"/>
  <c r="P31" i="15"/>
  <c r="H36" i="19" s="1"/>
  <c r="I36" s="1"/>
  <c r="J35" i="8"/>
  <c r="I106"/>
  <c r="I118" s="1"/>
  <c r="J15"/>
  <c r="D133" i="1"/>
  <c r="E11" s="1"/>
  <c r="E29" s="1"/>
  <c r="J190" i="9"/>
  <c r="K19" s="1"/>
  <c r="L189"/>
  <c r="N18" s="1"/>
  <c r="E52"/>
  <c r="L25" i="8"/>
  <c r="M25" s="1"/>
  <c r="K89" i="9"/>
  <c r="O36" i="2"/>
  <c r="O35"/>
  <c r="O32"/>
  <c r="H28"/>
  <c r="E28"/>
  <c r="D28"/>
  <c r="O26"/>
  <c r="O25"/>
  <c r="O24"/>
  <c r="I28"/>
  <c r="O22"/>
  <c r="O21"/>
  <c r="O20"/>
  <c r="F18"/>
  <c r="G18" s="1"/>
  <c r="E19"/>
  <c r="O16"/>
  <c r="O15"/>
  <c r="O14"/>
  <c r="N5"/>
  <c r="D7"/>
  <c r="I91" i="19" l="1"/>
  <c r="P87" i="9"/>
  <c r="F91" i="19" s="1"/>
  <c r="K42" i="8"/>
  <c r="I12" i="33"/>
  <c r="G12" i="30"/>
  <c r="G22" s="1"/>
  <c r="K92" i="8"/>
  <c r="H10" i="30"/>
  <c r="H12" s="1"/>
  <c r="H22" s="1"/>
  <c r="D101" i="10"/>
  <c r="D117" s="1"/>
  <c r="E68"/>
  <c r="P69" i="9"/>
  <c r="F73" i="19" s="1"/>
  <c r="L44" i="15"/>
  <c r="M44" s="1"/>
  <c r="N44" s="1"/>
  <c r="O44" s="1"/>
  <c r="L72"/>
  <c r="M72" s="1"/>
  <c r="N72" s="1"/>
  <c r="O72" s="1"/>
  <c r="L38"/>
  <c r="M38" s="1"/>
  <c r="N38" s="1"/>
  <c r="O38" s="1"/>
  <c r="L57"/>
  <c r="M57" s="1"/>
  <c r="N57" s="1"/>
  <c r="O57" s="1"/>
  <c r="L41"/>
  <c r="M41" s="1"/>
  <c r="N41" s="1"/>
  <c r="O41" s="1"/>
  <c r="L73"/>
  <c r="M73" s="1"/>
  <c r="N73" s="1"/>
  <c r="O73" s="1"/>
  <c r="L81"/>
  <c r="M81" s="1"/>
  <c r="N81" s="1"/>
  <c r="O81" s="1"/>
  <c r="L85"/>
  <c r="M85" s="1"/>
  <c r="N85" s="1"/>
  <c r="O85" s="1"/>
  <c r="L46"/>
  <c r="M46" s="1"/>
  <c r="N46" s="1"/>
  <c r="O46" s="1"/>
  <c r="L80"/>
  <c r="M80" s="1"/>
  <c r="N80" s="1"/>
  <c r="O80" s="1"/>
  <c r="L71"/>
  <c r="M71" s="1"/>
  <c r="N71" s="1"/>
  <c r="O71" s="1"/>
  <c r="L48"/>
  <c r="M48" s="1"/>
  <c r="N48" s="1"/>
  <c r="O48" s="1"/>
  <c r="L37"/>
  <c r="M37" s="1"/>
  <c r="N37" s="1"/>
  <c r="O37" s="1"/>
  <c r="L63"/>
  <c r="M63" s="1"/>
  <c r="N63" s="1"/>
  <c r="O63" s="1"/>
  <c r="L93"/>
  <c r="M93" s="1"/>
  <c r="N93" s="1"/>
  <c r="O93" s="1"/>
  <c r="L62"/>
  <c r="M62" s="1"/>
  <c r="N62" s="1"/>
  <c r="O62" s="1"/>
  <c r="L65"/>
  <c r="M65" s="1"/>
  <c r="N65" s="1"/>
  <c r="O65" s="1"/>
  <c r="L55" i="10"/>
  <c r="J50"/>
  <c r="K50" s="1"/>
  <c r="L50" s="1"/>
  <c r="J56"/>
  <c r="M53"/>
  <c r="P66" i="15"/>
  <c r="H71" i="19" s="1"/>
  <c r="I71" s="1"/>
  <c r="K35" i="8"/>
  <c r="J106"/>
  <c r="J118" s="1"/>
  <c r="L204"/>
  <c r="K15"/>
  <c r="I32" i="10"/>
  <c r="P32" s="1"/>
  <c r="G37" i="19" s="1"/>
  <c r="E133" i="1"/>
  <c r="F11" s="1"/>
  <c r="F29" s="1"/>
  <c r="E202"/>
  <c r="K190" i="9"/>
  <c r="L19" s="1"/>
  <c r="M189"/>
  <c r="O18" s="1"/>
  <c r="BN17" i="15" s="1"/>
  <c r="D254" s="1"/>
  <c r="F19" i="2"/>
  <c r="H35" i="9"/>
  <c r="F52"/>
  <c r="G52" s="1"/>
  <c r="L89"/>
  <c r="E30" i="2"/>
  <c r="D18"/>
  <c r="D19" s="1"/>
  <c r="D30" s="1"/>
  <c r="D31" s="1"/>
  <c r="H18"/>
  <c r="I18" s="1"/>
  <c r="J18" s="1"/>
  <c r="K18" s="1"/>
  <c r="L18" s="1"/>
  <c r="M18" s="1"/>
  <c r="G19"/>
  <c r="O17"/>
  <c r="G28"/>
  <c r="F28"/>
  <c r="F30" s="1"/>
  <c r="O5"/>
  <c r="O13"/>
  <c r="L42" i="8" l="1"/>
  <c r="J12" i="33"/>
  <c r="L92" i="8"/>
  <c r="I10" i="30"/>
  <c r="I12" s="1"/>
  <c r="I22" s="1"/>
  <c r="H68" i="10"/>
  <c r="F68"/>
  <c r="N53"/>
  <c r="O53" s="1"/>
  <c r="P65" i="15"/>
  <c r="H70" i="19" s="1"/>
  <c r="I70" s="1"/>
  <c r="P93" i="15"/>
  <c r="H98" i="19" s="1"/>
  <c r="I98" s="1"/>
  <c r="P37" i="15"/>
  <c r="H42" i="19" s="1"/>
  <c r="P71" i="15"/>
  <c r="H76" i="19" s="1"/>
  <c r="I76" s="1"/>
  <c r="P46" i="15"/>
  <c r="H51" i="19" s="1"/>
  <c r="I51" s="1"/>
  <c r="P81" i="15"/>
  <c r="H86" i="19" s="1"/>
  <c r="I86" s="1"/>
  <c r="P41" i="15"/>
  <c r="H46" i="19" s="1"/>
  <c r="I46" s="1"/>
  <c r="P38" i="15"/>
  <c r="H43" i="19" s="1"/>
  <c r="I43" s="1"/>
  <c r="P44" i="15"/>
  <c r="H49" i="19" s="1"/>
  <c r="I49" s="1"/>
  <c r="P62" i="15"/>
  <c r="H67" i="19" s="1"/>
  <c r="I67" s="1"/>
  <c r="P63" i="15"/>
  <c r="H68" i="19" s="1"/>
  <c r="I68" s="1"/>
  <c r="P48" i="15"/>
  <c r="H53" i="19" s="1"/>
  <c r="I53" s="1"/>
  <c r="P80" i="15"/>
  <c r="H85" i="19" s="1"/>
  <c r="I85" s="1"/>
  <c r="P85" i="15"/>
  <c r="H90" i="19" s="1"/>
  <c r="I90" s="1"/>
  <c r="P73" i="15"/>
  <c r="H78" i="19" s="1"/>
  <c r="I78" s="1"/>
  <c r="P57" i="15"/>
  <c r="H62" i="19" s="1"/>
  <c r="I62" s="1"/>
  <c r="P72" i="15"/>
  <c r="H77" i="19" s="1"/>
  <c r="I77" s="1"/>
  <c r="M55" i="10"/>
  <c r="K56"/>
  <c r="L56" s="1"/>
  <c r="M50"/>
  <c r="N50" s="1"/>
  <c r="L35" i="8"/>
  <c r="K106"/>
  <c r="K118" s="1"/>
  <c r="M204"/>
  <c r="L15"/>
  <c r="F202" i="1"/>
  <c r="F133"/>
  <c r="G11" s="1"/>
  <c r="G29" s="1"/>
  <c r="G202" s="1"/>
  <c r="L190" i="9"/>
  <c r="M19" s="1"/>
  <c r="N189"/>
  <c r="D17" i="10" s="1"/>
  <c r="N25" i="8"/>
  <c r="I35" i="9"/>
  <c r="G30" i="2"/>
  <c r="H19"/>
  <c r="H30" s="1"/>
  <c r="M89" i="9"/>
  <c r="I19" i="2"/>
  <c r="I30" s="1"/>
  <c r="D33"/>
  <c r="E34" s="1"/>
  <c r="E6"/>
  <c r="E7" s="1"/>
  <c r="E31" s="1"/>
  <c r="E33" s="1"/>
  <c r="J19"/>
  <c r="J28"/>
  <c r="M42" i="8" l="1"/>
  <c r="K12" i="33"/>
  <c r="M92" i="8"/>
  <c r="J10" i="30"/>
  <c r="J12" s="1"/>
  <c r="J22" s="1"/>
  <c r="P53" i="10"/>
  <c r="D53" i="15"/>
  <c r="I68" i="10"/>
  <c r="K68" s="1"/>
  <c r="L68" s="1"/>
  <c r="N68" s="1"/>
  <c r="O50"/>
  <c r="O55"/>
  <c r="D55" i="15" s="1"/>
  <c r="M56" i="10"/>
  <c r="O56" s="1"/>
  <c r="D56" i="15" s="1"/>
  <c r="N55" i="10"/>
  <c r="M35" i="8"/>
  <c r="L106"/>
  <c r="L118" s="1"/>
  <c r="G133" i="1"/>
  <c r="H11" s="1"/>
  <c r="H29" s="1"/>
  <c r="H202" s="1"/>
  <c r="N204" i="8"/>
  <c r="M15"/>
  <c r="M190" i="9"/>
  <c r="N19" s="1"/>
  <c r="FA17" i="10"/>
  <c r="D371" s="1"/>
  <c r="P18" i="9"/>
  <c r="F17" i="19" s="1"/>
  <c r="O189" i="9"/>
  <c r="E17" i="10" s="1"/>
  <c r="H52" i="9"/>
  <c r="J35"/>
  <c r="O25" i="8"/>
  <c r="D21" i="9" s="1"/>
  <c r="N89"/>
  <c r="J30" i="2"/>
  <c r="K19"/>
  <c r="K28"/>
  <c r="F6"/>
  <c r="F7" s="1"/>
  <c r="F31" s="1"/>
  <c r="N42" i="8" l="1"/>
  <c r="L12" i="33"/>
  <c r="N92" i="8"/>
  <c r="K10" i="30"/>
  <c r="K12" s="1"/>
  <c r="K22" s="1"/>
  <c r="G58" i="19"/>
  <c r="G57" i="11"/>
  <c r="P68" i="10"/>
  <c r="G73" i="19" s="1"/>
  <c r="I73" s="1"/>
  <c r="P50" i="10"/>
  <c r="G54" i="11" s="1"/>
  <c r="G105" s="1"/>
  <c r="G128" s="1"/>
  <c r="G130" s="1"/>
  <c r="D50" i="15"/>
  <c r="E53"/>
  <c r="F53" s="1"/>
  <c r="G53" s="1"/>
  <c r="H53" s="1"/>
  <c r="I53" s="1"/>
  <c r="J53" s="1"/>
  <c r="K53" s="1"/>
  <c r="L53" s="1"/>
  <c r="M53" s="1"/>
  <c r="N53" s="1"/>
  <c r="O53" s="1"/>
  <c r="E50"/>
  <c r="F50" s="1"/>
  <c r="G50" s="1"/>
  <c r="H50" s="1"/>
  <c r="I50" s="1"/>
  <c r="J50" s="1"/>
  <c r="K50" s="1"/>
  <c r="L50" s="1"/>
  <c r="M50" s="1"/>
  <c r="N50" s="1"/>
  <c r="O50" s="1"/>
  <c r="P50" s="1"/>
  <c r="H55" i="19" s="1"/>
  <c r="G55"/>
  <c r="P55" i="10"/>
  <c r="G60" i="19" s="1"/>
  <c r="E55" i="15"/>
  <c r="F55" s="1"/>
  <c r="G55" s="1"/>
  <c r="H55" s="1"/>
  <c r="I55" s="1"/>
  <c r="J55" s="1"/>
  <c r="K55" s="1"/>
  <c r="L55" s="1"/>
  <c r="M55" s="1"/>
  <c r="N55" s="1"/>
  <c r="O55" s="1"/>
  <c r="N56" i="10"/>
  <c r="E56" i="15" s="1"/>
  <c r="F56" s="1"/>
  <c r="G56" s="1"/>
  <c r="H56" s="1"/>
  <c r="I56" s="1"/>
  <c r="J56" s="1"/>
  <c r="K56" s="1"/>
  <c r="L56" s="1"/>
  <c r="M56" s="1"/>
  <c r="N56" s="1"/>
  <c r="O56" s="1"/>
  <c r="P56" s="1"/>
  <c r="H61" i="19" s="1"/>
  <c r="N35" i="8"/>
  <c r="M106"/>
  <c r="E21" i="9"/>
  <c r="F21" s="1"/>
  <c r="G21" s="1"/>
  <c r="H21" s="1"/>
  <c r="I21" s="1"/>
  <c r="J21" s="1"/>
  <c r="K21" s="1"/>
  <c r="L21" s="1"/>
  <c r="M21" s="1"/>
  <c r="N21" s="1"/>
  <c r="O21" s="1"/>
  <c r="BN20" i="15" s="1"/>
  <c r="H133" i="1"/>
  <c r="I11" s="1"/>
  <c r="I29" s="1"/>
  <c r="O204" i="8"/>
  <c r="O15" s="1"/>
  <c r="N15"/>
  <c r="N190" i="9"/>
  <c r="O19" s="1"/>
  <c r="P25" i="8"/>
  <c r="E25" i="19" s="1"/>
  <c r="BN21" i="9"/>
  <c r="K35"/>
  <c r="I52"/>
  <c r="O89"/>
  <c r="K30" i="2"/>
  <c r="E37"/>
  <c r="F34" s="1"/>
  <c r="F33"/>
  <c r="G6"/>
  <c r="G7" s="1"/>
  <c r="G31" s="1"/>
  <c r="L28"/>
  <c r="L19"/>
  <c r="O42" i="8" l="1"/>
  <c r="M12" i="33"/>
  <c r="P42" i="8"/>
  <c r="E42" i="19" s="1"/>
  <c r="O92" i="8"/>
  <c r="L10" i="30"/>
  <c r="I55" i="19"/>
  <c r="P53" i="15"/>
  <c r="H58" i="19" s="1"/>
  <c r="I58" s="1"/>
  <c r="P56" i="10"/>
  <c r="G61" i="19" s="1"/>
  <c r="I61" s="1"/>
  <c r="P55" i="15"/>
  <c r="H60" i="19" s="1"/>
  <c r="I60" s="1"/>
  <c r="O35" i="8"/>
  <c r="N106"/>
  <c r="N118" s="1"/>
  <c r="M118"/>
  <c r="P21" i="9"/>
  <c r="F25" i="19" s="1"/>
  <c r="I25" s="1"/>
  <c r="P29" i="10"/>
  <c r="G34" i="19" s="1"/>
  <c r="FA18" i="10"/>
  <c r="D372" s="1"/>
  <c r="BN18" i="15"/>
  <c r="BN16" i="9"/>
  <c r="D187" s="1"/>
  <c r="P15" i="8"/>
  <c r="E15" i="19" s="1"/>
  <c r="O190" i="9"/>
  <c r="D18" i="10" s="1"/>
  <c r="I133" i="1"/>
  <c r="I202"/>
  <c r="P19" i="9"/>
  <c r="F18" i="19" s="1"/>
  <c r="J52" i="9"/>
  <c r="L35"/>
  <c r="P89"/>
  <c r="F93" i="19" s="1"/>
  <c r="F37" i="2"/>
  <c r="G34" s="1"/>
  <c r="M28"/>
  <c r="M19"/>
  <c r="N19"/>
  <c r="H6"/>
  <c r="H7" s="1"/>
  <c r="H31" s="1"/>
  <c r="G33"/>
  <c r="L30"/>
  <c r="D38" i="9" l="1"/>
  <c r="N12" i="33"/>
  <c r="O12" s="1"/>
  <c r="D88" i="9"/>
  <c r="M10" i="30"/>
  <c r="N10" s="1"/>
  <c r="N12" s="1"/>
  <c r="P92" i="8"/>
  <c r="E92" i="19" s="1"/>
  <c r="FC22" i="10"/>
  <c r="FC23" s="1"/>
  <c r="D31" i="9"/>
  <c r="O106" i="8"/>
  <c r="P35"/>
  <c r="E35" i="19" s="1"/>
  <c r="D255" i="15"/>
  <c r="BP22"/>
  <c r="BP23" s="1"/>
  <c r="D16" i="9"/>
  <c r="E187"/>
  <c r="F187" s="1"/>
  <c r="J11" i="1"/>
  <c r="I283"/>
  <c r="M35" i="9"/>
  <c r="N35" s="1"/>
  <c r="O35" s="1"/>
  <c r="K52"/>
  <c r="E88" i="10"/>
  <c r="G37" i="2"/>
  <c r="H34" s="1"/>
  <c r="H33"/>
  <c r="I6"/>
  <c r="I7" s="1"/>
  <c r="I31" s="1"/>
  <c r="M30"/>
  <c r="N28"/>
  <c r="N30" s="1"/>
  <c r="O23"/>
  <c r="O28" s="1"/>
  <c r="O12"/>
  <c r="O19" s="1"/>
  <c r="E38" i="9" l="1"/>
  <c r="F38" s="1"/>
  <c r="G38" s="1"/>
  <c r="H38" s="1"/>
  <c r="I38" s="1"/>
  <c r="J38" s="1"/>
  <c r="K38" s="1"/>
  <c r="L38" s="1"/>
  <c r="M38" s="1"/>
  <c r="N38" s="1"/>
  <c r="O38" s="1"/>
  <c r="E88"/>
  <c r="F88" s="1"/>
  <c r="G88" s="1"/>
  <c r="H88" s="1"/>
  <c r="I88" s="1"/>
  <c r="J88" s="1"/>
  <c r="K88" s="1"/>
  <c r="L88" s="1"/>
  <c r="M88" s="1"/>
  <c r="N88" s="1"/>
  <c r="O88" s="1"/>
  <c r="E106" i="19"/>
  <c r="E31" i="9"/>
  <c r="D102"/>
  <c r="D111" s="1"/>
  <c r="O118" i="8"/>
  <c r="P118" s="1"/>
  <c r="P106"/>
  <c r="E16" i="9"/>
  <c r="P35"/>
  <c r="F39" i="19" s="1"/>
  <c r="L52" i="9"/>
  <c r="F88" i="10"/>
  <c r="J6" i="2"/>
  <c r="J7" s="1"/>
  <c r="J31" s="1"/>
  <c r="I33"/>
  <c r="H37"/>
  <c r="I34" s="1"/>
  <c r="O30"/>
  <c r="P38" i="9" l="1"/>
  <c r="F42" i="19" s="1"/>
  <c r="I42" s="1"/>
  <c r="P88" i="9"/>
  <c r="F92" i="19" s="1"/>
  <c r="I92" s="1"/>
  <c r="E138"/>
  <c r="F31" i="9"/>
  <c r="E102"/>
  <c r="E111" s="1"/>
  <c r="F16"/>
  <c r="G187"/>
  <c r="M52"/>
  <c r="E34" i="10"/>
  <c r="J33" i="2"/>
  <c r="K6"/>
  <c r="K7" s="1"/>
  <c r="K31" s="1"/>
  <c r="I37"/>
  <c r="J34" s="1"/>
  <c r="F34" i="10" l="1"/>
  <c r="G31" i="9"/>
  <c r="F102"/>
  <c r="F111" s="1"/>
  <c r="G16"/>
  <c r="H187"/>
  <c r="H34" i="10"/>
  <c r="N52" i="9"/>
  <c r="H88" i="10"/>
  <c r="J37" i="2"/>
  <c r="K34" s="1"/>
  <c r="L6"/>
  <c r="L7" s="1"/>
  <c r="L31" s="1"/>
  <c r="K33"/>
  <c r="I88" i="10" l="1"/>
  <c r="H31" i="9"/>
  <c r="G102"/>
  <c r="H16"/>
  <c r="I187"/>
  <c r="I34" i="10"/>
  <c r="O52" i="9"/>
  <c r="F21" i="10"/>
  <c r="K37" i="2"/>
  <c r="L34" s="1"/>
  <c r="L33"/>
  <c r="M6"/>
  <c r="M7" s="1"/>
  <c r="M31" s="1"/>
  <c r="G111" i="9" l="1"/>
  <c r="I31"/>
  <c r="H102"/>
  <c r="H111" s="1"/>
  <c r="I32" i="15"/>
  <c r="P32" s="1"/>
  <c r="H37" i="19" s="1"/>
  <c r="I37" s="1"/>
  <c r="I16" i="9"/>
  <c r="J187"/>
  <c r="P52"/>
  <c r="F56" i="19" s="1"/>
  <c r="G21" i="10"/>
  <c r="P21" s="1"/>
  <c r="L37" i="2"/>
  <c r="M34" s="1"/>
  <c r="N6"/>
  <c r="N7" s="1"/>
  <c r="N31" s="1"/>
  <c r="M33"/>
  <c r="J31" i="9" l="1"/>
  <c r="I102"/>
  <c r="I111" s="1"/>
  <c r="J16"/>
  <c r="K187"/>
  <c r="K34" i="10"/>
  <c r="E51"/>
  <c r="K88"/>
  <c r="M37" i="2"/>
  <c r="N34" s="1"/>
  <c r="O34" s="1"/>
  <c r="N33"/>
  <c r="O31"/>
  <c r="L34" i="10" l="1"/>
  <c r="K31" i="9"/>
  <c r="J102"/>
  <c r="K16"/>
  <c r="L187"/>
  <c r="N34" i="10"/>
  <c r="F51"/>
  <c r="L88"/>
  <c r="N37" i="2"/>
  <c r="O37" s="1"/>
  <c r="O33"/>
  <c r="P34" i="10" l="1"/>
  <c r="G39" i="19" s="1"/>
  <c r="L31" i="9"/>
  <c r="K102"/>
  <c r="K111" s="1"/>
  <c r="J111"/>
  <c r="E34" i="15"/>
  <c r="F34" s="1"/>
  <c r="M187" i="9"/>
  <c r="L16"/>
  <c r="J14" i="1"/>
  <c r="K14" s="1"/>
  <c r="G34" i="15" l="1"/>
  <c r="H34" s="1"/>
  <c r="I34" s="1"/>
  <c r="M31" i="9"/>
  <c r="L102"/>
  <c r="N187"/>
  <c r="M16"/>
  <c r="H51" i="10"/>
  <c r="N88"/>
  <c r="P88" s="1"/>
  <c r="G93" i="19" s="1"/>
  <c r="L14" i="1"/>
  <c r="M14" s="1"/>
  <c r="N14" s="1"/>
  <c r="O14" s="1"/>
  <c r="J27"/>
  <c r="J34" i="15" l="1"/>
  <c r="K34" s="1"/>
  <c r="L34" s="1"/>
  <c r="M34" s="1"/>
  <c r="N34" s="1"/>
  <c r="O34" s="1"/>
  <c r="P34" s="1"/>
  <c r="H39" i="19" s="1"/>
  <c r="I39" s="1"/>
  <c r="N31" i="9"/>
  <c r="M102"/>
  <c r="M111" s="1"/>
  <c r="L111"/>
  <c r="L294"/>
  <c r="L296" s="1"/>
  <c r="BD14" i="8"/>
  <c r="D203" s="1"/>
  <c r="O187" i="9"/>
  <c r="O16" s="1"/>
  <c r="BN15" i="15" s="1"/>
  <c r="D252" s="1"/>
  <c r="N16" i="9"/>
  <c r="FA20" i="10"/>
  <c r="I51"/>
  <c r="J29" i="1"/>
  <c r="O31" i="9" l="1"/>
  <c r="N102"/>
  <c r="N111" s="1"/>
  <c r="E88" i="15"/>
  <c r="F88" s="1"/>
  <c r="P29"/>
  <c r="H34" i="19" s="1"/>
  <c r="I34" s="1"/>
  <c r="FA15" i="10"/>
  <c r="D369" s="1"/>
  <c r="P16" i="9"/>
  <c r="F15" i="19" s="1"/>
  <c r="J133" i="1"/>
  <c r="K11" s="1"/>
  <c r="J202"/>
  <c r="E203" i="8"/>
  <c r="D14"/>
  <c r="D27" s="1"/>
  <c r="G88" i="15" l="1"/>
  <c r="H88" s="1"/>
  <c r="I88" s="1"/>
  <c r="J297" i="1"/>
  <c r="O102" i="9"/>
  <c r="P31"/>
  <c r="F203" i="8"/>
  <c r="E14"/>
  <c r="E27" s="1"/>
  <c r="K51" i="10"/>
  <c r="AM102" i="9" l="1"/>
  <c r="F35" i="19"/>
  <c r="J88" i="15"/>
  <c r="K88" s="1"/>
  <c r="L88" s="1"/>
  <c r="M88" s="1"/>
  <c r="N88" s="1"/>
  <c r="O111" i="9"/>
  <c r="P102"/>
  <c r="P111" s="1"/>
  <c r="E30" i="10"/>
  <c r="G203" i="8"/>
  <c r="F14"/>
  <c r="F27" s="1"/>
  <c r="L51" i="10"/>
  <c r="I203" i="8" l="1"/>
  <c r="J203" s="1"/>
  <c r="K203" s="1"/>
  <c r="O88" i="15"/>
  <c r="P88" s="1"/>
  <c r="H93" i="19" s="1"/>
  <c r="I93" s="1"/>
  <c r="F106"/>
  <c r="F30" i="10"/>
  <c r="E101"/>
  <c r="E117" s="1"/>
  <c r="H203" i="8"/>
  <c r="G14"/>
  <c r="G27" s="1"/>
  <c r="N51" i="10"/>
  <c r="P51" s="1"/>
  <c r="G56" i="19" s="1"/>
  <c r="P14" i="1"/>
  <c r="D14" i="19" s="1"/>
  <c r="F138" l="1"/>
  <c r="F101" i="10"/>
  <c r="F117" s="1"/>
  <c r="H14" i="8"/>
  <c r="H27" s="1"/>
  <c r="H30" i="10" l="1"/>
  <c r="G101"/>
  <c r="G117" s="1"/>
  <c r="E51" i="15"/>
  <c r="I14" i="8"/>
  <c r="I27" s="1"/>
  <c r="I30" i="10" l="1"/>
  <c r="H101"/>
  <c r="H117" s="1"/>
  <c r="F51" i="15"/>
  <c r="G51" s="1"/>
  <c r="J14" i="8"/>
  <c r="J27" s="1"/>
  <c r="I101" i="10" l="1"/>
  <c r="I117" s="1"/>
  <c r="L203" i="8"/>
  <c r="K14"/>
  <c r="K27" s="1"/>
  <c r="K30" i="10" l="1"/>
  <c r="J101"/>
  <c r="J117" s="1"/>
  <c r="H51" i="15"/>
  <c r="M203" i="8"/>
  <c r="L14"/>
  <c r="L27" s="1"/>
  <c r="L30" i="10" l="1"/>
  <c r="K101"/>
  <c r="K117" s="1"/>
  <c r="I51" i="15"/>
  <c r="J51" s="1"/>
  <c r="N203" i="8"/>
  <c r="M14"/>
  <c r="M27" s="1"/>
  <c r="L101" i="10" l="1"/>
  <c r="L117" s="1"/>
  <c r="O203" i="8"/>
  <c r="O14" s="1"/>
  <c r="O27" s="1"/>
  <c r="N14"/>
  <c r="N27" s="1"/>
  <c r="N30" i="10" l="1"/>
  <c r="P30" s="1"/>
  <c r="M101"/>
  <c r="M117" s="1"/>
  <c r="K51" i="15"/>
  <c r="BN15" i="9"/>
  <c r="D186" s="1"/>
  <c r="E186" s="1"/>
  <c r="F186" s="1"/>
  <c r="P14" i="8"/>
  <c r="E14" i="19" s="1"/>
  <c r="P27" i="8"/>
  <c r="BH27"/>
  <c r="BH31" s="1"/>
  <c r="G35" i="19" l="1"/>
  <c r="G106" s="1"/>
  <c r="G138" s="1"/>
  <c r="P101" i="10"/>
  <c r="E27" i="19"/>
  <c r="N101" i="10"/>
  <c r="N117" s="1"/>
  <c r="L51" i="15"/>
  <c r="M51" s="1"/>
  <c r="D15" i="9"/>
  <c r="D23" s="1"/>
  <c r="E15"/>
  <c r="E23" s="1"/>
  <c r="BD27" i="8"/>
  <c r="BA27"/>
  <c r="O101" i="10" l="1"/>
  <c r="O117" s="1"/>
  <c r="P117"/>
  <c r="G186" i="9"/>
  <c r="F15"/>
  <c r="F23" s="1"/>
  <c r="E30" i="15" l="1"/>
  <c r="D101"/>
  <c r="D118" s="1"/>
  <c r="N51"/>
  <c r="H186" i="9"/>
  <c r="G15"/>
  <c r="F30" i="15" l="1"/>
  <c r="E101"/>
  <c r="E118" s="1"/>
  <c r="O51"/>
  <c r="G23" i="9"/>
  <c r="I186"/>
  <c r="H15"/>
  <c r="G30" i="15" l="1"/>
  <c r="F101"/>
  <c r="F118" s="1"/>
  <c r="P51"/>
  <c r="H56" i="19" s="1"/>
  <c r="I56" s="1"/>
  <c r="H23" i="9"/>
  <c r="J186"/>
  <c r="I15"/>
  <c r="H30" i="15" l="1"/>
  <c r="G101"/>
  <c r="G118" s="1"/>
  <c r="I23" i="9"/>
  <c r="K186"/>
  <c r="J15"/>
  <c r="I30" i="15" l="1"/>
  <c r="H101"/>
  <c r="H118" s="1"/>
  <c r="J23" i="9"/>
  <c r="L186"/>
  <c r="K15"/>
  <c r="J30" i="15" l="1"/>
  <c r="I101"/>
  <c r="I118" s="1"/>
  <c r="K23" i="9"/>
  <c r="M186"/>
  <c r="L15"/>
  <c r="K30" i="15" l="1"/>
  <c r="J101"/>
  <c r="J118" s="1"/>
  <c r="L23" i="9"/>
  <c r="N186"/>
  <c r="M15"/>
  <c r="L30" i="15" l="1"/>
  <c r="K101"/>
  <c r="K118" s="1"/>
  <c r="M23" i="9"/>
  <c r="O186"/>
  <c r="O15" s="1"/>
  <c r="BN14" i="15" s="1"/>
  <c r="D251" s="1"/>
  <c r="D256" s="1"/>
  <c r="N15" i="9"/>
  <c r="M30" i="15" l="1"/>
  <c r="L101"/>
  <c r="L118" s="1"/>
  <c r="E251"/>
  <c r="E255"/>
  <c r="E253"/>
  <c r="E252"/>
  <c r="E254"/>
  <c r="FA14" i="10"/>
  <c r="D368" s="1"/>
  <c r="D373" s="1"/>
  <c r="O23" i="9"/>
  <c r="N23"/>
  <c r="P15"/>
  <c r="F14" i="19" s="1"/>
  <c r="F27" l="1"/>
  <c r="N30" i="15"/>
  <c r="M101"/>
  <c r="M118" s="1"/>
  <c r="E256"/>
  <c r="E368" i="10"/>
  <c r="E372"/>
  <c r="E370"/>
  <c r="E371"/>
  <c r="E369"/>
  <c r="BP23" i="9"/>
  <c r="BP28" s="1"/>
  <c r="P23"/>
  <c r="O30" i="15" l="1"/>
  <c r="N101"/>
  <c r="N118" s="1"/>
  <c r="E373" i="10"/>
  <c r="O101" i="15" l="1"/>
  <c r="O118" s="1"/>
  <c r="P30"/>
  <c r="K27" i="1"/>
  <c r="L18"/>
  <c r="P101" i="15" l="1"/>
  <c r="P118" s="1"/>
  <c r="H35" i="19"/>
  <c r="M27" i="1"/>
  <c r="L27"/>
  <c r="K29"/>
  <c r="H106" i="19" l="1"/>
  <c r="I35"/>
  <c r="K133" i="1"/>
  <c r="L11" s="1"/>
  <c r="L29" s="1"/>
  <c r="K202"/>
  <c r="N27"/>
  <c r="H138" i="19" l="1"/>
  <c r="I138" s="1"/>
  <c r="I106"/>
  <c r="L133" i="1"/>
  <c r="M11" s="1"/>
  <c r="M29" s="1"/>
  <c r="L202"/>
  <c r="O27"/>
  <c r="P18"/>
  <c r="D18" i="19" s="1"/>
  <c r="D27" s="1"/>
  <c r="D29" s="1"/>
  <c r="D140" s="1"/>
  <c r="E11" l="1"/>
  <c r="E29" s="1"/>
  <c r="E140" s="1"/>
  <c r="F11" s="1"/>
  <c r="F29" s="1"/>
  <c r="F140" s="1"/>
  <c r="G11" s="1"/>
  <c r="M133" i="1"/>
  <c r="N11" s="1"/>
  <c r="N29" s="1"/>
  <c r="N133" s="1"/>
  <c r="O11" s="1"/>
  <c r="O29" s="1"/>
  <c r="M202"/>
  <c r="P27"/>
  <c r="P29" s="1"/>
  <c r="P133" s="1"/>
  <c r="D133" i="11" s="1"/>
  <c r="D141" i="19" l="1"/>
  <c r="N202" i="1"/>
  <c r="O133"/>
  <c r="D11" i="8" s="1"/>
  <c r="O202" i="1"/>
  <c r="P29" i="8" l="1"/>
  <c r="P120" s="1"/>
  <c r="D29"/>
  <c r="D120" s="1"/>
  <c r="P171" l="1"/>
  <c r="P123"/>
  <c r="E11"/>
  <c r="E29" s="1"/>
  <c r="E120" s="1"/>
  <c r="E123" s="1"/>
  <c r="D123"/>
  <c r="E133" i="11"/>
  <c r="E141" i="19"/>
  <c r="E205" i="8"/>
  <c r="F11" l="1"/>
  <c r="F29" s="1"/>
  <c r="F120" s="1"/>
  <c r="G11" l="1"/>
  <c r="G29" s="1"/>
  <c r="G120" s="1"/>
  <c r="F123"/>
  <c r="F205"/>
  <c r="G205" s="1"/>
  <c r="I205" s="1"/>
  <c r="G123" l="1"/>
  <c r="H11"/>
  <c r="H29" s="1"/>
  <c r="H120" s="1"/>
  <c r="H205" l="1"/>
  <c r="H123"/>
  <c r="I11"/>
  <c r="I29" s="1"/>
  <c r="I120" s="1"/>
  <c r="J11" l="1"/>
  <c r="I123"/>
  <c r="J205" l="1"/>
  <c r="J29"/>
  <c r="J120" s="1"/>
  <c r="K11" l="1"/>
  <c r="K29" s="1"/>
  <c r="K120" s="1"/>
  <c r="J123"/>
  <c r="K205" l="1"/>
  <c r="K123"/>
  <c r="L11"/>
  <c r="L29" s="1"/>
  <c r="L120" s="1"/>
  <c r="L205" l="1"/>
  <c r="L123"/>
  <c r="M11"/>
  <c r="M29" s="1"/>
  <c r="M120" s="1"/>
  <c r="M205" l="1"/>
  <c r="M123"/>
  <c r="N11"/>
  <c r="N29" s="1"/>
  <c r="N120" s="1"/>
  <c r="N123" l="1"/>
  <c r="O11"/>
  <c r="O29" s="1"/>
  <c r="O120" s="1"/>
  <c r="BD193" s="1"/>
  <c r="N205"/>
  <c r="O205" l="1"/>
  <c r="O123"/>
  <c r="D12" i="9"/>
  <c r="P25" l="1"/>
  <c r="P113" s="1"/>
  <c r="BH426" i="43" s="1"/>
  <c r="D25" i="9"/>
  <c r="D113" s="1"/>
  <c r="E12" s="1"/>
  <c r="E25" s="1"/>
  <c r="E113" s="1"/>
  <c r="F12" s="1"/>
  <c r="F25" s="1"/>
  <c r="F113" s="1"/>
  <c r="G12" s="1"/>
  <c r="G25" s="1"/>
  <c r="G113" s="1"/>
  <c r="H12" s="1"/>
  <c r="H25" s="1"/>
  <c r="P156" l="1"/>
  <c r="BH426" i="8"/>
  <c r="F133" i="11"/>
  <c r="F141" i="19"/>
  <c r="H113" i="9"/>
  <c r="I12" s="1"/>
  <c r="I25" s="1"/>
  <c r="I113" s="1"/>
  <c r="J12" l="1"/>
  <c r="J25" s="1"/>
  <c r="J113" s="1"/>
  <c r="J308" s="1"/>
  <c r="I294"/>
  <c r="K12" l="1"/>
  <c r="K25" s="1"/>
  <c r="K113" s="1"/>
  <c r="L12" l="1"/>
  <c r="L25" l="1"/>
  <c r="L113" s="1"/>
  <c r="M12" l="1"/>
  <c r="M25" l="1"/>
  <c r="M113" s="1"/>
  <c r="N12" l="1"/>
  <c r="N25" l="1"/>
  <c r="N113" s="1"/>
  <c r="O12" l="1"/>
  <c r="O25" l="1"/>
  <c r="O113" s="1"/>
  <c r="D11" i="10" l="1"/>
  <c r="E21" i="13" l="1"/>
  <c r="W21"/>
  <c r="W32" s="1"/>
  <c r="W43" s="1"/>
  <c r="Q21"/>
  <c r="Q32" s="1"/>
  <c r="Q43" s="1"/>
  <c r="M21"/>
  <c r="M32" s="1"/>
  <c r="M43" s="1"/>
  <c r="E33" l="1"/>
  <c r="E43" s="1"/>
  <c r="F256" i="15" s="1"/>
  <c r="D382" i="10"/>
  <c r="M38" i="13"/>
  <c r="M40"/>
  <c r="M41"/>
  <c r="M42"/>
  <c r="M39"/>
  <c r="W39"/>
  <c r="W41"/>
  <c r="W38"/>
  <c r="W40"/>
  <c r="W42"/>
  <c r="Q42"/>
  <c r="Q38"/>
  <c r="Q40"/>
  <c r="Q39"/>
  <c r="Q41"/>
  <c r="E377" i="10"/>
  <c r="D14"/>
  <c r="F17"/>
  <c r="E380"/>
  <c r="E18"/>
  <c r="E381"/>
  <c r="E378"/>
  <c r="D15"/>
  <c r="E38" i="13" l="1"/>
  <c r="E42"/>
  <c r="F373" i="10"/>
  <c r="E39" i="13"/>
  <c r="E41"/>
  <c r="E40"/>
  <c r="F380" i="10"/>
  <c r="G17"/>
  <c r="E14"/>
  <c r="F377"/>
  <c r="F381"/>
  <c r="F18"/>
  <c r="D22"/>
  <c r="D24" s="1"/>
  <c r="D119" s="1"/>
  <c r="F378"/>
  <c r="E15"/>
  <c r="F370" l="1"/>
  <c r="F253" i="15"/>
  <c r="F369" i="10"/>
  <c r="F252" i="15"/>
  <c r="F372" i="10"/>
  <c r="F255" i="15"/>
  <c r="F371" i="10"/>
  <c r="F254" i="15"/>
  <c r="F368" i="10"/>
  <c r="F251" i="15"/>
  <c r="E22" i="10"/>
  <c r="F14"/>
  <c r="H17"/>
  <c r="F15"/>
  <c r="G18"/>
  <c r="F22" l="1"/>
  <c r="H18"/>
  <c r="H381"/>
  <c r="I381" s="1"/>
  <c r="I17"/>
  <c r="H380"/>
  <c r="I380" s="1"/>
  <c r="E11"/>
  <c r="G15"/>
  <c r="H378"/>
  <c r="I378" s="1"/>
  <c r="H377"/>
  <c r="I377" s="1"/>
  <c r="G14"/>
  <c r="G22" l="1"/>
  <c r="E24"/>
  <c r="E119" s="1"/>
  <c r="F11" s="1"/>
  <c r="F24" s="1"/>
  <c r="F119" s="1"/>
  <c r="G11" s="1"/>
  <c r="J17"/>
  <c r="H15"/>
  <c r="H14"/>
  <c r="I18"/>
  <c r="G24" l="1"/>
  <c r="G119" s="1"/>
  <c r="H22"/>
  <c r="I14"/>
  <c r="K17"/>
  <c r="J18"/>
  <c r="I15"/>
  <c r="I22" l="1"/>
  <c r="J15"/>
  <c r="K378"/>
  <c r="K18"/>
  <c r="K381"/>
  <c r="J14"/>
  <c r="J22" s="1"/>
  <c r="K377"/>
  <c r="K380"/>
  <c r="L17"/>
  <c r="H11" l="1"/>
  <c r="H24" s="1"/>
  <c r="H119" s="1"/>
  <c r="K14"/>
  <c r="L377"/>
  <c r="M17"/>
  <c r="L380"/>
  <c r="L18"/>
  <c r="L381"/>
  <c r="K15"/>
  <c r="L378"/>
  <c r="K22" l="1"/>
  <c r="I11"/>
  <c r="I24" s="1"/>
  <c r="I119" s="1"/>
  <c r="L15"/>
  <c r="N17"/>
  <c r="M18"/>
  <c r="L14"/>
  <c r="L22" l="1"/>
  <c r="J11"/>
  <c r="J24" s="1"/>
  <c r="I551"/>
  <c r="M14"/>
  <c r="N377"/>
  <c r="M15"/>
  <c r="N378"/>
  <c r="O17"/>
  <c r="P17" s="1"/>
  <c r="G17" i="19" s="1"/>
  <c r="N380" i="10"/>
  <c r="N18"/>
  <c r="N381"/>
  <c r="O380" l="1"/>
  <c r="E17" i="15" s="1"/>
  <c r="E22" s="1"/>
  <c r="D17"/>
  <c r="M22" i="10"/>
  <c r="J119"/>
  <c r="K11" s="1"/>
  <c r="K24" s="1"/>
  <c r="K119" s="1"/>
  <c r="O381"/>
  <c r="D18" i="15" s="1"/>
  <c r="P18" s="1"/>
  <c r="H18" i="19" s="1"/>
  <c r="O18" i="10"/>
  <c r="P18" s="1"/>
  <c r="G18" i="19" s="1"/>
  <c r="N15" i="10"/>
  <c r="O378"/>
  <c r="O15" s="1"/>
  <c r="N14"/>
  <c r="N22" s="1"/>
  <c r="O377"/>
  <c r="O14" s="1"/>
  <c r="I18" i="19" l="1"/>
  <c r="O22" i="10"/>
  <c r="P15"/>
  <c r="G15" i="19" s="1"/>
  <c r="I15" s="1"/>
  <c r="P17" i="15"/>
  <c r="D22"/>
  <c r="BZ22" s="1"/>
  <c r="J590" i="10"/>
  <c r="L11"/>
  <c r="L24" s="1"/>
  <c r="L119" s="1"/>
  <c r="P14"/>
  <c r="G14" i="19" s="1"/>
  <c r="I14" s="1"/>
  <c r="G27" l="1"/>
  <c r="P22" i="15"/>
  <c r="BN23" s="1"/>
  <c r="H17" i="19"/>
  <c r="M11" i="10"/>
  <c r="M24" s="1"/>
  <c r="M119" s="1"/>
  <c r="FM22"/>
  <c r="P22"/>
  <c r="H27" i="19" l="1"/>
  <c r="I27" s="1"/>
  <c r="I29" s="1"/>
  <c r="I140" s="1"/>
  <c r="I17"/>
  <c r="G29"/>
  <c r="G140" s="1"/>
  <c r="H11" s="1"/>
  <c r="H29" s="1"/>
  <c r="BN26" i="15"/>
  <c r="N11" i="10"/>
  <c r="FA23"/>
  <c r="P24"/>
  <c r="P119" s="1"/>
  <c r="FA26"/>
  <c r="H140" i="19" l="1"/>
  <c r="G141"/>
  <c r="P305" i="10"/>
  <c r="N24"/>
  <c r="G133" i="11"/>
  <c r="FA303" i="10"/>
  <c r="FA361" s="1"/>
  <c r="N119" l="1"/>
  <c r="O11" s="1"/>
  <c r="O24" s="1"/>
  <c r="O119" s="1"/>
  <c r="D11" i="15" l="1"/>
  <c r="P24" s="1"/>
  <c r="P120" s="1"/>
  <c r="P354" i="10"/>
  <c r="H141" i="19" l="1"/>
  <c r="BN196" i="15"/>
  <c r="BN244" s="1"/>
  <c r="D24"/>
  <c r="D120" s="1"/>
  <c r="E11" s="1"/>
  <c r="E24" s="1"/>
  <c r="E120" s="1"/>
  <c r="F11" s="1"/>
  <c r="F24" s="1"/>
  <c r="F120" s="1"/>
  <c r="G11" s="1"/>
  <c r="G24" s="1"/>
  <c r="G120" s="1"/>
  <c r="H11" s="1"/>
  <c r="H24" s="1"/>
  <c r="H120" s="1"/>
  <c r="I11" s="1"/>
  <c r="I24" s="1"/>
  <c r="I120" s="1"/>
  <c r="I434" s="1"/>
  <c r="J11" l="1"/>
  <c r="J24" s="1"/>
  <c r="J120" s="1"/>
  <c r="J473" s="1"/>
  <c r="K11" l="1"/>
  <c r="K24" s="1"/>
  <c r="K120" s="1"/>
  <c r="L11" s="1"/>
  <c r="L24" s="1"/>
  <c r="L120" s="1"/>
  <c r="M11" s="1"/>
  <c r="M24" s="1"/>
  <c r="M120" s="1"/>
  <c r="N11" s="1"/>
  <c r="N24" s="1"/>
  <c r="N120" s="1"/>
  <c r="O11" s="1"/>
  <c r="O24" s="1"/>
  <c r="O120" s="1"/>
  <c r="P237" s="1"/>
  <c r="L12" i="30" l="1"/>
  <c r="L22" s="1"/>
  <c r="M12"/>
  <c r="M22" s="1"/>
  <c r="N25" l="1"/>
</calcChain>
</file>

<file path=xl/sharedStrings.xml><?xml version="1.0" encoding="utf-8"?>
<sst xmlns="http://schemas.openxmlformats.org/spreadsheetml/2006/main" count="3140" uniqueCount="766">
  <si>
    <t>Dalam Jutaan Rupiah</t>
  </si>
  <si>
    <t>KETERANGAN</t>
  </si>
  <si>
    <t>JUMLAH PENERIMAAN (A)</t>
  </si>
  <si>
    <t xml:space="preserve">BULAN </t>
  </si>
  <si>
    <t>Januari</t>
  </si>
  <si>
    <t>Februari</t>
  </si>
  <si>
    <t>Maret</t>
  </si>
  <si>
    <t>April</t>
  </si>
  <si>
    <t>Mei</t>
  </si>
  <si>
    <t>Juni</t>
  </si>
  <si>
    <t>A</t>
  </si>
  <si>
    <t xml:space="preserve">SALDO AWAL </t>
  </si>
  <si>
    <t>B</t>
  </si>
  <si>
    <t>Rawat Inap</t>
  </si>
  <si>
    <t>Rawat Jalan</t>
  </si>
  <si>
    <t>Penjualan Aset</t>
  </si>
  <si>
    <t>Kembali Bon</t>
  </si>
  <si>
    <t>Sumbangan Buka Puasa</t>
  </si>
  <si>
    <t>Sumbangan Milad</t>
  </si>
  <si>
    <t>C</t>
  </si>
  <si>
    <t>PENGELUARAN</t>
  </si>
  <si>
    <t>By Adm &amp; Umum</t>
  </si>
  <si>
    <t>Gaji Pegawai</t>
  </si>
  <si>
    <t>Lembur</t>
  </si>
  <si>
    <t>Perlengkapan pegawai</t>
  </si>
  <si>
    <t>THR</t>
  </si>
  <si>
    <t>Jamsostek</t>
  </si>
  <si>
    <t>Pajak Kary</t>
  </si>
  <si>
    <t>Kerugian Piutang</t>
  </si>
  <si>
    <t>Dokumentasi</t>
  </si>
  <si>
    <t>By Pendidikan(Seminar, pelatihan dll)</t>
  </si>
  <si>
    <t>By tamu</t>
  </si>
  <si>
    <t>By Konsumsi</t>
  </si>
  <si>
    <t>Sumbangan</t>
  </si>
  <si>
    <t>PLN</t>
  </si>
  <si>
    <t>Biaya Telp</t>
  </si>
  <si>
    <t>Biaya Pam</t>
  </si>
  <si>
    <t>Biaya Sertifikasi</t>
  </si>
  <si>
    <t>By Perjalanan</t>
  </si>
  <si>
    <t>BBm</t>
  </si>
  <si>
    <t>Tunj. Tenaga Ahli</t>
  </si>
  <si>
    <t>Upgrade program</t>
  </si>
  <si>
    <t>Lain</t>
  </si>
  <si>
    <t>Promosi</t>
  </si>
  <si>
    <t>BPJS Kesehatan</t>
  </si>
  <si>
    <t>BPJS Ketenagakerjaan</t>
  </si>
  <si>
    <t>Akreditasi</t>
  </si>
  <si>
    <t>Biaya Perlengkapan Rumah Sakit</t>
  </si>
  <si>
    <t>Linen/Kain</t>
  </si>
  <si>
    <t>Bantal, Kasur, Bantal Guling</t>
  </si>
  <si>
    <t>Laundry dan Kebersihan</t>
  </si>
  <si>
    <t>Elektronik</t>
  </si>
  <si>
    <t>Mebelair</t>
  </si>
  <si>
    <t>Ruangan</t>
  </si>
  <si>
    <t>Alat Tulis, Cetakan Dan Formulir</t>
  </si>
  <si>
    <t>Biaya di Luar Usaha</t>
  </si>
  <si>
    <t>Biaya Bank</t>
  </si>
  <si>
    <t>Biaya Bunga</t>
  </si>
  <si>
    <t>Biaya Pajak</t>
  </si>
  <si>
    <t>Pajak Badan</t>
  </si>
  <si>
    <t>PBB</t>
  </si>
  <si>
    <t>Biaya Pemeliharaan</t>
  </si>
  <si>
    <t>Pelihara Bangunan-material</t>
  </si>
  <si>
    <t>Pelihara Bangunan-Jasa</t>
  </si>
  <si>
    <t>Pelihara Alat Medis-Alat</t>
  </si>
  <si>
    <t>Pelihara Alat Medis-Jasa</t>
  </si>
  <si>
    <t>Pelihara Alat Non Medis-Alat</t>
  </si>
  <si>
    <t>Pelihara Alat Non Medis-Jasa</t>
  </si>
  <si>
    <t>Pelihara Kendaraan-perlengkapan</t>
  </si>
  <si>
    <t>Pelihara Kendaraan-Jasa</t>
  </si>
  <si>
    <t>Pelihara Inventaris-Perlengkapan</t>
  </si>
  <si>
    <t>Pelihara inventaris-Jasa</t>
  </si>
  <si>
    <t>Bi Cleaning Servis</t>
  </si>
  <si>
    <t>Biaya Langsung</t>
  </si>
  <si>
    <t>HPP Farmasi</t>
  </si>
  <si>
    <t xml:space="preserve">Bahan </t>
  </si>
  <si>
    <t>Alat Kesehatan</t>
  </si>
  <si>
    <t>Jasa Medis Dokter</t>
  </si>
  <si>
    <t>Jasa Pelayanan</t>
  </si>
  <si>
    <t>Jasa Medis Bidan/Perawat</t>
  </si>
  <si>
    <t>Gaji/Honor Dokter</t>
  </si>
  <si>
    <t>Gaji/Honor Perawat</t>
  </si>
  <si>
    <t>BiayaDapur Bahan Olahan</t>
  </si>
  <si>
    <t>Biaya Dapur Bahan Bakar</t>
  </si>
  <si>
    <t>Biaya Dapur Alat</t>
  </si>
  <si>
    <t>Biaya Pembelian</t>
  </si>
  <si>
    <t>Labu Darah</t>
  </si>
  <si>
    <t>Pelatihan BTCLS</t>
  </si>
  <si>
    <t>ECG</t>
  </si>
  <si>
    <t>Pensiun Karyawan</t>
  </si>
  <si>
    <t xml:space="preserve">JUMLAH </t>
  </si>
  <si>
    <t>Kasbon</t>
  </si>
  <si>
    <t>Hutang Gaji</t>
  </si>
  <si>
    <t>Angsuran Alkes ( Dental Unit)</t>
  </si>
  <si>
    <t>Samator</t>
  </si>
  <si>
    <t>Uang Muka Alkes fisioterapi</t>
  </si>
  <si>
    <t>Pinbuk</t>
  </si>
  <si>
    <t>Pinbuk ke Yayasan ( untuk angsuran Rontgen)</t>
  </si>
  <si>
    <t>Angsuran Alkes</t>
  </si>
  <si>
    <t>Angsuran Hutang Pihak ke 3</t>
  </si>
  <si>
    <t>Angsuran Mobil</t>
  </si>
  <si>
    <t>Angsuran Bank</t>
  </si>
  <si>
    <t xml:space="preserve">D. JUMLAH PENGELUARAN </t>
  </si>
  <si>
    <t>E. SALDO AKHIR ( C-D )</t>
  </si>
  <si>
    <t>RUMAH SAKIT SITI KHODIJAH PEKALONGAN</t>
  </si>
  <si>
    <t>PROYEKSI CASH FLOW</t>
  </si>
  <si>
    <t>TAHUN 2014 S/D 2023</t>
  </si>
  <si>
    <t>SALDO AWAL</t>
  </si>
  <si>
    <t>JUMLAH PENERIMAAN + SALDO AWAL</t>
  </si>
  <si>
    <t>Total Proyeksi</t>
  </si>
  <si>
    <t>PENGELUARAN/OUT FLOW</t>
  </si>
  <si>
    <t>Karyawan Purna</t>
  </si>
  <si>
    <t>Investasi</t>
  </si>
  <si>
    <t>Pelatihan akreditasi standar JCI</t>
  </si>
  <si>
    <t>Hutang Dagang</t>
  </si>
  <si>
    <t>Hutang Jasa dokter</t>
  </si>
  <si>
    <t>Jasa Layanan BPJS</t>
  </si>
  <si>
    <t>JUMLAH PENGELUARAN (B)</t>
  </si>
  <si>
    <t>SELISIH PENERIMAAN &amp; PENGELUARAN</t>
  </si>
  <si>
    <t>SETORAN LABA KE YAYASAN</t>
  </si>
  <si>
    <t>UANG YANG TERSEDIA</t>
  </si>
  <si>
    <t>SAVING LABA TAHUN LALU</t>
  </si>
  <si>
    <t>PEMBELIAN 2014 S/D 2018</t>
  </si>
  <si>
    <t xml:space="preserve">PROYEKSI ANGSURAN KE INVESTOR </t>
  </si>
  <si>
    <t xml:space="preserve">SAVING </t>
  </si>
  <si>
    <t>Realisasi</t>
  </si>
  <si>
    <t>Proyeksi</t>
  </si>
  <si>
    <t>Juli</t>
  </si>
  <si>
    <t>jd rs</t>
  </si>
  <si>
    <t>Agustus</t>
  </si>
  <si>
    <t>Sept</t>
  </si>
  <si>
    <t>Oktober</t>
  </si>
  <si>
    <t>November</t>
  </si>
  <si>
    <t>Desember</t>
  </si>
  <si>
    <t>Bor %</t>
  </si>
  <si>
    <t>kas</t>
  </si>
  <si>
    <t>bni 46</t>
  </si>
  <si>
    <t>bni giro</t>
  </si>
  <si>
    <t>bca</t>
  </si>
  <si>
    <t>mandiri</t>
  </si>
  <si>
    <t>tab thr</t>
  </si>
  <si>
    <t>jd rs juni</t>
  </si>
  <si>
    <t>September</t>
  </si>
  <si>
    <t>Desemebr</t>
  </si>
  <si>
    <t>Pinbuk untuk operasional Yayasan</t>
  </si>
  <si>
    <t>CSSU</t>
  </si>
  <si>
    <t>bni s tab</t>
  </si>
  <si>
    <t>feb</t>
  </si>
  <si>
    <t>mar</t>
  </si>
  <si>
    <t>april</t>
  </si>
  <si>
    <t>mei</t>
  </si>
  <si>
    <t>jun</t>
  </si>
  <si>
    <t>jul</t>
  </si>
  <si>
    <t>agus</t>
  </si>
  <si>
    <t>sept</t>
  </si>
  <si>
    <t>okt</t>
  </si>
  <si>
    <t>nov</t>
  </si>
  <si>
    <t>des</t>
  </si>
  <si>
    <t>jan</t>
  </si>
  <si>
    <t>PENERIMAAN</t>
  </si>
  <si>
    <t>SALDO</t>
  </si>
  <si>
    <t>Des-14</t>
  </si>
  <si>
    <t>Feb 15</t>
  </si>
  <si>
    <t>Maret 15</t>
  </si>
  <si>
    <t>Mei 15</t>
  </si>
  <si>
    <t>Agust 15</t>
  </si>
  <si>
    <t>Okt 15</t>
  </si>
  <si>
    <t>Des 15</t>
  </si>
  <si>
    <t xml:space="preserve"> Jan 16</t>
  </si>
  <si>
    <t>Feb 16</t>
  </si>
  <si>
    <t>Maret 16</t>
  </si>
  <si>
    <t>April 16</t>
  </si>
  <si>
    <t>Mei 16</t>
  </si>
  <si>
    <t>Juni 16</t>
  </si>
  <si>
    <t>Juli 16</t>
  </si>
  <si>
    <t>Agustus 16</t>
  </si>
  <si>
    <t>Okt 16</t>
  </si>
  <si>
    <t>Nov 16</t>
  </si>
  <si>
    <t>Des 16</t>
  </si>
  <si>
    <t>Apr-15</t>
  </si>
  <si>
    <t>Jun 15</t>
  </si>
  <si>
    <t>Jul 15</t>
  </si>
  <si>
    <t>Sep 15</t>
  </si>
  <si>
    <t>Nov 15</t>
  </si>
  <si>
    <t>Sep 16</t>
  </si>
  <si>
    <t>RINCIAN HUTANG PIHAK KE 3</t>
  </si>
  <si>
    <t xml:space="preserve">jasa </t>
  </si>
  <si>
    <t>b bank</t>
  </si>
  <si>
    <t>FORM B. LAPORAN BULANAN DARI UNIT KE KOMITE MUTU</t>
  </si>
  <si>
    <t>Nama Unit</t>
  </si>
  <si>
    <t>Indikator Sasaran Mutu</t>
  </si>
  <si>
    <t>Area</t>
  </si>
  <si>
    <t>Jumlah Numerator ( N)</t>
  </si>
  <si>
    <t>Jumlah Denumerator ( D)</t>
  </si>
  <si>
    <t>Formula (N/D X 100%)</t>
  </si>
  <si>
    <t>Target</t>
  </si>
  <si>
    <t>Hasil Indikator Mutu Unit</t>
  </si>
  <si>
    <t>Kesimpulan</t>
  </si>
  <si>
    <t>Analisa Unit</t>
  </si>
  <si>
    <t>:</t>
  </si>
  <si>
    <r>
      <t>TERCAPAI /</t>
    </r>
    <r>
      <rPr>
        <strike/>
        <sz val="11"/>
        <color theme="1"/>
        <rFont val="Calibri"/>
        <family val="2"/>
        <scheme val="minor"/>
      </rPr>
      <t xml:space="preserve"> TIDAK TERCAPAI</t>
    </r>
  </si>
  <si>
    <t>Keuangan</t>
  </si>
  <si>
    <t>Keuangan &amp; Akuntansi</t>
  </si>
  <si>
    <t>Rekomendasi</t>
  </si>
  <si>
    <t>Koordinator Instalasi / Unit / Ruang</t>
  </si>
  <si>
    <t>Penanggung Jawab</t>
  </si>
  <si>
    <t>( Agung Setya N )</t>
  </si>
  <si>
    <t>Pekalongan , 10 Juli 2016</t>
  </si>
  <si>
    <t>Verivikator Komite PMKP</t>
  </si>
  <si>
    <t>( Ketua/ wakil Ketua/ Sekretaris)</t>
  </si>
  <si>
    <t>(……………………………………………………)</t>
  </si>
  <si>
    <t>Pekalongan , 10 Agustus  2016</t>
  </si>
  <si>
    <t xml:space="preserve">Pada bulan Juni 2016  kemampuan RS untuk menutup tagihan para kreditor jangka pendek berada di atas rata-rata rasio industri dan dapat untuk menutup tagihan (4.58: 1) </t>
  </si>
  <si>
    <t xml:space="preserve">Pada bulan Juli 2016  kemampuan RS untuk menutup tagihan para kreditor jangka pendek berada di atas rata-rata rasio industri dan dapat untuk menutup tagihan (4.76: 1) </t>
  </si>
  <si>
    <t>Current Ratio</t>
  </si>
  <si>
    <t>Kenaikan/ Penurunan BOR</t>
  </si>
  <si>
    <t>JUMLAH PENERIMAAN</t>
  </si>
  <si>
    <t>JUMLAH SALDO AWAL+ PENERIMAAN (A+B)</t>
  </si>
  <si>
    <t>Penerimaan dari pembayaran pendaftaran peserta BTCLS</t>
  </si>
  <si>
    <t>Penerimaan JM Rumah Sakit</t>
  </si>
  <si>
    <t>Penerimaan bank (bagi hasil)</t>
  </si>
  <si>
    <t xml:space="preserve"> Alkes Troley</t>
  </si>
  <si>
    <t>Alkes</t>
  </si>
  <si>
    <t>Pinbuk ke Yayasan ( untuk pembelian alat)</t>
  </si>
  <si>
    <t>ok</t>
  </si>
  <si>
    <t>PROYEKSI PENERIMAAN DAN PENGELUARAN</t>
  </si>
  <si>
    <t xml:space="preserve">RS SITI KHODIJAH </t>
  </si>
  <si>
    <t>TAHUN 2016</t>
  </si>
  <si>
    <t>TAHUN 2017</t>
  </si>
  <si>
    <t>TAHUN 2018</t>
  </si>
  <si>
    <t>Biaya di luar perkiraan ( Renovasi ruangan &amp;n lainnya)</t>
  </si>
  <si>
    <t>Kalibrasi alat</t>
  </si>
  <si>
    <t>TAHUN 2019</t>
  </si>
  <si>
    <t>Penerimaan dari Pembayaran Piutang (BPJS)</t>
  </si>
  <si>
    <t>Penerimaan dari Pembayaran Piutang (Asuransi)</t>
  </si>
  <si>
    <t>TOTAL</t>
  </si>
  <si>
    <t>Kenaikan (Penurunan BOR)</t>
  </si>
  <si>
    <t>Renovasi</t>
  </si>
  <si>
    <t>Alkes (Jantung)</t>
  </si>
  <si>
    <t>Gedung Baru</t>
  </si>
  <si>
    <t>GEDUNG BARU</t>
  </si>
  <si>
    <t>STRUKTUR</t>
  </si>
  <si>
    <t>FINISHING</t>
  </si>
  <si>
    <t xml:space="preserve">PONDASI </t>
  </si>
  <si>
    <t>Penerimaan dari Pembayaran Piutang ( BPJS)</t>
  </si>
  <si>
    <t>Penerimaan dari Pembayaran Piutang ( Asuransi)</t>
  </si>
  <si>
    <t>Finishing</t>
  </si>
  <si>
    <t>jantung</t>
  </si>
  <si>
    <t>mata</t>
  </si>
  <si>
    <t>RENOVASI</t>
  </si>
  <si>
    <t>juta</t>
  </si>
  <si>
    <t>pendapatan alat jantung</t>
  </si>
  <si>
    <t>Pendapatan Alat Jantung</t>
  </si>
  <si>
    <t>yg tadi 10 pasien</t>
  </si>
  <si>
    <t>Alkes ( Alat Mata)</t>
  </si>
  <si>
    <t>Pinbuk (Angsuran Alkes)</t>
  </si>
  <si>
    <t>TAHUN 2016 s/d 2019</t>
  </si>
  <si>
    <t>ASUMSI PENAMBAHAN 20 PERSEN DARI PENAMBAHAN 40 BED</t>
  </si>
  <si>
    <t>TOTAL 6 BULAN</t>
  </si>
  <si>
    <t>RATA2 PERBULAN</t>
  </si>
  <si>
    <t>PENDAPATAN</t>
  </si>
  <si>
    <t>DENGAN 105 BED</t>
  </si>
  <si>
    <t>PERBED</t>
  </si>
  <si>
    <t>20 PERSEN DARI PENAMBAHAN 40 BED</t>
  </si>
  <si>
    <t>terima pinjaman</t>
  </si>
  <si>
    <t>pembangunan</t>
  </si>
  <si>
    <t>angsuran dari 8 M</t>
  </si>
  <si>
    <t>ANGSURAN DARI 37 m</t>
  </si>
  <si>
    <t>pendapatan alkes jantung</t>
  </si>
  <si>
    <t>saldo pada 2019 setelah biy operasional dan set YAI</t>
  </si>
  <si>
    <t>PEMBELIAN ALKES JANTUNG, RENOV, MATA , CSSU</t>
  </si>
  <si>
    <t>350*4</t>
  </si>
  <si>
    <t>TURUN 14%</t>
  </si>
  <si>
    <t>JUNI TARIF</t>
  </si>
  <si>
    <t>10 + PERSEN</t>
  </si>
  <si>
    <t>20 PERSEN DARI BED TERMAHAL</t>
  </si>
  <si>
    <t>20 *</t>
  </si>
  <si>
    <t xml:space="preserve">5% PERSEN DINAIKKAN MULAI BULAN JAN SD JUN </t>
  </si>
  <si>
    <t>BED MULTAZAM RATA2 PENDAPATAN 3 BULAN 80 JUTA</t>
  </si>
  <si>
    <t>PENDAPATAN PER BED NYA</t>
  </si>
  <si>
    <t xml:space="preserve">** </t>
  </si>
  <si>
    <t>0.4% DARI PENDAPATAN</t>
  </si>
  <si>
    <t>**</t>
  </si>
  <si>
    <t>40 BED BARU</t>
  </si>
  <si>
    <t>PENDAPATAN 1 BED BARU DALAM 1 BULAN</t>
  </si>
  <si>
    <t>PENDAPATAN 40 BED BARU DALAM 1 BULAN</t>
  </si>
  <si>
    <t>DARI 40 BED</t>
  </si>
  <si>
    <t>PENDAPATAN POLI 9% DARI PENDAPATAN</t>
  </si>
  <si>
    <t>PENDAPATN POLI 2 x</t>
  </si>
  <si>
    <t>PENDAPTN LAB 2 X</t>
  </si>
  <si>
    <t>ASUMSI POLI BAKAL ADA 3 KALI LIPAT</t>
  </si>
  <si>
    <t>ASUMSI LAB BAKAL ADA 3 KALI LIPAT</t>
  </si>
  <si>
    <t>PENDAPATAN LAB 7 % DARI TOTAL PENDAPATAN</t>
  </si>
  <si>
    <t>KENAIKAN PENDAPATAN PER BULAN JAN 19</t>
  </si>
  <si>
    <t>Kenaikan Tarif di Bulan Juni sebesar 10 %</t>
  </si>
  <si>
    <t>BOR minimum 84% kecuali di bulan puasa</t>
  </si>
  <si>
    <t xml:space="preserve">catatan : </t>
  </si>
  <si>
    <t>Bahan ( Obat obatan)</t>
  </si>
  <si>
    <t>Alat Kesehatan (bahan habis pakai)</t>
  </si>
  <si>
    <t>Penerimaan Pinjaman Dari Pihak Ke 3</t>
  </si>
  <si>
    <t>Penerimaan Lain-Lain</t>
  </si>
  <si>
    <t>Kenaikan Tarif di Bulan Jan sebesar  5 %</t>
  </si>
  <si>
    <t>max 25 M pinjaman</t>
  </si>
  <si>
    <t>Kenaikan Inflasi 5%</t>
  </si>
  <si>
    <t>NAIK 10 %</t>
  </si>
  <si>
    <t xml:space="preserve">pendapatan bed R Multazam 1 bulan </t>
  </si>
  <si>
    <t>per bed nya</t>
  </si>
  <si>
    <t>kenaikan tarif dari jan 2017 s/d 2019 sebesar</t>
  </si>
  <si>
    <t>PENDAPATAN 1 BED  DALAM 1 BULAN</t>
  </si>
  <si>
    <t>dan bed baru di wacanakan 20% lebih mahal dari bed Multazam</t>
  </si>
  <si>
    <t>pendapatan 1 bed baru dalam 1 bulan</t>
  </si>
  <si>
    <t>40 bed baru dalam 1 bulan</t>
  </si>
  <si>
    <t>pendapatan poli rata 2 per bulan</t>
  </si>
  <si>
    <t>Menurut pak said u/ poli ada 3 X lipat pendapatan mulai awal tahun 2019</t>
  </si>
  <si>
    <t>pendapatan rata2 per bulan</t>
  </si>
  <si>
    <t>untuk menghitung 3x , pendapatan poli di kalikan 2</t>
  </si>
  <si>
    <t>Menurut pak said u/ lab ada 3 X lipat pendapatan mulai awal tahun 2019</t>
  </si>
  <si>
    <t>pertumbuhan pendapatan Jan 2019</t>
  </si>
  <si>
    <t xml:space="preserve"> JAN 2019</t>
  </si>
  <si>
    <t xml:space="preserve"> APRIL 2019</t>
  </si>
  <si>
    <t xml:space="preserve"> JULI 2019</t>
  </si>
  <si>
    <t>asumsi pendapatan bed baru MASIH 20%</t>
  </si>
  <si>
    <t>asumsi pendapatan bed baru MASIH 50 % DARI 40 BED</t>
  </si>
  <si>
    <t>asumsi pendapatan bed baru 75% dari 40 bed</t>
  </si>
  <si>
    <t xml:space="preserve"> OKT 2019</t>
  </si>
  <si>
    <t>asumsi pendapatan bed SUDAH 100% dari 40 bed</t>
  </si>
  <si>
    <t>pertumbuhan pendapatan OKT  2019</t>
  </si>
  <si>
    <t>pertumbuhan pendapatan April 2019</t>
  </si>
  <si>
    <t>pertumbuhan pendapatan Juli 2019</t>
  </si>
  <si>
    <t xml:space="preserve">Jika 105 bed biaya gaji </t>
  </si>
  <si>
    <t>perbed nya</t>
  </si>
  <si>
    <t>jika penambahan bed 40</t>
  </si>
  <si>
    <t>masih 20% beroperasional</t>
  </si>
  <si>
    <t>jadi asusmsi jumlah gaji</t>
  </si>
  <si>
    <t xml:space="preserve">3 juta </t>
  </si>
  <si>
    <t>TAHUN 2020</t>
  </si>
  <si>
    <t>angsuran hutang</t>
  </si>
  <si>
    <t>37 M</t>
  </si>
  <si>
    <t>(Alkes untuk bangunan baru)</t>
  </si>
  <si>
    <t>dan pada bulan Nov itu juga di belanjakan untuk pembelian alkes mata,CSSU,Renovasi, Alkes Jantung</t>
  </si>
  <si>
    <t>Catatan :</t>
  </si>
  <si>
    <t xml:space="preserve"> di bulan Nov 2016 telah terima dari investor 8 M</t>
  </si>
  <si>
    <t>-</t>
  </si>
  <si>
    <t>Bulan Januari 2017 pembangunan gedung baru dimulai</t>
  </si>
  <si>
    <t>Pengeluaran Lain-lain</t>
  </si>
  <si>
    <t>Angsuran Hutang Pihak ke 3 ( dari hutang 8 M) pada tahun 2018 sejumlah 3.000.000.000</t>
  </si>
  <si>
    <t>di tahun 2018 pembangunan gedung sudah mencapai tahap finishing</t>
  </si>
  <si>
    <t xml:space="preserve">di bulan Januari 2018 ada kenaikan tarif sebesar 10 persen </t>
  </si>
  <si>
    <t>Bed 3.500.000.000</t>
  </si>
  <si>
    <t>Instalasi gas Medis 3.500.000.000</t>
  </si>
  <si>
    <t>*</t>
  </si>
  <si>
    <t>Mebelairdll 3.000.000.000</t>
  </si>
  <si>
    <t xml:space="preserve">Catatan : </t>
  </si>
  <si>
    <t>Pada bulan Januari 2019 ada kenaikan tarif sebesar 10%</t>
  </si>
  <si>
    <t>Bulan Januari 2019 , dari 40 Bed 20 persen yang sudah operasional</t>
  </si>
  <si>
    <t>2 tahun gak bayar</t>
  </si>
  <si>
    <t>tahun ke 3 7 m</t>
  </si>
  <si>
    <t>murni</t>
  </si>
  <si>
    <t xml:space="preserve">beli </t>
  </si>
  <si>
    <t>ipal 2018 5 m dengn dana sendiri</t>
  </si>
  <si>
    <t>ipal mungkin didalam</t>
  </si>
  <si>
    <t>peralatan di biayai sendiri</t>
  </si>
  <si>
    <t>plafon invistor &gt; 25 m</t>
  </si>
  <si>
    <t>max 3 / 4 tahun</t>
  </si>
  <si>
    <t>ditambh 12, 5%</t>
  </si>
  <si>
    <t>8 m jangn di ilangin sampe 2019 dan 2020 250.000.000</t>
  </si>
  <si>
    <t>total pinjaman</t>
  </si>
  <si>
    <t>TANAH</t>
  </si>
  <si>
    <t>ANGSURAN PINJAMAN 8 M</t>
  </si>
  <si>
    <t>total alkes 16 m</t>
  </si>
  <si>
    <t>Pinbuk ke Yayasan ( untuk pembayaran rumah belakang)</t>
  </si>
  <si>
    <t>.</t>
  </si>
  <si>
    <t>Pinbuk ke Yayasan ( untuk angsuran pinjaman pihak ke 3 yang 8 M)</t>
  </si>
  <si>
    <t>farmasi</t>
  </si>
  <si>
    <t>jasa dokter</t>
  </si>
  <si>
    <t>biy ke dokter</t>
  </si>
  <si>
    <t>Bulan Agustus 2017 mulai mengangsur pengembalian pinjaman 8 M</t>
  </si>
  <si>
    <t>6*250</t>
  </si>
  <si>
    <t>ipal sendiri</t>
  </si>
  <si>
    <t xml:space="preserve">juni </t>
  </si>
  <si>
    <t>Pembangunan IPAL</t>
  </si>
  <si>
    <t>Angsuran Rumah Belakang</t>
  </si>
  <si>
    <t>Angsuran Rumah belakang mulai bulan Agustus 2016 s/d Januari 2017 ( 250.000.000 * 6 )</t>
  </si>
  <si>
    <t>Bulan Nov dan des 2016 ada pendapatan dari pasien jantung 10 pasien dengan tarif 4.000.000 = 40.000.000</t>
  </si>
  <si>
    <t>Angsuran rumah belakang di bulan Januari 2017 : 250.000.000</t>
  </si>
  <si>
    <t>di bulan Jan 17 pasien alat jantung ada 10 orang dengan tarif 4 juta : 40.000.000</t>
  </si>
  <si>
    <t>di bulan Feb s/d Mei 2017 ada 20 pasien alat jantung dengan tarif 5 juta : 100.000.000</t>
  </si>
  <si>
    <t>di bulan Jun s/d Sept  2017 ada 30 pasien alat jantung dengan tarif 6,5 juta : 195.000.000</t>
  </si>
  <si>
    <t>di bulan Okt s/d Des 2017 ada 40 pasien dengan tarif 7,5 juta : 300.000.000</t>
  </si>
  <si>
    <t>Pada tahun 2017 RS memperoleh pinjaman dari investor 14.000.000.000</t>
  </si>
  <si>
    <t>Mulai bulan September 2017 Angsuran Pembelian Alkes  sejumlah 2.750.000.000 dari total pembelian 16.000.000.000 dengan rincian sbb :</t>
  </si>
  <si>
    <t>Januari s/d Maret 2018 pasien Jantung sebanyak 40 pasien dengan tarif 7.500.000 : 300.000.000</t>
  </si>
  <si>
    <t>April s/d Juli 2018 pasien Jantung sebanyak 40 pasien dengan tarif 10.000.000 : 400.000.000</t>
  </si>
  <si>
    <t>Agustus s/d Des 2018 pasien Jantung sebanyak 50 pasien dengan tarif 10.000.000 : 500.000.000</t>
  </si>
  <si>
    <t>RS menerimana dana dari investordi bulan Juni 2018 sejumlah 5.000.000.000</t>
  </si>
  <si>
    <t>Angsuran Pembelian Alkes tahun 2018 sejumlah 3.600.000.000 dari total pembelian 16.000.000.000 dengan rincian sbb :</t>
  </si>
  <si>
    <t>Pendapatan dari pemakaian alat jantung pada tahun 2019 ( Januari s/d Des ) ada sejumlah 50 pasien dengan tarif 10.000.000 : 500.000.000</t>
  </si>
  <si>
    <t>Bulan Januari 2019 ada tambahan pendapatan dari  : ( poli 3x dari pendapatan sebelum nya, Lab 3x dari pendapatan sebelumnya)</t>
  </si>
  <si>
    <t>Angsuran Hutang Pihak ke 3 (dari pinjamanuntuk IPAL) mulai bulan Mei 2019</t>
  </si>
  <si>
    <t>Angsuran pihak ke ( 8M) lunas pada bulan Sept taun 2019</t>
  </si>
  <si>
    <t>Mulai bulan Januari 2019 ada angsuran pengembalian pinjaman pihak ke ( pinjaman untuk bangunan )</t>
  </si>
  <si>
    <t>Angsuran Hutang Pihak ke 3 (dari pinjamanuntuk IPAL) pada bulan Des 2020 lunas</t>
  </si>
  <si>
    <t xml:space="preserve">RUMAH SAKIT "SITI KHODIJAH" - PEKALONGAN </t>
  </si>
  <si>
    <t>I</t>
  </si>
  <si>
    <t xml:space="preserve">2. Alat CSSU </t>
  </si>
  <si>
    <t>1. Alat Mata</t>
  </si>
  <si>
    <t xml:space="preserve">3. Renovasi Bangunan </t>
  </si>
  <si>
    <t>4. Alat Jantung</t>
  </si>
  <si>
    <t>II</t>
  </si>
  <si>
    <t>III</t>
  </si>
  <si>
    <t>=========</t>
  </si>
  <si>
    <t>500taun</t>
  </si>
  <si>
    <t>IV</t>
  </si>
  <si>
    <t>V</t>
  </si>
  <si>
    <t>Gedung Baru A, B dan E</t>
  </si>
  <si>
    <t>Angsuran Hutang Pihak ke 3 (utk Pembangunan A, B dan E)</t>
  </si>
  <si>
    <t>Angsuran Hutang Pihak ke 3 ( untuk Pembangunan IPAL)</t>
  </si>
  <si>
    <t>Rencana Pembangunan Gedung D dan F</t>
  </si>
  <si>
    <t>Rencana Peningkatan Mutu Pendidikan dan Pembangunan Sekolah di Lingkungan Al-Irsyad Pekalongan</t>
  </si>
  <si>
    <t>Penjualan Aset (Alkes Rontgen)</t>
  </si>
  <si>
    <t>Renovasi Rumah Belakang</t>
  </si>
  <si>
    <t>JUMLAH</t>
  </si>
  <si>
    <t>Pendapatan periode Jan'17 - Mei'17 diproyeksikan terdapat kenaikan pendapatan sebesar 5%.</t>
  </si>
  <si>
    <t>Pendapatan periode Jun'17 - Des'17 diproyeksikan terdapat kenaikan pendapatan sebesar 5%.</t>
  </si>
  <si>
    <t>Pendapatan periode Jan'18 - Des'18 diproyeksikan terdapat kenaikan pendapatan sebesar 10%.</t>
  </si>
  <si>
    <t>Direncanakan, Penerimaan Pinjaman untuk Pembangunan di tahun 2017 adalah Rp. 14.000.000.000,-</t>
  </si>
  <si>
    <t>Pendapatan periode Jan'19 - Des'19 diproyeksikan terdapat kenaikan pendapatan sebesar 10%.</t>
  </si>
  <si>
    <t>Direncanakan mulai Mei 2019 akan dibayar Angsuran atas pinjaman untuk Pembangunan IPAL.</t>
  </si>
  <si>
    <t>Direncanakan mulai Maret 2019 akan dibayar Angsuran atas pinjaman untuk Pembangunan Bangunan Baru.</t>
  </si>
  <si>
    <t>Pendapatan periode Jan'20 - Des'20 diproyeksikan terdapat kenaikan pendapatan sebesar 10%.</t>
  </si>
  <si>
    <t>dengan pembiayaan sendiri.</t>
  </si>
  <si>
    <t>Insya Allah, direncanakan mulai Januari 2020, akan mulai melakukan pembangunan Gedung Blok D dan F,</t>
  </si>
  <si>
    <t>PERIODE TAHUN 2016 - 2020</t>
  </si>
  <si>
    <t xml:space="preserve">JUMLAH PENGELUARAN </t>
  </si>
  <si>
    <t>SALDO AKHIR ( C-D )</t>
  </si>
  <si>
    <t>JUMLAH PENGELUARAN</t>
  </si>
  <si>
    <t>SALDO AKHIR (C-D)</t>
  </si>
  <si>
    <t xml:space="preserve">RUMAH SAKIT "SITI KHODJIJAH" - PEKALONGAN </t>
  </si>
  <si>
    <t>PERHITUNGAN  LABA-RUGI</t>
  </si>
  <si>
    <t>PER  31 DESEMBER 2015 , 2014, 2013, 2012, DAN 2011</t>
  </si>
  <si>
    <t>PER 31 DES 2015</t>
  </si>
  <si>
    <t>PER 31 DES 2014</t>
  </si>
  <si>
    <t>PER 31 DES 2013</t>
  </si>
  <si>
    <t>PER 31 DES 2012</t>
  </si>
  <si>
    <t>PER 31 DES 2011</t>
  </si>
  <si>
    <t>Rp</t>
  </si>
  <si>
    <t>I.</t>
  </si>
  <si>
    <t xml:space="preserve">1.1. </t>
  </si>
  <si>
    <t>Pendapatan Pasien</t>
  </si>
  <si>
    <t>1.2.</t>
  </si>
  <si>
    <t xml:space="preserve">Obat dan Sarana Medis Lain </t>
  </si>
  <si>
    <t xml:space="preserve">1.3. </t>
  </si>
  <si>
    <t xml:space="preserve">Bahan dan Alat Kesehatan </t>
  </si>
  <si>
    <t>1.4.</t>
  </si>
  <si>
    <t xml:space="preserve">Jasa Medis </t>
  </si>
  <si>
    <t xml:space="preserve">1.5. </t>
  </si>
  <si>
    <t xml:space="preserve">Oksigen </t>
  </si>
  <si>
    <t>1.6.</t>
  </si>
  <si>
    <t>Sewa Ambulance</t>
  </si>
  <si>
    <t xml:space="preserve">1.7. </t>
  </si>
  <si>
    <t>Administrasi/Karcis</t>
  </si>
  <si>
    <t>1.8.</t>
  </si>
  <si>
    <t xml:space="preserve">Lain-lain </t>
  </si>
  <si>
    <t>Return Penjualan Obat</t>
  </si>
  <si>
    <t xml:space="preserve">Potongan Yang Diberikan </t>
  </si>
  <si>
    <t>II.</t>
  </si>
  <si>
    <t xml:space="preserve">HARGA POKOK </t>
  </si>
  <si>
    <t xml:space="preserve">Harga Pokok Penjualan </t>
  </si>
  <si>
    <t>Laba  Kotor</t>
  </si>
  <si>
    <t>III.</t>
  </si>
  <si>
    <t>BEBAN  OPERASIONAL</t>
  </si>
  <si>
    <t>3.1.</t>
  </si>
  <si>
    <t>Beban Direksi &amp; Tenaga Kerja</t>
  </si>
  <si>
    <t>3.2.</t>
  </si>
  <si>
    <t xml:space="preserve">Beban Administrasi dan Umum </t>
  </si>
  <si>
    <t>3.3.</t>
  </si>
  <si>
    <t>Beban Penyusutan</t>
  </si>
  <si>
    <t>Jumlah Beban Opersional</t>
  </si>
  <si>
    <t xml:space="preserve">Laba/Rugi Bersih  Operasional </t>
  </si>
  <si>
    <t>Laba Penjualan Aset Kendaraan</t>
  </si>
  <si>
    <t>Pendapatan Sumbangan ( Berupa Mobil Ambulance)</t>
  </si>
  <si>
    <t xml:space="preserve">IV. </t>
  </si>
  <si>
    <t xml:space="preserve">PENDAPATAN DAN (BEBAN) NON </t>
  </si>
  <si>
    <t xml:space="preserve">OPERASIONAL </t>
  </si>
  <si>
    <t xml:space="preserve">4.1. </t>
  </si>
  <si>
    <t xml:space="preserve">Pendapatan </t>
  </si>
  <si>
    <t>4.2.</t>
  </si>
  <si>
    <t xml:space="preserve">Beban </t>
  </si>
  <si>
    <t>Laba / Rugi Bersih  Sebelum Pajak</t>
  </si>
  <si>
    <t>Saldo Laba Tahun Lalu</t>
  </si>
  <si>
    <t>Koreksi Piutang 2012</t>
  </si>
  <si>
    <t>Subsidi ke Yayasan ( Pinbuk)</t>
  </si>
  <si>
    <t>Saldo Laba</t>
  </si>
  <si>
    <t>Pekalongan, 8 Januari  2016</t>
  </si>
  <si>
    <t>drg. Said Hassan, M.Kes</t>
  </si>
  <si>
    <t>TAHUN 2016 s/d 2020</t>
  </si>
  <si>
    <r>
      <t xml:space="preserve">Rp 400.000.000 ( </t>
    </r>
    <r>
      <rPr>
        <i/>
        <sz val="14"/>
        <color theme="1"/>
        <rFont val="Times New Roman"/>
        <family val="1"/>
      </rPr>
      <t>Empat ratus juta Rupiah</t>
    </r>
    <r>
      <rPr>
        <sz val="14"/>
        <color theme="1"/>
        <rFont val="Times New Roman"/>
        <family val="1"/>
      </rPr>
      <t>)</t>
    </r>
  </si>
  <si>
    <r>
      <t xml:space="preserve">Rp 500.000.000 ( </t>
    </r>
    <r>
      <rPr>
        <i/>
        <sz val="14"/>
        <color theme="1"/>
        <rFont val="Times New Roman"/>
        <family val="1"/>
      </rPr>
      <t>Lima ratus juta Rupiah</t>
    </r>
    <r>
      <rPr>
        <sz val="14"/>
        <color theme="1"/>
        <rFont val="Times New Roman"/>
        <family val="1"/>
      </rPr>
      <t>)</t>
    </r>
  </si>
  <si>
    <r>
      <t xml:space="preserve">Rp 1.600.000.000 ( </t>
    </r>
    <r>
      <rPr>
        <i/>
        <sz val="14"/>
        <color theme="1"/>
        <rFont val="Times New Roman"/>
        <family val="1"/>
      </rPr>
      <t>Satu milyar enam ratus juta Rupiah</t>
    </r>
    <r>
      <rPr>
        <sz val="14"/>
        <color theme="1"/>
        <rFont val="Times New Roman"/>
        <family val="1"/>
      </rPr>
      <t>)</t>
    </r>
  </si>
  <si>
    <r>
      <t>Rp 5.500.000.000 (</t>
    </r>
    <r>
      <rPr>
        <i/>
        <sz val="14"/>
        <color theme="1"/>
        <rFont val="Times New Roman"/>
        <family val="1"/>
      </rPr>
      <t xml:space="preserve"> Lima milyar lima ratus juta Rupiah</t>
    </r>
    <r>
      <rPr>
        <sz val="14"/>
        <color theme="1"/>
        <rFont val="Times New Roman"/>
        <family val="1"/>
      </rPr>
      <t>)</t>
    </r>
  </si>
  <si>
    <r>
      <t xml:space="preserve">( </t>
    </r>
    <r>
      <rPr>
        <i/>
        <sz val="14"/>
        <color theme="1"/>
        <rFont val="Times New Roman"/>
        <family val="1"/>
      </rPr>
      <t>Empat belas Milyar Rupiah</t>
    </r>
    <r>
      <rPr>
        <sz val="14"/>
        <color theme="1"/>
        <rFont val="Times New Roman"/>
        <family val="1"/>
      </rPr>
      <t xml:space="preserve"> ).</t>
    </r>
  </si>
  <si>
    <r>
      <t xml:space="preserve">Pendapatan tambahan dari pasien jantung periode Jan'18 - Mar'18 adalah sejumlah Rp. 225.000.000,- ( </t>
    </r>
    <r>
      <rPr>
        <i/>
        <sz val="14"/>
        <color theme="1"/>
        <rFont val="Times New Roman"/>
        <family val="1"/>
      </rPr>
      <t>Dua ratus dua puluh lima juta Rupiah</t>
    </r>
    <r>
      <rPr>
        <sz val="14"/>
        <color theme="1"/>
        <rFont val="Times New Roman"/>
        <family val="1"/>
      </rPr>
      <t xml:space="preserve"> ), dengan asumsi jumlah pasien 30 orang dan pendapatan bersih @ Rp 7.500.000 (</t>
    </r>
    <r>
      <rPr>
        <i/>
        <sz val="14"/>
        <color theme="1"/>
        <rFont val="Times New Roman"/>
        <family val="1"/>
      </rPr>
      <t>Tujuh juta lima ratus ribu Rupiah</t>
    </r>
    <r>
      <rPr>
        <sz val="14"/>
        <color theme="1"/>
        <rFont val="Times New Roman"/>
        <family val="1"/>
      </rPr>
      <t>).</t>
    </r>
  </si>
  <si>
    <r>
      <t xml:space="preserve">Pendapatan tambahan dari pasien jantung periode Apr'18 - Juli'18 adalah sejumlah Rp. 300.000.000,- ( </t>
    </r>
    <r>
      <rPr>
        <i/>
        <sz val="14"/>
        <color theme="1"/>
        <rFont val="Times New Roman"/>
        <family val="1"/>
      </rPr>
      <t>Tiga ratus juta Rupiah</t>
    </r>
    <r>
      <rPr>
        <sz val="14"/>
        <color theme="1"/>
        <rFont val="Times New Roman"/>
        <family val="1"/>
      </rPr>
      <t xml:space="preserve"> ), dengan asumsi jumlah pasien 40 orang dan pendapatan bersih @ Rp 7.500.000 (</t>
    </r>
    <r>
      <rPr>
        <i/>
        <sz val="14"/>
        <color theme="1"/>
        <rFont val="Times New Roman"/>
        <family val="1"/>
      </rPr>
      <t>Tujuh juta lima ratus ribu Rupiah</t>
    </r>
    <r>
      <rPr>
        <sz val="14"/>
        <color theme="1"/>
        <rFont val="Times New Roman"/>
        <family val="1"/>
      </rPr>
      <t>).</t>
    </r>
  </si>
  <si>
    <r>
      <t xml:space="preserve">Pendapatan tambahan dari pasien jantung periode Agst'18 - Des'18 adalah sejumlah Rp. 375.000.000,- ( </t>
    </r>
    <r>
      <rPr>
        <i/>
        <sz val="14"/>
        <color theme="1"/>
        <rFont val="Times New Roman"/>
        <family val="1"/>
      </rPr>
      <t>Tiga ratus tujuh puluh lima juta Rupiah</t>
    </r>
    <r>
      <rPr>
        <sz val="14"/>
        <color theme="1"/>
        <rFont val="Times New Roman"/>
        <family val="1"/>
      </rPr>
      <t xml:space="preserve"> ), dengan asumsi jumlah pasien 50 orang dan pendapatan bersih @ Rp 7.500.000 (</t>
    </r>
    <r>
      <rPr>
        <i/>
        <sz val="14"/>
        <color theme="1"/>
        <rFont val="Times New Roman"/>
        <family val="1"/>
      </rPr>
      <t>Tujuh juta lima ratus ribu Rupiah</t>
    </r>
    <r>
      <rPr>
        <sz val="14"/>
        <color theme="1"/>
        <rFont val="Times New Roman"/>
        <family val="1"/>
      </rPr>
      <t>).</t>
    </r>
  </si>
  <si>
    <r>
      <t xml:space="preserve">Pendapatan tambahan dari pasien jantung mulai Januari 2019 dan seterusnya adalah Rp. 375.000.000,- ( </t>
    </r>
    <r>
      <rPr>
        <i/>
        <sz val="14"/>
        <color theme="1"/>
        <rFont val="Times New Roman"/>
        <family val="1"/>
      </rPr>
      <t>Tiga ratus tujuh puluh lima juta Rupiah</t>
    </r>
    <r>
      <rPr>
        <sz val="14"/>
        <color theme="1"/>
        <rFont val="Times New Roman"/>
        <family val="1"/>
      </rPr>
      <t xml:space="preserve"> ), dengan asumsi jumlah pasien 50 orang dan pendapatan bersih @ Rp 7.500.000 (</t>
    </r>
    <r>
      <rPr>
        <i/>
        <sz val="14"/>
        <color theme="1"/>
        <rFont val="Times New Roman"/>
        <family val="1"/>
      </rPr>
      <t>Tujuh juta lima ratus ribu Rupiah</t>
    </r>
    <r>
      <rPr>
        <sz val="14"/>
        <color theme="1"/>
        <rFont val="Times New Roman"/>
        <family val="1"/>
      </rPr>
      <t>).</t>
    </r>
  </si>
  <si>
    <t>Insya Allah, direncanakan pada bulan November 2016 Rumah Sakit menerima pinjaman sejumlah</t>
  </si>
  <si>
    <t xml:space="preserve">Pendapatan tambahan dari pasien jantung periode Nov'16 - Jan'17 adalah sejumlah Rp. 40.000.000 </t>
  </si>
  <si>
    <r>
      <t xml:space="preserve"> Rp. 8.000.000.000,- </t>
    </r>
    <r>
      <rPr>
        <i/>
        <sz val="14"/>
        <color theme="1"/>
        <rFont val="Times New Roman"/>
        <family val="1"/>
      </rPr>
      <t>( Delapan Milyar Rupiah ),</t>
    </r>
    <r>
      <rPr>
        <sz val="14"/>
        <color theme="1"/>
        <rFont val="Times New Roman"/>
        <family val="1"/>
      </rPr>
      <t>yang rencananya akan dipergunakan untuk pembelian:</t>
    </r>
  </si>
  <si>
    <t xml:space="preserve">Pembayaran angsuran atas pembelian rumah belakang Rumah Sakit mulai bulan Agustus 2016 s/d </t>
  </si>
  <si>
    <r>
      <t xml:space="preserve">bulan Januari 2017, dengan jumlah  angsuran per bulan sebesar Rp 250.000.000 ( </t>
    </r>
    <r>
      <rPr>
        <i/>
        <sz val="14"/>
        <color theme="1"/>
        <rFont val="Times New Roman"/>
        <family val="1"/>
      </rPr>
      <t xml:space="preserve">Dua ratus lima puluh </t>
    </r>
  </si>
  <si>
    <t>juta Rupiah)</t>
  </si>
  <si>
    <t xml:space="preserve">( Empat puluh juta Rupiah ), dengan asumsi jumlah pasien 10 orang dan pendapatan bersih @ </t>
  </si>
  <si>
    <t>Rp 4.000.000 (Empat juta Rupiah).</t>
  </si>
  <si>
    <r>
      <t xml:space="preserve">Tingkat </t>
    </r>
    <r>
      <rPr>
        <i/>
        <sz val="14"/>
        <color theme="1"/>
        <rFont val="Times New Roman"/>
        <family val="1"/>
      </rPr>
      <t xml:space="preserve">BOR 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 xml:space="preserve"> Bed Occupancy Ratio</t>
    </r>
    <r>
      <rPr>
        <sz val="14"/>
        <color theme="1"/>
        <rFont val="Times New Roman"/>
        <family val="1"/>
      </rPr>
      <t xml:space="preserve"> = Angka penggunaan tempat tidur ) mulai 2017 dan seterusnya</t>
    </r>
  </si>
  <si>
    <t xml:space="preserve"> adalah 84%, kecuali pada bulan Juni dan Juli setiap tahunnya, disebabkan karena asumsi bulan Juni dan </t>
  </si>
  <si>
    <t>Juli periode puasa tahunan.</t>
  </si>
  <si>
    <t xml:space="preserve">Pendapatan tambahan dari pasien jantung periode Feb'17 - Mei'17 adalah sejumlah Rp. 50.000.000 </t>
  </si>
  <si>
    <t>( Lima puluh juta Rupiah ), dengan asumsi jumlah pasien 10 orang dan pendapatan bersih @</t>
  </si>
  <si>
    <t xml:space="preserve"> Rp 5.000.000 (Lima juta Rupiah).</t>
  </si>
  <si>
    <t>Pendapatan tambahan dari pasien jantung periode Jun'17 - Sept'17 adalah sejumlah Rp. 130.000.000,-</t>
  </si>
  <si>
    <t xml:space="preserve"> ( Seratus tiga puluh juta Rupiah ), dengan asumsi jumlah pasien 20 orang dan pendapatan bersih @ </t>
  </si>
  <si>
    <t xml:space="preserve"> Rp 6.500.000 (Enam juta lima ratus ribu Rupiah).</t>
  </si>
  <si>
    <t xml:space="preserve">Pendapatan tambahan dari pasien jantung periode Okt'17 - Des'17 adalah sejumlah Rp. 225.000.000,- </t>
  </si>
  <si>
    <t xml:space="preserve">( Dua ratus dua puluh lima juta Rupiah ), dengan asumsi jumlah pasien 30 orang dan pendapatan bersih @ </t>
  </si>
  <si>
    <t xml:space="preserve"> Rp 7.500.000 (Tujuh juta lima ratus ribu Rupiah).</t>
  </si>
  <si>
    <t xml:space="preserve">Insya Allah mulai Januari 2017 Pembangunan Gedung Blok A, B, E akan dimulai dengan asumsi </t>
  </si>
  <si>
    <t>penyelesaian 2 tahun.</t>
  </si>
  <si>
    <t xml:space="preserve">Direncanakan mulai Februari 2017 akan dibayar Angsuran atas pinjaman pengadaan Alkes dan Renovasi </t>
  </si>
  <si>
    <t>awal.</t>
  </si>
  <si>
    <t xml:space="preserve">Direncanakan pada tahun 2017 mulai diadakan alat kesehatan dan perlengkapannya yang memakan biaya </t>
  </si>
  <si>
    <r>
      <t xml:space="preserve">sekitar Rp. 16.000.000.000,- ( </t>
    </r>
    <r>
      <rPr>
        <i/>
        <sz val="14"/>
        <color theme="1"/>
        <rFont val="Times New Roman"/>
        <family val="1"/>
      </rPr>
      <t>Enam belas Milyar Rupiah</t>
    </r>
    <r>
      <rPr>
        <sz val="14"/>
        <color theme="1"/>
        <rFont val="Times New Roman"/>
        <family val="1"/>
      </rPr>
      <t xml:space="preserve">). Pembiayaannya murni dari Pendapatan </t>
    </r>
  </si>
  <si>
    <t>berjalan Rumah Sakit  dan akan dilakukan mulai bulan Sept'17.</t>
  </si>
  <si>
    <t xml:space="preserve">Direncanakan, Penerimaan Pinjaman untuk Pembangunan di tahun 2018 adalah Rp. 6.000.000.000,- </t>
  </si>
  <si>
    <r>
      <t xml:space="preserve">(Enam Milyar Rupiah), dan pinjaman untuk Pembangunan IPAL sebesar Rp. 5.000.000.000,- ( </t>
    </r>
    <r>
      <rPr>
        <i/>
        <sz val="14"/>
        <color theme="1"/>
        <rFont val="Times New Roman"/>
        <family val="1"/>
      </rPr>
      <t xml:space="preserve">Lima </t>
    </r>
  </si>
  <si>
    <t>Milyar Rupiah ).</t>
  </si>
  <si>
    <t>Direncanakan mulai Januari 2020, Rumah Sakit berpartisipasi atas peningkatan mutu Pendidikan di</t>
  </si>
  <si>
    <t xml:space="preserve"> lingkungan Al-Irsyad.</t>
  </si>
  <si>
    <t>RENCANA KERJA DAN ANGGARAN</t>
  </si>
  <si>
    <t>RENCANA KERJA DAN ANGGARAN TAHUN 2016</t>
  </si>
  <si>
    <t>RENCANA KERJA DAN ANGGARAN TAHUN 2017</t>
  </si>
  <si>
    <t>RENCANA KERJA DAN ANGGARAN TAHUN 2018</t>
  </si>
  <si>
    <t>RENCANA KERJA DAN ANGGARAN TAHUN 2019</t>
  </si>
  <si>
    <t>RENCANA KERJA DAN ANGGARAN TAHUN 2020</t>
  </si>
  <si>
    <t>Pelihara Bangunan-material ( MFK)</t>
  </si>
  <si>
    <t>Pelihara Bangunan-Jasa (MFK)</t>
  </si>
  <si>
    <t>Pelihara Alat Medis-Alat (MFK)</t>
  </si>
  <si>
    <t>Pelihara Alat Medis-Jasa (MFK)</t>
  </si>
  <si>
    <t>Pelihara Alat Non Medis-Alat (MFK)</t>
  </si>
  <si>
    <t>Pelihara Alat Non Medis-Jasa (MFK)</t>
  </si>
  <si>
    <t>Pelihara Inventaris-Perlengkapan (MFK)</t>
  </si>
  <si>
    <t>Pelihara inventaris-Jasa (MFK)</t>
  </si>
  <si>
    <t>Kalibrasi alat (MFK)</t>
  </si>
  <si>
    <t>Samator (MFK)</t>
  </si>
  <si>
    <t>Renovasi (MFK)</t>
  </si>
  <si>
    <t>Pinbuk :</t>
  </si>
  <si>
    <t>Penerimaan dari  pendaftaran peserta BTCLS</t>
  </si>
  <si>
    <t>1. Angsuran Rumah Belakang</t>
  </si>
  <si>
    <t>2. Alkes ( Alat Mata)</t>
  </si>
  <si>
    <t>3. Alkes (Jantung)</t>
  </si>
  <si>
    <t>4. Angsuran Hutang Pihak ke 3</t>
  </si>
  <si>
    <t>5. Angsuran Mobil</t>
  </si>
  <si>
    <t>6. Angsuran Bank</t>
  </si>
  <si>
    <t>7. Pensiun Karyawan</t>
  </si>
  <si>
    <t>8. Angsuran Rontgen)</t>
  </si>
  <si>
    <t>9. Angsuran Alkes ( Pembelian bed)</t>
  </si>
  <si>
    <t>10. Pinbuk untuk opYayasan</t>
  </si>
  <si>
    <t>11.CSSU</t>
  </si>
  <si>
    <t>12. Renovasi</t>
  </si>
  <si>
    <t>Bahan /Obat obatan (MPO)</t>
  </si>
  <si>
    <t>Alat Kesehatan /bahan habis pakai (MPO)</t>
  </si>
  <si>
    <t>Promosi (PPK/PKRS)</t>
  </si>
  <si>
    <t>A. USULAN POJOK DOT</t>
  </si>
  <si>
    <t>B. USULAN POJOK ASI</t>
  </si>
  <si>
    <t>C. USULAN METODE KENGURU</t>
  </si>
  <si>
    <t>Lampu sorot (PONEK &amp; Shofa)</t>
  </si>
  <si>
    <t>Suction sleem sacher (PONEK &amp; OK)</t>
  </si>
  <si>
    <t>D. USULAN PONEK</t>
  </si>
  <si>
    <t>Jumlah Pembelian Alkes</t>
  </si>
  <si>
    <t>Splinker pemadam kebakaran</t>
  </si>
  <si>
    <t>NO</t>
  </si>
  <si>
    <t>BULAN</t>
  </si>
  <si>
    <t>9. Pinbuk untuk operasional Yayasan</t>
  </si>
  <si>
    <t>Pembelian Alkes ( MDG'S)</t>
  </si>
  <si>
    <t>RINCIAN BIAYA PEMBELIAN ALKES ( MDG'S)</t>
  </si>
  <si>
    <t>RS SITI KHODIJAH PEKALONGAN</t>
  </si>
  <si>
    <t>Biaya di luar perkiraan ( Renovasi ruangan &amp;n lainnya) (MFK)</t>
  </si>
  <si>
    <t>Angsuran Alkes Dental Unit (MFK)</t>
  </si>
  <si>
    <t xml:space="preserve"> Alkes Troley (MFK)</t>
  </si>
  <si>
    <t>2. Alkes /Alat Mata (MFK)</t>
  </si>
  <si>
    <t>3. Alkes /Jantung (MFK)</t>
  </si>
  <si>
    <t>8. Angsuran Alkes Rontgen (MFK)</t>
  </si>
  <si>
    <t>Alkes fisioterapi (MFK)</t>
  </si>
  <si>
    <t>10. CSSU (MFK)</t>
  </si>
  <si>
    <t>KARTU TUNGGU PASIEN</t>
  </si>
  <si>
    <t>KARTU PENGUNJUNG</t>
  </si>
  <si>
    <t>KARTU TAMU</t>
  </si>
  <si>
    <t>BANNER HAK &amp; KEWAJIBAN PASIEN</t>
  </si>
  <si>
    <t>@ SATUAN</t>
  </si>
  <si>
    <t>POKJA PPI</t>
  </si>
  <si>
    <t>NO.</t>
  </si>
  <si>
    <t>NAMA KEGIATAN</t>
  </si>
  <si>
    <t>JULI</t>
  </si>
  <si>
    <t>AGUSTUS</t>
  </si>
  <si>
    <t>Pekalongan, 25 Juni 2016</t>
  </si>
  <si>
    <t>Menyetujui</t>
  </si>
  <si>
    <t>Ketua Komite PPI</t>
  </si>
  <si>
    <t>Manager Umum &amp; Keuangan</t>
  </si>
  <si>
    <t>Ali Imron, SE</t>
  </si>
  <si>
    <t>dr. Irmitasari, Sp.OG</t>
  </si>
  <si>
    <t>PENGAJUAN DARI UNIT</t>
  </si>
  <si>
    <t>Acara BTCLS Karyawan di Hotel Namira</t>
  </si>
  <si>
    <t>Acara Halal Bi Halal Karyawan di Hotel Namira</t>
  </si>
  <si>
    <t>Anggaran kegiatan PKRS</t>
  </si>
  <si>
    <t>Anggaran Konsumsi Rapat (Rp 3,000*15orang)</t>
  </si>
  <si>
    <t>Leaflet ( Rp 3,000*3,000 Leaflet )</t>
  </si>
  <si>
    <t>ATK</t>
  </si>
  <si>
    <t>Doorprice Untuk Edukasi</t>
  </si>
  <si>
    <t>Kampanye Kesehatan</t>
  </si>
  <si>
    <t>kampanye Kesehatan ( Hari Diabet)</t>
  </si>
  <si>
    <t>Kampanye Kesehatan (Hari Cuci Tangan)</t>
  </si>
  <si>
    <t xml:space="preserve">juli </t>
  </si>
  <si>
    <t>Jumlah</t>
  </si>
  <si>
    <t>Total</t>
  </si>
  <si>
    <t>Rincian Biaya Promosi</t>
  </si>
  <si>
    <t>Bulan</t>
  </si>
  <si>
    <t>Hand soap ( Terdapat di RKA Biaya Pembelian Obat Obatan)</t>
  </si>
  <si>
    <t>Larutan antiseptik (Terdapat di RKA Biaya Pembelian Obat Obatan)</t>
  </si>
  <si>
    <t>Sarung tangan bersih ( Terdapat di RKA Biaya Pembelian Obat Obatan)</t>
  </si>
  <si>
    <t>Sarung tangan steril ( Terdapat di RKA Pembelian Obat Obatan)</t>
  </si>
  <si>
    <t>Sarung tangan rumah tangga ( Terdapat di RKA Pembelian Obat- Obatan)</t>
  </si>
  <si>
    <t>Masker sekali pakai ( Terdapat di RKA Pembelian Obat-Obatan)</t>
  </si>
  <si>
    <t>Apron ( Terdapat di RKA Pembelian Obat-Obatan)</t>
  </si>
  <si>
    <t>Alkohol 70% ( Terdapat di RKA Pembelian Obat-Obatan)</t>
  </si>
  <si>
    <t>Bethadine ( Terdapat di RKA Pembelian Obat-Obatan)</t>
  </si>
  <si>
    <t>Sikat halus untuk cuci tangan ( Terdapat di Biaya Laundry dan Kebersihan)</t>
  </si>
  <si>
    <t>Tisue hand towel ( Terdapat di Biaya Laundry dan Kebersihan)</t>
  </si>
  <si>
    <t>Wadah sampah "no touch"(Terdapat di RKA Laundry dan Kebersihan)</t>
  </si>
  <si>
    <t>Kantong sampah kuning (Terdapat di RKA Laundry dan Kebersihan)</t>
  </si>
  <si>
    <t>Wadah tahan tusuk /safety box (Terdapat di RKA Laundry dan Kebersihan)</t>
  </si>
  <si>
    <t>Gaun pelindung /bahan linen (Terdapat di RKA Pembelian Linen / Kain)</t>
  </si>
  <si>
    <t>Bahan /Obat obatan (MPO, PPI)</t>
  </si>
  <si>
    <t>Alat Kesehatan /bahan habis pakai (MPO, PPI)</t>
  </si>
  <si>
    <t>Laundry dan Kebersihan (PPI)</t>
  </si>
  <si>
    <t>Linen/Kain (PPI)</t>
  </si>
  <si>
    <t>Perlengkapan pegawai (PPI)</t>
  </si>
  <si>
    <t>FC HAK PASIEN</t>
  </si>
  <si>
    <t>BIAYA IHT GABUNGAN INFORM,NYRI,PELAYANAN  PASIEN TERMINAL</t>
  </si>
  <si>
    <t>JANUARI</t>
  </si>
  <si>
    <t>FEBRUARI</t>
  </si>
  <si>
    <t>MARET</t>
  </si>
  <si>
    <t>APRIL</t>
  </si>
  <si>
    <t>MEI</t>
  </si>
  <si>
    <t>JUNI</t>
  </si>
  <si>
    <t>SEPTEMBER</t>
  </si>
  <si>
    <t>NOVEMBER</t>
  </si>
  <si>
    <t>DESEMBER</t>
  </si>
  <si>
    <t>RENCANA KEGIATAN &amp; ANGGARAN POKJA HPK</t>
  </si>
  <si>
    <t>BIAYA IN HOUSE TRINING   INFORM CONCENT,NEYRI,PELAYANAN  PASIEN TERMINAL</t>
  </si>
  <si>
    <t xml:space="preserve">Kartu Tunggu Pasien (Terdapat di RKA Alat Tulis Cetakan dan Formulir) </t>
  </si>
  <si>
    <t xml:space="preserve">Kartu Pengunjung (Terdapat di RKA Alat Tulis Cetakan dan Formulir) </t>
  </si>
  <si>
    <t xml:space="preserve">Kartu Tamu(Terdapat di RKA Alat Tulis Cetakan dan Formulir) </t>
  </si>
  <si>
    <t xml:space="preserve">Banner Hak &amp; Kewajiban Pasien(Terdapat di RKA Alat Tulis Cetakan dan Formulir) </t>
  </si>
  <si>
    <t xml:space="preserve">Leaflet hak Pasien dan keluarga (Terdapat di RKA Alat Tulis Cetakan dan Formulir) </t>
  </si>
  <si>
    <t>OKTOBER</t>
  </si>
  <si>
    <t>Alat Tulis, Cetakan Dan Formulir (HPK)</t>
  </si>
  <si>
    <t>By Pendidikan(Seminar, pelatihan dll) (HPK)</t>
  </si>
  <si>
    <t>Biaya In House Trining Inform concent, Nyeri, dan Pelaynan Pasien Terminal (Terdapat di RKA Biaya Pendidikan)</t>
  </si>
  <si>
    <t>RENCANA KEGIATAN &amp; ANGGARAN POKJA MPO</t>
  </si>
  <si>
    <t xml:space="preserve">Bahan /Obat obatan </t>
  </si>
  <si>
    <t xml:space="preserve">Alat Kesehatan /bahan habis pakai </t>
  </si>
  <si>
    <t xml:space="preserve">Labu Darah </t>
  </si>
  <si>
    <t>RENCANA KEGIATAN &amp; ANGGARAN POKJA KPS</t>
  </si>
  <si>
    <t>RENCANA KEGIATAN &amp; ANGGARAN POKJA MFK</t>
  </si>
  <si>
    <t>YANG MENGUSULKAN</t>
  </si>
  <si>
    <t>Unit Kepegawaian</t>
  </si>
  <si>
    <t>Unit Kepegawaian, HPK, KPS</t>
  </si>
  <si>
    <t>IPSRS</t>
  </si>
  <si>
    <t>PPK</t>
  </si>
  <si>
    <t>Unit Transportasi</t>
  </si>
  <si>
    <t>Unit IT</t>
  </si>
  <si>
    <t>PPI, Unit sanitasi</t>
  </si>
  <si>
    <t>HPK</t>
  </si>
  <si>
    <t xml:space="preserve">IT, </t>
  </si>
  <si>
    <t>MFK, IPSRS</t>
  </si>
  <si>
    <t>Unit Ruang Perawatan</t>
  </si>
  <si>
    <t>Unit Laundry dan kebersihan</t>
  </si>
  <si>
    <t>MPO,PPI</t>
  </si>
  <si>
    <t>Unit Gizi</t>
  </si>
  <si>
    <t>Unit Penunjang</t>
  </si>
  <si>
    <t>Unit kepegawaian</t>
  </si>
  <si>
    <t>ARNI</t>
  </si>
  <si>
    <t>ZUHDI</t>
  </si>
  <si>
    <t>SYAUQI</t>
  </si>
  <si>
    <t>RENCANA KEGIATAN &amp; ANGGARAN POKJA PMKP</t>
  </si>
  <si>
    <t>pengadaan Seperangkat Komputer</t>
  </si>
  <si>
    <t>Pelaksanaan kegiatan standarisasi asuhan klinis</t>
  </si>
  <si>
    <t>Monitoring indikator mutu utama (IAK,IAM &amp; SKP)</t>
  </si>
  <si>
    <t>Pemantauan Mutu Unit Kerja</t>
  </si>
  <si>
    <t>Penilaian Kinerja Individu</t>
  </si>
  <si>
    <t>Pelaporan dan analisa data insiden keselamatan pasien</t>
  </si>
  <si>
    <t>Manajemen Resiko (RCA &amp; FMEA)</t>
  </si>
  <si>
    <t>Pendidikan &amp; Pelatihan</t>
  </si>
  <si>
    <t>Rapat PMKP dengan pimpinan</t>
  </si>
  <si>
    <t>Rapat Koordinasi</t>
  </si>
  <si>
    <t>Akreditasi (PMKP)</t>
  </si>
  <si>
    <t>Bahan (MPO, PPI)</t>
  </si>
  <si>
    <t>Alat Kesehatan (MPO, PPI)</t>
  </si>
  <si>
    <t>papan tulis</t>
  </si>
  <si>
    <t>sabtu</t>
  </si>
  <si>
    <t>jam duhur</t>
  </si>
  <si>
    <t>job dis keterkaitan</t>
  </si>
  <si>
    <t>By Pendidikan(Seminar, pelatihan dll) (HPK,KPS)</t>
  </si>
  <si>
    <t>By Pendidikan (Terdapat di RKA Tahun 2017 biaya pendidikan)</t>
  </si>
  <si>
    <t>Pelihara Bangunan-material (MFK)</t>
  </si>
  <si>
    <t>(Alkes untuk bangunan baru) (MFK)</t>
  </si>
  <si>
    <t>`</t>
  </si>
  <si>
    <t>Exhause van ( terdapat di RKA 2017 biaya Inventaris perlengkapan)</t>
  </si>
  <si>
    <t>Tempat dahak (berbentuk box terbuat dari fiber/akrilik) (terdapat di RKA 2017 biaya Inventaris Perlengkapan)</t>
  </si>
  <si>
    <t>Penggantian kran menjadi kran angsa untuk ruang pengecatan (Terdapat di RKA 2017 biaya pemeliharaan bangunan -material)</t>
  </si>
  <si>
    <t>Washtafel Kramik (Terdapat di RKA 2017 biaya pemeliharaan bangunan -material)</t>
  </si>
  <si>
    <t>Dispenser paper towel (terdapat di RKA biaya perlengkapan Rumah Sakit)</t>
  </si>
  <si>
    <t>Tempat sabun (terdapat di RKA biaya Pembelian farmasi)</t>
  </si>
  <si>
    <t>Softa-man (terdapat di RKA biaya Pembelian farmasi)</t>
  </si>
  <si>
    <t>Akrilik nama ruang ukuran menyesuaikan (terdapat di RKA biaya pemeliharaan bangunan perlengkapan)</t>
  </si>
  <si>
    <t>Lemari (terdapat di RKA 2017 biaya pembelian mebelair)</t>
  </si>
  <si>
    <t>Box obat (terdapat di RKA 2017 biaya pembelian mebelair)</t>
  </si>
  <si>
    <t>Kursi (terdapat di RKA 2017 biaya pembelian mebelair)</t>
  </si>
  <si>
    <t>Kulkas kecil (terdapat di RKA 2017 biaya pembelian mebelair)</t>
  </si>
  <si>
    <t>AC (terdapat di RKA 2017 biaya pembelian mebelair)</t>
  </si>
  <si>
    <t>Meja  (terdapat di RKA 2017 biaya pembelian mebelair)</t>
  </si>
  <si>
    <t>Washtafel (terdapat di RKA 2017 biaya pembelian mebelair)</t>
  </si>
  <si>
    <t>Softa-man (terdapat di RKA biaya farmasi)</t>
  </si>
  <si>
    <t>Paper towel (terdapat di RKA biaya farmasi)</t>
  </si>
  <si>
    <t>Pin petugas Perinatologi (terdapat di RKA biaya perlengkapan pegawai)</t>
  </si>
  <si>
    <t>Stempel IMD (terdapat di RKA 2017 biaya ATK)</t>
  </si>
  <si>
    <t>Meja(terdapat di RKA 2017 biaya pembelian mebelair)</t>
  </si>
  <si>
    <t>Tempat tidur (terdapat di RKA 2017 biaya pembelian mebelair)</t>
  </si>
  <si>
    <t>Akrilik ruang metode kanguru (terdapat di RKA 2017 biayaperlengkapan rumah sakit)</t>
  </si>
  <si>
    <t>Baju kimono (terdapat di RKA 2017 biayaperlengkapan rumah sakit)</t>
  </si>
  <si>
    <t>Incubator transport (terdapat di RKA 2017 biaya alkes untuk bangunan baru )</t>
  </si>
  <si>
    <t>Infarm warmer (terdapat di RKA 2017 biaya alkes untuk bangunan baru )</t>
  </si>
  <si>
    <t>Infarm warmer resusitasi (PONEK, Shofa, &amp; Perinatologi) (terdapat di RKA 2017 biaya alkes untuk bangunan baru )</t>
  </si>
  <si>
    <t>Bed (terdapat di RKA 2017 biaya alkes untuk bangunan baru )</t>
  </si>
  <si>
    <t>CPAP (terdapat di RKA 2017 biaya alkes untuk bangunan baru )</t>
  </si>
  <si>
    <t>Oxymetri (terdapat di RKA 2017 biaya alkes untuk bangunan baru )</t>
  </si>
  <si>
    <t>Vacum set (terdapat di RKA 2017 biaya perlengkapan rumah sakit )</t>
  </si>
  <si>
    <t>Pelihara Inventaris-Perlengkapan (MFK, MDG'S)</t>
  </si>
  <si>
    <t>Pelihara Bangunan-material (MFK, MDG'S)</t>
  </si>
  <si>
    <t>Bahan (MPO, PPI, MDG'S)</t>
  </si>
  <si>
    <t>Mebelair (MDG'S)</t>
  </si>
  <si>
    <t>Alat Tulis, Cetakan Dan Formulir (HPK, MDG'S)</t>
  </si>
  <si>
    <t>Perlengkapan pegawai (MDG'S)</t>
  </si>
  <si>
    <t>(Alkes untuk bangunan baru) (MFK, MDG'S)</t>
  </si>
  <si>
    <t>Telephone (terdapat di RKA 2017 biaya elektronik )</t>
  </si>
  <si>
    <t>Baju OP pasien (terdapat di RKA 2017 biaya perlengkapan pegawai )</t>
  </si>
  <si>
    <t>SpO2 (terdapat di RKA 2017 biaya pembelian farmasi )</t>
  </si>
  <si>
    <t>Perlak busa (terdapat di RKA 2017 biaya linen )</t>
  </si>
  <si>
    <t>Partus set (terdapat di RKA 2017 biaya pemeliharaan inventaris perlengkapan )</t>
  </si>
  <si>
    <t>Box bayi (terdapat di RKA 2017 biaya pemeliharaan inventaris perlengkapan )</t>
  </si>
  <si>
    <t>Topi bayi (terdapat di RKA 2017 biaya pemeliharaan inventaris perlengkapan )</t>
  </si>
  <si>
    <t>Baju Kanguru(terdapat di RKA 2017 biaya pemeliharaan inventaris perlengkapan )</t>
  </si>
  <si>
    <t>Teko/gelas ukur (terdapat di RKA 2017 biaya pemeliharaan inventaris perlengkapan )</t>
  </si>
  <si>
    <t>Cawan kecil (terdapat di RKA 2017 biaya pemeliharaan inventaris perlengkapan )</t>
  </si>
  <si>
    <t>Akrilik ruang Shofa dan pojok ASI(terdapat di RKA 2017 biaya pemeliharaan inventaris perlengkapan )</t>
  </si>
  <si>
    <t>RENCANA KEGIATAN &amp; ANGGARAN POKJA PPK</t>
  </si>
  <si>
    <t>** Rencana Kegiatan &amp; Anggaran PMKP terdapat pada biaya akreditasi di Rencana Kerja &amp; Anggaran Rumah Sakit Tahun 2017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</si>
</sst>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_-* #,##0_-;_-* #,##0\-;_-* &quot;-&quot;??_-;_-@_-"/>
    <numFmt numFmtId="167" formatCode="0.0%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3" fillId="0" borderId="0"/>
  </cellStyleXfs>
  <cellXfs count="708">
    <xf numFmtId="0" fontId="0" fillId="0" borderId="0" xfId="0"/>
    <xf numFmtId="165" fontId="0" fillId="0" borderId="6" xfId="2" applyNumberFormat="1" applyFont="1" applyFill="1" applyBorder="1"/>
    <xf numFmtId="43" fontId="0" fillId="0" borderId="23" xfId="1" applyFont="1" applyBorder="1"/>
    <xf numFmtId="0" fontId="5" fillId="0" borderId="23" xfId="0" applyFont="1" applyFill="1" applyBorder="1"/>
    <xf numFmtId="0" fontId="3" fillId="0" borderId="23" xfId="0" applyFont="1" applyFill="1" applyBorder="1"/>
    <xf numFmtId="0" fontId="6" fillId="0" borderId="0" xfId="0" applyFont="1" applyFill="1"/>
    <xf numFmtId="0" fontId="0" fillId="0" borderId="0" xfId="0" applyFont="1" applyFill="1"/>
    <xf numFmtId="0" fontId="0" fillId="0" borderId="0" xfId="0" applyFont="1"/>
    <xf numFmtId="43" fontId="0" fillId="0" borderId="0" xfId="0" applyNumberFormat="1" applyFont="1"/>
    <xf numFmtId="0" fontId="7" fillId="0" borderId="0" xfId="0" applyFont="1" applyFill="1"/>
    <xf numFmtId="0" fontId="0" fillId="0" borderId="17" xfId="0" applyFont="1" applyFill="1" applyBorder="1"/>
    <xf numFmtId="43" fontId="0" fillId="0" borderId="16" xfId="1" applyFont="1" applyFill="1" applyBorder="1" applyAlignment="1">
      <alignment horizontal="center"/>
    </xf>
    <xf numFmtId="43" fontId="0" fillId="0" borderId="17" xfId="0" applyNumberFormat="1" applyFont="1" applyBorder="1"/>
    <xf numFmtId="0" fontId="0" fillId="0" borderId="18" xfId="0" applyFont="1" applyFill="1" applyBorder="1"/>
    <xf numFmtId="43" fontId="0" fillId="0" borderId="2" xfId="1" applyFont="1" applyFill="1" applyBorder="1" applyAlignment="1">
      <alignment horizontal="center"/>
    </xf>
    <xf numFmtId="165" fontId="0" fillId="0" borderId="18" xfId="2" applyNumberFormat="1" applyFont="1" applyFill="1" applyBorder="1"/>
    <xf numFmtId="165" fontId="0" fillId="0" borderId="17" xfId="0" applyNumberFormat="1" applyFont="1" applyBorder="1"/>
    <xf numFmtId="0" fontId="0" fillId="0" borderId="17" xfId="0" applyFont="1" applyBorder="1"/>
    <xf numFmtId="0" fontId="0" fillId="0" borderId="19" xfId="0" applyFont="1" applyFill="1" applyBorder="1"/>
    <xf numFmtId="0" fontId="0" fillId="0" borderId="28" xfId="0" applyFont="1" applyFill="1" applyBorder="1"/>
    <xf numFmtId="0" fontId="2" fillId="0" borderId="9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7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2" fillId="0" borderId="11" xfId="0" applyFont="1" applyFill="1" applyBorder="1"/>
    <xf numFmtId="0" fontId="0" fillId="0" borderId="7" xfId="0" applyFont="1" applyBorder="1"/>
    <xf numFmtId="0" fontId="0" fillId="0" borderId="6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43" fontId="2" fillId="0" borderId="4" xfId="0" applyNumberFormat="1" applyFont="1" applyFill="1" applyBorder="1"/>
    <xf numFmtId="165" fontId="0" fillId="0" borderId="6" xfId="0" applyNumberFormat="1" applyFont="1" applyFill="1" applyBorder="1"/>
    <xf numFmtId="43" fontId="0" fillId="0" borderId="6" xfId="1" applyFont="1" applyBorder="1"/>
    <xf numFmtId="43" fontId="0" fillId="0" borderId="6" xfId="0" applyNumberFormat="1" applyFont="1" applyBorder="1"/>
    <xf numFmtId="0" fontId="0" fillId="2" borderId="6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43" fontId="2" fillId="2" borderId="4" xfId="0" applyNumberFormat="1" applyFont="1" applyFill="1" applyBorder="1"/>
    <xf numFmtId="43" fontId="0" fillId="2" borderId="6" xfId="1" applyFont="1" applyFill="1" applyBorder="1"/>
    <xf numFmtId="43" fontId="0" fillId="2" borderId="6" xfId="0" applyNumberFormat="1" applyFont="1" applyFill="1" applyBorder="1"/>
    <xf numFmtId="0" fontId="0" fillId="0" borderId="5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43" fontId="2" fillId="0" borderId="14" xfId="0" applyNumberFormat="1" applyFont="1" applyFill="1" applyBorder="1"/>
    <xf numFmtId="165" fontId="0" fillId="0" borderId="29" xfId="2" applyNumberFormat="1" applyFont="1" applyFill="1" applyBorder="1"/>
    <xf numFmtId="43" fontId="0" fillId="0" borderId="29" xfId="1" applyFont="1" applyBorder="1"/>
    <xf numFmtId="43" fontId="0" fillId="0" borderId="29" xfId="0" applyNumberFormat="1" applyFont="1" applyBorder="1"/>
    <xf numFmtId="0" fontId="0" fillId="0" borderId="29" xfId="0" applyFont="1" applyBorder="1"/>
    <xf numFmtId="0" fontId="0" fillId="0" borderId="15" xfId="0" applyFont="1" applyFill="1" applyBorder="1"/>
    <xf numFmtId="0" fontId="0" fillId="0" borderId="16" xfId="0" applyFont="1" applyFill="1" applyBorder="1"/>
    <xf numFmtId="43" fontId="2" fillId="0" borderId="17" xfId="0" applyNumberFormat="1" applyFont="1" applyFill="1" applyBorder="1"/>
    <xf numFmtId="165" fontId="0" fillId="0" borderId="17" xfId="2" applyNumberFormat="1" applyFont="1" applyFill="1" applyBorder="1"/>
    <xf numFmtId="43" fontId="2" fillId="0" borderId="11" xfId="0" applyNumberFormat="1" applyFont="1" applyFill="1" applyBorder="1"/>
    <xf numFmtId="165" fontId="0" fillId="0" borderId="7" xfId="2" applyNumberFormat="1" applyFont="1" applyFill="1" applyBorder="1"/>
    <xf numFmtId="43" fontId="0" fillId="0" borderId="28" xfId="1" applyFont="1" applyBorder="1"/>
    <xf numFmtId="166" fontId="0" fillId="0" borderId="0" xfId="0" applyNumberFormat="1" applyFont="1"/>
    <xf numFmtId="0" fontId="2" fillId="0" borderId="14" xfId="0" applyFont="1" applyFill="1" applyBorder="1"/>
    <xf numFmtId="43" fontId="0" fillId="0" borderId="5" xfId="0" applyNumberFormat="1" applyFont="1" applyBorder="1"/>
    <xf numFmtId="165" fontId="2" fillId="0" borderId="17" xfId="2" applyNumberFormat="1" applyFont="1" applyFill="1" applyBorder="1"/>
    <xf numFmtId="0" fontId="0" fillId="0" borderId="16" xfId="0" applyFont="1" applyFill="1" applyBorder="1" applyAlignment="1">
      <alignment horizontal="center"/>
    </xf>
    <xf numFmtId="165" fontId="2" fillId="0" borderId="16" xfId="2" applyNumberFormat="1" applyFont="1" applyFill="1" applyBorder="1"/>
    <xf numFmtId="165" fontId="0" fillId="0" borderId="17" xfId="2" applyNumberFormat="1" applyFont="1" applyBorder="1"/>
    <xf numFmtId="0" fontId="0" fillId="0" borderId="28" xfId="0" applyFont="1" applyBorder="1"/>
    <xf numFmtId="165" fontId="2" fillId="0" borderId="28" xfId="2" applyNumberFormat="1" applyFont="1" applyBorder="1"/>
    <xf numFmtId="165" fontId="0" fillId="0" borderId="28" xfId="2" applyNumberFormat="1" applyFont="1" applyBorder="1"/>
    <xf numFmtId="0" fontId="0" fillId="0" borderId="6" xfId="0" applyFont="1" applyBorder="1"/>
    <xf numFmtId="165" fontId="0" fillId="0" borderId="6" xfId="2" applyNumberFormat="1" applyFont="1" applyBorder="1"/>
    <xf numFmtId="0" fontId="0" fillId="0" borderId="6" xfId="0" applyBorder="1"/>
    <xf numFmtId="165" fontId="8" fillId="0" borderId="6" xfId="2" applyNumberFormat="1" applyFont="1" applyBorder="1"/>
    <xf numFmtId="0" fontId="0" fillId="0" borderId="0" xfId="0" applyFont="1" applyBorder="1"/>
    <xf numFmtId="165" fontId="8" fillId="0" borderId="0" xfId="2" applyNumberFormat="1" applyFont="1" applyBorder="1"/>
    <xf numFmtId="43" fontId="0" fillId="0" borderId="0" xfId="1" applyFont="1"/>
    <xf numFmtId="164" fontId="0" fillId="0" borderId="0" xfId="1" applyNumberFormat="1" applyFont="1"/>
    <xf numFmtId="164" fontId="0" fillId="0" borderId="23" xfId="1" applyNumberFormat="1" applyFont="1" applyBorder="1"/>
    <xf numFmtId="164" fontId="2" fillId="0" borderId="26" xfId="1" applyNumberFormat="1" applyFont="1" applyFill="1" applyBorder="1"/>
    <xf numFmtId="164" fontId="0" fillId="0" borderId="0" xfId="0" applyNumberFormat="1"/>
    <xf numFmtId="164" fontId="0" fillId="0" borderId="0" xfId="1" applyNumberFormat="1" applyFont="1" applyFill="1" applyBorder="1" applyAlignment="1">
      <alignment horizontal="center"/>
    </xf>
    <xf numFmtId="43" fontId="0" fillId="0" borderId="0" xfId="1" applyFont="1" applyFill="1" applyBorder="1" applyAlignment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2" fillId="0" borderId="0" xfId="1" applyNumberFormat="1" applyFont="1" applyFill="1" applyBorder="1"/>
    <xf numFmtId="164" fontId="2" fillId="0" borderId="34" xfId="1" applyNumberFormat="1" applyFont="1" applyFill="1" applyBorder="1"/>
    <xf numFmtId="164" fontId="0" fillId="0" borderId="36" xfId="1" applyNumberFormat="1" applyFont="1" applyBorder="1"/>
    <xf numFmtId="0" fontId="0" fillId="0" borderId="20" xfId="0" applyBorder="1"/>
    <xf numFmtId="0" fontId="0" fillId="0" borderId="21" xfId="0" applyBorder="1"/>
    <xf numFmtId="43" fontId="0" fillId="0" borderId="21" xfId="1" applyFont="1" applyBorder="1"/>
    <xf numFmtId="0" fontId="0" fillId="0" borderId="35" xfId="0" applyBorder="1"/>
    <xf numFmtId="0" fontId="0" fillId="0" borderId="22" xfId="0" applyBorder="1"/>
    <xf numFmtId="0" fontId="0" fillId="0" borderId="23" xfId="0" applyBorder="1"/>
    <xf numFmtId="0" fontId="0" fillId="0" borderId="36" xfId="0" applyBorder="1"/>
    <xf numFmtId="17" fontId="0" fillId="0" borderId="22" xfId="0" applyNumberFormat="1" applyBorder="1"/>
    <xf numFmtId="43" fontId="0" fillId="0" borderId="36" xfId="0" applyNumberFormat="1" applyBorder="1"/>
    <xf numFmtId="0" fontId="0" fillId="0" borderId="22" xfId="0" applyBorder="1" applyAlignment="1">
      <alignment horizontal="right"/>
    </xf>
    <xf numFmtId="16" fontId="0" fillId="0" borderId="22" xfId="0" quotePrefix="1" applyNumberFormat="1" applyBorder="1" applyAlignment="1">
      <alignment horizontal="right"/>
    </xf>
    <xf numFmtId="16" fontId="0" fillId="0" borderId="22" xfId="0" applyNumberFormat="1" applyBorder="1" applyAlignment="1">
      <alignment horizontal="right"/>
    </xf>
    <xf numFmtId="0" fontId="0" fillId="0" borderId="22" xfId="0" quotePrefix="1" applyBorder="1" applyAlignment="1">
      <alignment horizontal="right"/>
    </xf>
    <xf numFmtId="0" fontId="0" fillId="0" borderId="25" xfId="0" applyBorder="1"/>
    <xf numFmtId="0" fontId="0" fillId="0" borderId="26" xfId="0" applyBorder="1"/>
    <xf numFmtId="43" fontId="0" fillId="0" borderId="26" xfId="1" applyFont="1" applyBorder="1"/>
    <xf numFmtId="43" fontId="0" fillId="0" borderId="37" xfId="0" applyNumberFormat="1" applyBorder="1"/>
    <xf numFmtId="164" fontId="0" fillId="0" borderId="26" xfId="1" applyNumberFormat="1" applyFont="1" applyBorder="1"/>
    <xf numFmtId="164" fontId="0" fillId="0" borderId="37" xfId="1" applyNumberFormat="1" applyFont="1" applyBorder="1"/>
    <xf numFmtId="0" fontId="0" fillId="0" borderId="33" xfId="0" applyBorder="1"/>
    <xf numFmtId="0" fontId="0" fillId="0" borderId="32" xfId="0" applyBorder="1"/>
    <xf numFmtId="0" fontId="0" fillId="0" borderId="38" xfId="0" applyBorder="1"/>
    <xf numFmtId="0" fontId="0" fillId="0" borderId="42" xfId="0" applyBorder="1"/>
    <xf numFmtId="0" fontId="0" fillId="0" borderId="46" xfId="0" applyBorder="1"/>
    <xf numFmtId="0" fontId="0" fillId="0" borderId="47" xfId="0" applyBorder="1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27" xfId="0" applyBorder="1"/>
    <xf numFmtId="0" fontId="0" fillId="0" borderId="31" xfId="0" applyBorder="1"/>
    <xf numFmtId="0" fontId="0" fillId="0" borderId="24" xfId="0" applyBorder="1"/>
    <xf numFmtId="43" fontId="0" fillId="0" borderId="32" xfId="1" applyFont="1" applyBorder="1"/>
    <xf numFmtId="43" fontId="0" fillId="0" borderId="0" xfId="1" applyFont="1" applyBorder="1"/>
    <xf numFmtId="43" fontId="0" fillId="0" borderId="0" xfId="1" applyFont="1" applyFill="1" applyBorder="1"/>
    <xf numFmtId="43" fontId="2" fillId="0" borderId="0" xfId="1" applyFont="1" applyFill="1" applyBorder="1"/>
    <xf numFmtId="43" fontId="2" fillId="0" borderId="34" xfId="1" applyFont="1" applyFill="1" applyBorder="1"/>
    <xf numFmtId="9" fontId="0" fillId="0" borderId="0" xfId="4" applyFont="1" applyFill="1" applyBorder="1"/>
    <xf numFmtId="164" fontId="2" fillId="0" borderId="53" xfId="1" applyNumberFormat="1" applyFont="1" applyFill="1" applyBorder="1"/>
    <xf numFmtId="43" fontId="0" fillId="0" borderId="0" xfId="4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5" fillId="0" borderId="0" xfId="0" applyFont="1" applyFill="1" applyBorder="1" applyAlignment="1">
      <alignment horizontal="left"/>
    </xf>
    <xf numFmtId="43" fontId="0" fillId="0" borderId="0" xfId="1" applyFont="1" applyFill="1" applyBorder="1" applyAlignment="1">
      <alignment horizontal="center"/>
    </xf>
    <xf numFmtId="164" fontId="11" fillId="0" borderId="0" xfId="1" applyNumberFormat="1" applyFont="1" applyFill="1"/>
    <xf numFmtId="43" fontId="0" fillId="0" borderId="0" xfId="1" applyFont="1" applyFill="1"/>
    <xf numFmtId="0" fontId="3" fillId="0" borderId="23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12" fillId="0" borderId="0" xfId="0" applyFont="1" applyFill="1"/>
    <xf numFmtId="0" fontId="8" fillId="0" borderId="0" xfId="0" applyFont="1" applyFill="1"/>
    <xf numFmtId="164" fontId="8" fillId="0" borderId="0" xfId="1" applyNumberFormat="1" applyFont="1" applyFill="1"/>
    <xf numFmtId="9" fontId="8" fillId="0" borderId="0" xfId="4" applyFont="1" applyFill="1"/>
    <xf numFmtId="164" fontId="8" fillId="0" borderId="35" xfId="1" applyNumberFormat="1" applyFont="1" applyFill="1" applyBorder="1" applyAlignment="1">
      <alignment horizontal="center"/>
    </xf>
    <xf numFmtId="164" fontId="8" fillId="0" borderId="36" xfId="1" applyNumberFormat="1" applyFont="1" applyFill="1" applyBorder="1" applyAlignment="1">
      <alignment horizontal="center"/>
    </xf>
    <xf numFmtId="164" fontId="8" fillId="0" borderId="26" xfId="1" applyNumberFormat="1" applyFont="1" applyFill="1" applyBorder="1"/>
    <xf numFmtId="164" fontId="8" fillId="0" borderId="49" xfId="1" applyNumberFormat="1" applyFont="1" applyFill="1" applyBorder="1"/>
    <xf numFmtId="43" fontId="8" fillId="0" borderId="23" xfId="1" applyFont="1" applyFill="1" applyBorder="1"/>
    <xf numFmtId="164" fontId="8" fillId="0" borderId="23" xfId="1" applyNumberFormat="1" applyFont="1" applyFill="1" applyBorder="1"/>
    <xf numFmtId="164" fontId="8" fillId="0" borderId="33" xfId="1" applyNumberFormat="1" applyFont="1" applyFill="1" applyBorder="1"/>
    <xf numFmtId="164" fontId="8" fillId="0" borderId="36" xfId="1" applyNumberFormat="1" applyFont="1" applyFill="1" applyBorder="1"/>
    <xf numFmtId="0" fontId="8" fillId="0" borderId="22" xfId="0" applyFont="1" applyFill="1" applyBorder="1"/>
    <xf numFmtId="164" fontId="12" fillId="0" borderId="23" xfId="1" applyNumberFormat="1" applyFont="1" applyFill="1" applyBorder="1"/>
    <xf numFmtId="164" fontId="12" fillId="0" borderId="33" xfId="1" applyNumberFormat="1" applyFont="1" applyFill="1" applyBorder="1"/>
    <xf numFmtId="164" fontId="12" fillId="0" borderId="36" xfId="1" applyNumberFormat="1" applyFont="1" applyFill="1" applyBorder="1"/>
    <xf numFmtId="0" fontId="8" fillId="0" borderId="23" xfId="0" applyFont="1" applyFill="1" applyBorder="1"/>
    <xf numFmtId="164" fontId="12" fillId="0" borderId="26" xfId="1" applyNumberFormat="1" applyFont="1" applyFill="1" applyBorder="1"/>
    <xf numFmtId="164" fontId="12" fillId="0" borderId="37" xfId="1" applyNumberFormat="1" applyFont="1" applyFill="1" applyBorder="1"/>
    <xf numFmtId="164" fontId="12" fillId="0" borderId="0" xfId="1" applyNumberFormat="1" applyFont="1" applyFill="1" applyBorder="1"/>
    <xf numFmtId="0" fontId="3" fillId="0" borderId="23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43" fontId="8" fillId="0" borderId="23" xfId="4" applyNumberFormat="1" applyFont="1" applyFill="1" applyBorder="1"/>
    <xf numFmtId="43" fontId="8" fillId="0" borderId="36" xfId="4" applyNumberFormat="1" applyFont="1" applyFill="1" applyBorder="1"/>
    <xf numFmtId="43" fontId="8" fillId="0" borderId="33" xfId="4" applyNumberFormat="1" applyFont="1" applyFill="1" applyBorder="1"/>
    <xf numFmtId="164" fontId="11" fillId="0" borderId="0" xfId="1" applyNumberFormat="1" applyFont="1"/>
    <xf numFmtId="43" fontId="8" fillId="0" borderId="49" xfId="4" applyNumberFormat="1" applyFont="1" applyFill="1" applyBorder="1"/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/>
    <xf numFmtId="43" fontId="8" fillId="0" borderId="0" xfId="4" applyNumberFormat="1" applyFont="1" applyFill="1" applyBorder="1"/>
    <xf numFmtId="164" fontId="8" fillId="0" borderId="37" xfId="1" applyNumberFormat="1" applyFont="1" applyFill="1" applyBorder="1"/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43" fontId="8" fillId="0" borderId="0" xfId="1" applyFont="1" applyFill="1" applyBorder="1" applyAlignment="1">
      <alignment horizontal="center"/>
    </xf>
    <xf numFmtId="43" fontId="8" fillId="0" borderId="0" xfId="1" applyFont="1" applyFill="1"/>
    <xf numFmtId="0" fontId="3" fillId="0" borderId="23" xfId="0" applyFont="1" applyFill="1" applyBorder="1" applyAlignment="1">
      <alignment horizontal="right" vertical="center" wrapText="1"/>
    </xf>
    <xf numFmtId="0" fontId="8" fillId="0" borderId="23" xfId="0" applyFont="1" applyFill="1" applyBorder="1" applyAlignment="1">
      <alignment horizontal="right"/>
    </xf>
    <xf numFmtId="164" fontId="0" fillId="0" borderId="23" xfId="1" applyNumberFormat="1" applyFont="1" applyFill="1" applyBorder="1"/>
    <xf numFmtId="164" fontId="5" fillId="0" borderId="23" xfId="1" applyNumberFormat="1" applyFont="1" applyFill="1" applyBorder="1" applyAlignment="1">
      <alignment horizontal="center" vertical="center" wrapText="1"/>
    </xf>
    <xf numFmtId="164" fontId="3" fillId="0" borderId="23" xfId="1" applyNumberFormat="1" applyFont="1" applyFill="1" applyBorder="1" applyAlignment="1">
      <alignment horizontal="left" vertical="center" wrapText="1"/>
    </xf>
    <xf numFmtId="164" fontId="5" fillId="0" borderId="23" xfId="1" applyNumberFormat="1" applyFont="1" applyFill="1" applyBorder="1" applyAlignment="1">
      <alignment horizontal="left" vertical="center" wrapText="1"/>
    </xf>
    <xf numFmtId="164" fontId="3" fillId="0" borderId="23" xfId="1" applyNumberFormat="1" applyFont="1" applyFill="1" applyBorder="1"/>
    <xf numFmtId="164" fontId="3" fillId="0" borderId="23" xfId="1" applyNumberFormat="1" applyFont="1" applyFill="1" applyBorder="1" applyAlignment="1">
      <alignment horizontal="right" vertical="center" wrapText="1"/>
    </xf>
    <xf numFmtId="164" fontId="8" fillId="0" borderId="23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left"/>
    </xf>
    <xf numFmtId="164" fontId="10" fillId="3" borderId="0" xfId="1" applyNumberFormat="1" applyFont="1" applyFill="1" applyBorder="1"/>
    <xf numFmtId="164" fontId="0" fillId="3" borderId="0" xfId="1" applyNumberFormat="1" applyFont="1" applyFill="1" applyBorder="1"/>
    <xf numFmtId="0" fontId="0" fillId="3" borderId="0" xfId="0" applyFill="1"/>
    <xf numFmtId="43" fontId="0" fillId="3" borderId="0" xfId="1" applyFont="1" applyFill="1"/>
    <xf numFmtId="43" fontId="10" fillId="3" borderId="0" xfId="1" applyFont="1" applyFill="1" applyBorder="1"/>
    <xf numFmtId="0" fontId="10" fillId="3" borderId="0" xfId="0" applyFont="1" applyFill="1"/>
    <xf numFmtId="43" fontId="10" fillId="3" borderId="0" xfId="1" applyFont="1" applyFill="1"/>
    <xf numFmtId="164" fontId="2" fillId="3" borderId="0" xfId="1" applyNumberFormat="1" applyFont="1" applyFill="1" applyBorder="1"/>
    <xf numFmtId="43" fontId="0" fillId="3" borderId="0" xfId="1" applyFont="1" applyFill="1" applyBorder="1"/>
    <xf numFmtId="164" fontId="0" fillId="3" borderId="0" xfId="1" applyNumberFormat="1" applyFont="1" applyFill="1"/>
    <xf numFmtId="164" fontId="8" fillId="3" borderId="0" xfId="1" applyNumberFormat="1" applyFont="1" applyFill="1" applyBorder="1"/>
    <xf numFmtId="164" fontId="12" fillId="0" borderId="53" xfId="1" applyNumberFormat="1" applyFont="1" applyFill="1" applyBorder="1"/>
    <xf numFmtId="9" fontId="8" fillId="0" borderId="0" xfId="4" applyFont="1" applyFill="1" applyBorder="1"/>
    <xf numFmtId="164" fontId="12" fillId="3" borderId="0" xfId="1" applyNumberFormat="1" applyFont="1" applyFill="1" applyBorder="1"/>
    <xf numFmtId="43" fontId="0" fillId="0" borderId="0" xfId="0" applyNumberFormat="1"/>
    <xf numFmtId="9" fontId="0" fillId="0" borderId="0" xfId="4" applyFont="1"/>
    <xf numFmtId="167" fontId="0" fillId="0" borderId="0" xfId="4" applyNumberFormat="1" applyFont="1"/>
    <xf numFmtId="9" fontId="0" fillId="0" borderId="0" xfId="0" applyNumberFormat="1"/>
    <xf numFmtId="43" fontId="0" fillId="4" borderId="0" xfId="0" applyNumberFormat="1" applyFill="1"/>
    <xf numFmtId="43" fontId="0" fillId="0" borderId="0" xfId="0" applyNumberFormat="1" applyFill="1"/>
    <xf numFmtId="43" fontId="0" fillId="5" borderId="0" xfId="0" applyNumberFormat="1" applyFill="1"/>
    <xf numFmtId="43" fontId="0" fillId="3" borderId="0" xfId="0" applyNumberFormat="1" applyFill="1"/>
    <xf numFmtId="17" fontId="0" fillId="0" borderId="0" xfId="0" quotePrefix="1" applyNumberFormat="1" applyAlignment="1">
      <alignment horizontal="left"/>
    </xf>
    <xf numFmtId="164" fontId="10" fillId="0" borderId="0" xfId="1" applyNumberFormat="1" applyFont="1" applyFill="1" applyBorder="1"/>
    <xf numFmtId="164" fontId="0" fillId="0" borderId="0" xfId="0" applyNumberFormat="1" applyFill="1"/>
    <xf numFmtId="43" fontId="10" fillId="0" borderId="0" xfId="1" applyFont="1" applyFill="1" applyBorder="1"/>
    <xf numFmtId="0" fontId="10" fillId="0" borderId="0" xfId="0" applyFont="1" applyFill="1"/>
    <xf numFmtId="0" fontId="3" fillId="0" borderId="0" xfId="0" applyFont="1" applyFill="1" applyBorder="1" applyAlignment="1">
      <alignment horizontal="left"/>
    </xf>
    <xf numFmtId="0" fontId="8" fillId="0" borderId="0" xfId="0" quotePrefix="1" applyFont="1" applyFill="1"/>
    <xf numFmtId="0" fontId="8" fillId="0" borderId="0" xfId="0" applyFont="1" applyFill="1" applyAlignment="1">
      <alignment horizontal="right"/>
    </xf>
    <xf numFmtId="164" fontId="8" fillId="3" borderId="0" xfId="1" applyNumberFormat="1" applyFont="1" applyFill="1" applyBorder="1" applyAlignment="1">
      <alignment horizontal="center"/>
    </xf>
    <xf numFmtId="164" fontId="10" fillId="0" borderId="0" xfId="1" applyNumberFormat="1" applyFont="1" applyFill="1"/>
    <xf numFmtId="164" fontId="10" fillId="0" borderId="0" xfId="1" applyNumberFormat="1" applyFont="1"/>
    <xf numFmtId="0" fontId="10" fillId="0" borderId="0" xfId="0" applyFont="1"/>
    <xf numFmtId="164" fontId="12" fillId="6" borderId="0" xfId="1" applyNumberFormat="1" applyFont="1" applyFill="1" applyBorder="1"/>
    <xf numFmtId="43" fontId="0" fillId="0" borderId="0" xfId="4" applyNumberFormat="1" applyFont="1"/>
    <xf numFmtId="164" fontId="8" fillId="7" borderId="0" xfId="1" applyNumberFormat="1" applyFont="1" applyFill="1" applyBorder="1"/>
    <xf numFmtId="0" fontId="8" fillId="0" borderId="0" xfId="0" quotePrefix="1" applyFont="1" applyFill="1" applyAlignment="1">
      <alignment horizontal="right"/>
    </xf>
    <xf numFmtId="164" fontId="11" fillId="2" borderId="0" xfId="1" applyNumberFormat="1" applyFont="1" applyFill="1"/>
    <xf numFmtId="0" fontId="0" fillId="0" borderId="0" xfId="0" quotePrefix="1"/>
    <xf numFmtId="0" fontId="13" fillId="0" borderId="0" xfId="0" applyFont="1"/>
    <xf numFmtId="0" fontId="3" fillId="0" borderId="23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left" vertical="center" wrapText="1"/>
    </xf>
    <xf numFmtId="164" fontId="13" fillId="0" borderId="0" xfId="0" applyNumberFormat="1" applyFont="1"/>
    <xf numFmtId="0" fontId="19" fillId="0" borderId="0" xfId="5" applyFont="1" applyBorder="1" applyAlignment="1">
      <alignment horizontal="center"/>
    </xf>
    <xf numFmtId="0" fontId="19" fillId="0" borderId="0" xfId="5" applyFont="1" applyBorder="1"/>
    <xf numFmtId="164" fontId="19" fillId="0" borderId="0" xfId="1" applyNumberFormat="1" applyFont="1" applyFill="1" applyBorder="1"/>
    <xf numFmtId="164" fontId="19" fillId="0" borderId="0" xfId="1" applyNumberFormat="1" applyFont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center"/>
    </xf>
    <xf numFmtId="9" fontId="8" fillId="0" borderId="23" xfId="4" applyFont="1" applyFill="1" applyBorder="1"/>
    <xf numFmtId="0" fontId="0" fillId="0" borderId="23" xfId="0" applyFill="1" applyBorder="1"/>
    <xf numFmtId="164" fontId="0" fillId="0" borderId="36" xfId="0" applyNumberFormat="1" applyBorder="1"/>
    <xf numFmtId="164" fontId="2" fillId="0" borderId="36" xfId="0" applyNumberFormat="1" applyFont="1" applyBorder="1"/>
    <xf numFmtId="43" fontId="0" fillId="0" borderId="23" xfId="1" applyFont="1" applyFill="1" applyBorder="1"/>
    <xf numFmtId="164" fontId="20" fillId="0" borderId="0" xfId="1" applyNumberFormat="1" applyFont="1" applyFill="1" applyBorder="1" applyAlignment="1">
      <alignment horizontal="center"/>
    </xf>
    <xf numFmtId="0" fontId="20" fillId="0" borderId="0" xfId="0" applyFont="1" applyFill="1"/>
    <xf numFmtId="0" fontId="19" fillId="0" borderId="0" xfId="0" applyFont="1" applyFill="1"/>
    <xf numFmtId="9" fontId="19" fillId="0" borderId="23" xfId="4" applyFont="1" applyFill="1" applyBorder="1"/>
    <xf numFmtId="0" fontId="13" fillId="0" borderId="23" xfId="0" applyFont="1" applyFill="1" applyBorder="1"/>
    <xf numFmtId="164" fontId="19" fillId="0" borderId="23" xfId="1" applyNumberFormat="1" applyFont="1" applyFill="1" applyBorder="1"/>
    <xf numFmtId="164" fontId="13" fillId="0" borderId="23" xfId="1" applyNumberFormat="1" applyFont="1" applyFill="1" applyBorder="1"/>
    <xf numFmtId="0" fontId="19" fillId="0" borderId="22" xfId="0" applyFont="1" applyFill="1" applyBorder="1"/>
    <xf numFmtId="0" fontId="20" fillId="0" borderId="23" xfId="0" applyFont="1" applyFill="1" applyBorder="1" applyAlignment="1">
      <alignment horizontal="center" vertical="center" wrapText="1"/>
    </xf>
    <xf numFmtId="164" fontId="20" fillId="0" borderId="23" xfId="1" applyNumberFormat="1" applyFont="1" applyFill="1" applyBorder="1"/>
    <xf numFmtId="0" fontId="20" fillId="0" borderId="23" xfId="0" applyFont="1" applyFill="1" applyBorder="1" applyAlignment="1">
      <alignment horizontal="left" vertical="center" wrapText="1"/>
    </xf>
    <xf numFmtId="0" fontId="20" fillId="0" borderId="23" xfId="0" applyFont="1" applyFill="1" applyBorder="1"/>
    <xf numFmtId="0" fontId="19" fillId="0" borderId="23" xfId="0" applyFont="1" applyFill="1" applyBorder="1"/>
    <xf numFmtId="0" fontId="19" fillId="0" borderId="23" xfId="0" applyFont="1" applyFill="1" applyBorder="1" applyAlignment="1">
      <alignment wrapText="1"/>
    </xf>
    <xf numFmtId="0" fontId="19" fillId="0" borderId="23" xfId="0" applyFont="1" applyFill="1" applyBorder="1" applyAlignment="1">
      <alignment horizontal="left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left" vertical="center" wrapText="1"/>
    </xf>
    <xf numFmtId="43" fontId="19" fillId="0" borderId="23" xfId="1" applyFont="1" applyFill="1" applyBorder="1"/>
    <xf numFmtId="0" fontId="19" fillId="0" borderId="23" xfId="0" applyFont="1" applyFill="1" applyBorder="1" applyAlignment="1">
      <alignment horizontal="left" vertical="top" wrapText="1"/>
    </xf>
    <xf numFmtId="0" fontId="19" fillId="0" borderId="23" xfId="0" applyFont="1" applyFill="1" applyBorder="1" applyAlignment="1">
      <alignment horizontal="right" vertical="center" wrapText="1"/>
    </xf>
    <xf numFmtId="0" fontId="19" fillId="0" borderId="23" xfId="0" applyFont="1" applyFill="1" applyBorder="1" applyAlignment="1">
      <alignment horizontal="right"/>
    </xf>
    <xf numFmtId="164" fontId="20" fillId="0" borderId="26" xfId="1" applyNumberFormat="1" applyFont="1" applyFill="1" applyBorder="1"/>
    <xf numFmtId="0" fontId="20" fillId="0" borderId="0" xfId="0" applyFont="1" applyFill="1" applyBorder="1" applyAlignment="1">
      <alignment horizontal="left"/>
    </xf>
    <xf numFmtId="164" fontId="13" fillId="0" borderId="0" xfId="1" applyNumberFormat="1" applyFont="1" applyFill="1"/>
    <xf numFmtId="0" fontId="19" fillId="0" borderId="0" xfId="0" applyFont="1" applyFill="1" applyBorder="1" applyAlignment="1">
      <alignment horizontal="left"/>
    </xf>
    <xf numFmtId="0" fontId="21" fillId="0" borderId="0" xfId="0" applyFont="1" applyFill="1"/>
    <xf numFmtId="0" fontId="22" fillId="0" borderId="0" xfId="0" applyFont="1" applyFill="1"/>
    <xf numFmtId="0" fontId="14" fillId="0" borderId="0" xfId="0" applyFont="1" applyFill="1"/>
    <xf numFmtId="164" fontId="22" fillId="0" borderId="23" xfId="1" applyNumberFormat="1" applyFont="1" applyFill="1" applyBorder="1"/>
    <xf numFmtId="0" fontId="22" fillId="0" borderId="22" xfId="0" applyFont="1" applyFill="1" applyBorder="1"/>
    <xf numFmtId="0" fontId="21" fillId="0" borderId="23" xfId="0" applyFont="1" applyFill="1" applyBorder="1" applyAlignment="1">
      <alignment horizontal="center" vertical="center" wrapText="1"/>
    </xf>
    <xf numFmtId="164" fontId="21" fillId="0" borderId="23" xfId="1" applyNumberFormat="1" applyFont="1" applyFill="1" applyBorder="1"/>
    <xf numFmtId="0" fontId="21" fillId="0" borderId="23" xfId="0" applyFont="1" applyFill="1" applyBorder="1" applyAlignment="1">
      <alignment horizontal="left" vertical="center" wrapText="1"/>
    </xf>
    <xf numFmtId="0" fontId="21" fillId="0" borderId="23" xfId="0" applyFont="1" applyFill="1" applyBorder="1"/>
    <xf numFmtId="0" fontId="22" fillId="0" borderId="23" xfId="0" applyFont="1" applyFill="1" applyBorder="1"/>
    <xf numFmtId="0" fontId="22" fillId="0" borderId="23" xfId="0" applyFont="1" applyFill="1" applyBorder="1" applyAlignment="1">
      <alignment wrapText="1"/>
    </xf>
    <xf numFmtId="0" fontId="22" fillId="0" borderId="23" xfId="0" applyFont="1" applyFill="1" applyBorder="1" applyAlignment="1">
      <alignment horizontal="left" wrapText="1"/>
    </xf>
    <xf numFmtId="0" fontId="22" fillId="0" borderId="23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left" vertical="center" wrapText="1"/>
    </xf>
    <xf numFmtId="43" fontId="22" fillId="0" borderId="23" xfId="1" applyFont="1" applyFill="1" applyBorder="1"/>
    <xf numFmtId="0" fontId="22" fillId="0" borderId="23" xfId="0" applyFont="1" applyFill="1" applyBorder="1" applyAlignment="1">
      <alignment horizontal="right" vertical="center" wrapText="1"/>
    </xf>
    <xf numFmtId="0" fontId="22" fillId="0" borderId="23" xfId="0" applyFont="1" applyFill="1" applyBorder="1" applyAlignment="1">
      <alignment horizontal="right"/>
    </xf>
    <xf numFmtId="164" fontId="21" fillId="0" borderId="26" xfId="1" applyNumberFormat="1" applyFont="1" applyFill="1" applyBorder="1"/>
    <xf numFmtId="0" fontId="21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164" fontId="21" fillId="0" borderId="37" xfId="1" applyNumberFormat="1" applyFont="1" applyFill="1" applyBorder="1"/>
    <xf numFmtId="164" fontId="22" fillId="0" borderId="0" xfId="1" applyNumberFormat="1" applyFont="1" applyFill="1" applyBorder="1"/>
    <xf numFmtId="164" fontId="22" fillId="0" borderId="0" xfId="1" applyNumberFormat="1" applyFont="1" applyFill="1"/>
    <xf numFmtId="164" fontId="20" fillId="0" borderId="37" xfId="1" applyNumberFormat="1" applyFont="1" applyFill="1" applyBorder="1"/>
    <xf numFmtId="164" fontId="19" fillId="0" borderId="0" xfId="1" applyNumberFormat="1" applyFont="1" applyBorder="1" applyAlignment="1">
      <alignment horizontal="center"/>
    </xf>
    <xf numFmtId="164" fontId="13" fillId="0" borderId="0" xfId="1" applyNumberFormat="1" applyFont="1"/>
    <xf numFmtId="0" fontId="19" fillId="0" borderId="57" xfId="5" applyFont="1" applyBorder="1" applyAlignment="1">
      <alignment horizontal="center"/>
    </xf>
    <xf numFmtId="164" fontId="19" fillId="0" borderId="61" xfId="1" applyNumberFormat="1" applyFont="1" applyBorder="1" applyAlignment="1">
      <alignment horizontal="center"/>
    </xf>
    <xf numFmtId="164" fontId="19" fillId="0" borderId="57" xfId="1" applyNumberFormat="1" applyFont="1" applyBorder="1" applyAlignment="1">
      <alignment horizontal="center"/>
    </xf>
    <xf numFmtId="164" fontId="13" fillId="0" borderId="57" xfId="1" applyNumberFormat="1" applyFont="1" applyBorder="1"/>
    <xf numFmtId="164" fontId="19" fillId="0" borderId="0" xfId="1" applyNumberFormat="1" applyFont="1" applyBorder="1"/>
    <xf numFmtId="164" fontId="19" fillId="0" borderId="46" xfId="1" applyNumberFormat="1" applyFont="1" applyFill="1" applyBorder="1"/>
    <xf numFmtId="164" fontId="19" fillId="0" borderId="46" xfId="1" applyNumberFormat="1" applyFont="1" applyBorder="1"/>
    <xf numFmtId="0" fontId="19" fillId="0" borderId="0" xfId="5" applyFont="1"/>
    <xf numFmtId="164" fontId="19" fillId="0" borderId="0" xfId="1" applyNumberFormat="1" applyFont="1" applyFill="1"/>
    <xf numFmtId="164" fontId="13" fillId="0" borderId="62" xfId="1" applyNumberFormat="1" applyFont="1" applyBorder="1"/>
    <xf numFmtId="164" fontId="19" fillId="0" borderId="0" xfId="1" applyNumberFormat="1" applyFont="1"/>
    <xf numFmtId="164" fontId="13" fillId="0" borderId="0" xfId="1" applyNumberFormat="1" applyFont="1" applyBorder="1"/>
    <xf numFmtId="164" fontId="13" fillId="0" borderId="46" xfId="1" applyNumberFormat="1" applyFont="1" applyBorder="1"/>
    <xf numFmtId="164" fontId="19" fillId="0" borderId="55" xfId="1" applyNumberFormat="1" applyFont="1" applyFill="1" applyBorder="1"/>
    <xf numFmtId="164" fontId="13" fillId="0" borderId="55" xfId="1" applyNumberFormat="1" applyFont="1" applyBorder="1"/>
    <xf numFmtId="0" fontId="19" fillId="0" borderId="0" xfId="5" applyFont="1" applyBorder="1" applyAlignment="1">
      <alignment horizontal="left"/>
    </xf>
    <xf numFmtId="164" fontId="19" fillId="0" borderId="62" xfId="1" applyNumberFormat="1" applyFont="1" applyFill="1" applyBorder="1"/>
    <xf numFmtId="164" fontId="19" fillId="0" borderId="62" xfId="1" applyNumberFormat="1" applyFont="1" applyBorder="1"/>
    <xf numFmtId="164" fontId="19" fillId="0" borderId="63" xfId="1" applyNumberFormat="1" applyFont="1" applyFill="1" applyBorder="1"/>
    <xf numFmtId="164" fontId="13" fillId="0" borderId="63" xfId="1" applyNumberFormat="1" applyFont="1" applyBorder="1"/>
    <xf numFmtId="0" fontId="16" fillId="0" borderId="0" xfId="0" applyFont="1"/>
    <xf numFmtId="164" fontId="15" fillId="0" borderId="55" xfId="1" applyNumberFormat="1" applyFont="1" applyFill="1" applyBorder="1"/>
    <xf numFmtId="164" fontId="15" fillId="0" borderId="0" xfId="1" applyNumberFormat="1" applyFont="1" applyFill="1" applyBorder="1"/>
    <xf numFmtId="164" fontId="16" fillId="0" borderId="55" xfId="1" applyNumberFormat="1" applyFont="1" applyBorder="1"/>
    <xf numFmtId="164" fontId="16" fillId="0" borderId="0" xfId="1" applyNumberFormat="1" applyFont="1"/>
    <xf numFmtId="0" fontId="2" fillId="0" borderId="0" xfId="0" applyFont="1"/>
    <xf numFmtId="164" fontId="23" fillId="0" borderId="0" xfId="1" applyNumberFormat="1" applyFont="1" applyFill="1"/>
    <xf numFmtId="9" fontId="22" fillId="0" borderId="0" xfId="4" applyFont="1" applyFill="1"/>
    <xf numFmtId="9" fontId="23" fillId="0" borderId="0" xfId="4" applyFont="1" applyFill="1"/>
    <xf numFmtId="164" fontId="22" fillId="0" borderId="0" xfId="1" applyNumberFormat="1" applyFont="1" applyFill="1" applyBorder="1" applyAlignment="1">
      <alignment horizontal="center"/>
    </xf>
    <xf numFmtId="164" fontId="22" fillId="0" borderId="26" xfId="1" applyNumberFormat="1" applyFont="1" applyFill="1" applyBorder="1"/>
    <xf numFmtId="164" fontId="22" fillId="0" borderId="54" xfId="1" applyNumberFormat="1" applyFont="1" applyFill="1" applyBorder="1"/>
    <xf numFmtId="164" fontId="22" fillId="0" borderId="49" xfId="1" applyNumberFormat="1" applyFont="1" applyFill="1" applyBorder="1"/>
    <xf numFmtId="164" fontId="22" fillId="0" borderId="33" xfId="1" applyNumberFormat="1" applyFont="1" applyFill="1" applyBorder="1"/>
    <xf numFmtId="164" fontId="22" fillId="0" borderId="36" xfId="1" applyNumberFormat="1" applyFont="1" applyFill="1" applyBorder="1"/>
    <xf numFmtId="164" fontId="21" fillId="0" borderId="33" xfId="1" applyNumberFormat="1" applyFont="1" applyFill="1" applyBorder="1"/>
    <xf numFmtId="164" fontId="21" fillId="0" borderId="36" xfId="1" applyNumberFormat="1" applyFont="1" applyFill="1" applyBorder="1"/>
    <xf numFmtId="164" fontId="21" fillId="0" borderId="0" xfId="1" applyNumberFormat="1" applyFont="1" applyFill="1" applyBorder="1"/>
    <xf numFmtId="164" fontId="21" fillId="0" borderId="54" xfId="1" applyNumberFormat="1" applyFont="1" applyFill="1" applyBorder="1"/>
    <xf numFmtId="0" fontId="22" fillId="3" borderId="0" xfId="0" applyFont="1" applyFill="1"/>
    <xf numFmtId="164" fontId="21" fillId="3" borderId="0" xfId="1" applyNumberFormat="1" applyFont="1" applyFill="1" applyBorder="1"/>
    <xf numFmtId="164" fontId="19" fillId="0" borderId="0" xfId="1" applyNumberFormat="1" applyFont="1" applyFill="1" applyBorder="1" applyAlignment="1">
      <alignment horizontal="center"/>
    </xf>
    <xf numFmtId="9" fontId="19" fillId="0" borderId="36" xfId="4" applyFont="1" applyFill="1" applyBorder="1"/>
    <xf numFmtId="9" fontId="19" fillId="0" borderId="0" xfId="4" applyFont="1" applyFill="1" applyBorder="1"/>
    <xf numFmtId="164" fontId="19" fillId="0" borderId="36" xfId="1" applyNumberFormat="1" applyFont="1" applyFill="1" applyBorder="1"/>
    <xf numFmtId="164" fontId="20" fillId="0" borderId="36" xfId="1" applyNumberFormat="1" applyFont="1" applyFill="1" applyBorder="1"/>
    <xf numFmtId="164" fontId="20" fillId="0" borderId="0" xfId="1" applyNumberFormat="1" applyFont="1" applyFill="1" applyBorder="1"/>
    <xf numFmtId="164" fontId="20" fillId="0" borderId="53" xfId="1" applyNumberFormat="1" applyFont="1" applyFill="1" applyBorder="1"/>
    <xf numFmtId="164" fontId="19" fillId="0" borderId="23" xfId="4" applyNumberFormat="1" applyFont="1" applyFill="1" applyBorder="1"/>
    <xf numFmtId="43" fontId="19" fillId="0" borderId="24" xfId="1" applyFont="1" applyFill="1" applyBorder="1" applyAlignment="1"/>
    <xf numFmtId="164" fontId="19" fillId="0" borderId="24" xfId="1" applyNumberFormat="1" applyFont="1" applyFill="1" applyBorder="1"/>
    <xf numFmtId="164" fontId="19" fillId="0" borderId="24" xfId="4" applyNumberFormat="1" applyFont="1" applyFill="1" applyBorder="1"/>
    <xf numFmtId="164" fontId="20" fillId="0" borderId="24" xfId="1" applyNumberFormat="1" applyFont="1" applyFill="1" applyBorder="1"/>
    <xf numFmtId="164" fontId="20" fillId="0" borderId="34" xfId="1" applyNumberFormat="1" applyFont="1" applyFill="1" applyBorder="1"/>
    <xf numFmtId="0" fontId="20" fillId="0" borderId="0" xfId="0" applyFont="1" applyFill="1" applyBorder="1"/>
    <xf numFmtId="0" fontId="19" fillId="0" borderId="0" xfId="0" applyFont="1" applyFill="1" applyBorder="1"/>
    <xf numFmtId="164" fontId="24" fillId="0" borderId="0" xfId="1" applyNumberFormat="1" applyFont="1" applyFill="1" applyBorder="1"/>
    <xf numFmtId="9" fontId="24" fillId="0" borderId="0" xfId="4" applyFont="1" applyFill="1" applyBorder="1"/>
    <xf numFmtId="43" fontId="22" fillId="0" borderId="32" xfId="1" applyFont="1" applyFill="1" applyBorder="1" applyAlignment="1"/>
    <xf numFmtId="43" fontId="22" fillId="0" borderId="24" xfId="1" applyFont="1" applyFill="1" applyBorder="1" applyAlignment="1"/>
    <xf numFmtId="164" fontId="22" fillId="0" borderId="24" xfId="1" applyNumberFormat="1" applyFont="1" applyFill="1" applyBorder="1"/>
    <xf numFmtId="164" fontId="21" fillId="0" borderId="34" xfId="1" applyNumberFormat="1" applyFont="1" applyFill="1" applyBorder="1"/>
    <xf numFmtId="164" fontId="22" fillId="0" borderId="51" xfId="1" applyNumberFormat="1" applyFont="1" applyFill="1" applyBorder="1" applyAlignment="1"/>
    <xf numFmtId="164" fontId="22" fillId="0" borderId="40" xfId="1" applyNumberFormat="1" applyFont="1" applyFill="1" applyBorder="1" applyAlignment="1"/>
    <xf numFmtId="164" fontId="22" fillId="0" borderId="50" xfId="1" applyNumberFormat="1" applyFont="1" applyFill="1" applyBorder="1" applyAlignment="1"/>
    <xf numFmtId="164" fontId="19" fillId="0" borderId="40" xfId="1" applyNumberFormat="1" applyFont="1" applyFill="1" applyBorder="1" applyAlignment="1"/>
    <xf numFmtId="164" fontId="19" fillId="0" borderId="50" xfId="1" applyNumberFormat="1" applyFont="1" applyFill="1" applyBorder="1" applyAlignment="1"/>
    <xf numFmtId="43" fontId="19" fillId="0" borderId="24" xfId="1" applyFont="1" applyFill="1" applyBorder="1"/>
    <xf numFmtId="164" fontId="22" fillId="0" borderId="51" xfId="1" applyNumberFormat="1" applyFont="1" applyFill="1" applyBorder="1"/>
    <xf numFmtId="164" fontId="25" fillId="0" borderId="0" xfId="1" applyNumberFormat="1" applyFont="1" applyFill="1"/>
    <xf numFmtId="164" fontId="22" fillId="0" borderId="33" xfId="1" applyNumberFormat="1" applyFont="1" applyFill="1" applyBorder="1" applyAlignment="1"/>
    <xf numFmtId="164" fontId="22" fillId="0" borderId="32" xfId="1" applyNumberFormat="1" applyFont="1" applyFill="1" applyBorder="1" applyAlignment="1"/>
    <xf numFmtId="43" fontId="22" fillId="0" borderId="23" xfId="4" applyNumberFormat="1" applyFont="1" applyFill="1" applyBorder="1"/>
    <xf numFmtId="164" fontId="8" fillId="0" borderId="24" xfId="1" applyNumberFormat="1" applyFont="1" applyFill="1" applyBorder="1"/>
    <xf numFmtId="0" fontId="21" fillId="0" borderId="22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1" fillId="0" borderId="0" xfId="0" applyFont="1" applyFill="1" applyAlignment="1"/>
    <xf numFmtId="164" fontId="22" fillId="0" borderId="24" xfId="1" applyNumberFormat="1" applyFont="1" applyFill="1" applyBorder="1" applyAlignment="1"/>
    <xf numFmtId="43" fontId="22" fillId="0" borderId="49" xfId="4" applyNumberFormat="1" applyFont="1" applyFill="1" applyBorder="1"/>
    <xf numFmtId="43" fontId="22" fillId="0" borderId="56" xfId="4" applyNumberFormat="1" applyFont="1" applyFill="1" applyBorder="1"/>
    <xf numFmtId="43" fontId="22" fillId="0" borderId="36" xfId="4" applyNumberFormat="1" applyFont="1" applyFill="1" applyBorder="1"/>
    <xf numFmtId="0" fontId="22" fillId="0" borderId="0" xfId="0" quotePrefix="1" applyFont="1" applyFill="1"/>
    <xf numFmtId="164" fontId="21" fillId="6" borderId="0" xfId="1" applyNumberFormat="1" applyFont="1" applyFill="1" applyBorder="1"/>
    <xf numFmtId="164" fontId="22" fillId="6" borderId="0" xfId="1" applyNumberFormat="1" applyFont="1" applyFill="1" applyBorder="1"/>
    <xf numFmtId="43" fontId="22" fillId="0" borderId="0" xfId="4" applyNumberFormat="1" applyFont="1" applyFill="1" applyBorder="1"/>
    <xf numFmtId="0" fontId="21" fillId="0" borderId="52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Fill="1"/>
    <xf numFmtId="0" fontId="25" fillId="0" borderId="0" xfId="0" applyFont="1" applyFill="1"/>
    <xf numFmtId="0" fontId="21" fillId="0" borderId="22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43" fontId="22" fillId="0" borderId="0" xfId="1" applyFont="1" applyFill="1" applyBorder="1" applyAlignment="1">
      <alignment horizontal="center"/>
    </xf>
    <xf numFmtId="164" fontId="22" fillId="0" borderId="37" xfId="1" applyNumberFormat="1" applyFont="1" applyFill="1" applyBorder="1"/>
    <xf numFmtId="43" fontId="22" fillId="0" borderId="0" xfId="1" applyFont="1" applyFill="1"/>
    <xf numFmtId="43" fontId="22" fillId="0" borderId="33" xfId="1" applyFont="1" applyFill="1" applyBorder="1" applyAlignment="1"/>
    <xf numFmtId="164" fontId="21" fillId="0" borderId="38" xfId="1" applyNumberFormat="1" applyFont="1" applyFill="1" applyBorder="1"/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164" fontId="23" fillId="0" borderId="0" xfId="1" applyNumberFormat="1" applyFont="1" applyFill="1" applyAlignment="1">
      <alignment horizontal="left"/>
    </xf>
    <xf numFmtId="0" fontId="29" fillId="0" borderId="0" xfId="0" applyFont="1" applyFill="1" applyBorder="1" applyAlignment="1">
      <alignment vertical="top"/>
    </xf>
    <xf numFmtId="39" fontId="29" fillId="0" borderId="0" xfId="1" applyNumberFormat="1" applyFont="1" applyFill="1" applyBorder="1" applyAlignment="1">
      <alignment horizontal="right" vertical="top"/>
    </xf>
    <xf numFmtId="0" fontId="29" fillId="0" borderId="57" xfId="0" applyFont="1" applyBorder="1"/>
    <xf numFmtId="0" fontId="29" fillId="0" borderId="0" xfId="0" applyFont="1"/>
    <xf numFmtId="0" fontId="28" fillId="0" borderId="0" xfId="0" applyFont="1" applyBorder="1" applyAlignment="1">
      <alignment horizontal="center"/>
    </xf>
    <xf numFmtId="0" fontId="28" fillId="0" borderId="0" xfId="0" applyFont="1" applyBorder="1"/>
    <xf numFmtId="0" fontId="29" fillId="0" borderId="0" xfId="0" applyFont="1" applyBorder="1"/>
    <xf numFmtId="0" fontId="29" fillId="0" borderId="0" xfId="0" applyFont="1" applyBorder="1" applyAlignment="1">
      <alignment vertical="top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vertical="top"/>
    </xf>
    <xf numFmtId="0" fontId="29" fillId="0" borderId="0" xfId="0" quotePrefix="1" applyFont="1"/>
    <xf numFmtId="0" fontId="29" fillId="0" borderId="0" xfId="0" applyFont="1" applyAlignment="1">
      <alignment horizontal="left" vertical="top" wrapText="1"/>
    </xf>
    <xf numFmtId="0" fontId="29" fillId="0" borderId="0" xfId="0" applyFont="1" applyAlignment="1"/>
    <xf numFmtId="0" fontId="29" fillId="0" borderId="0" xfId="0" applyFont="1" applyAlignment="1">
      <alignment horizontal="left" vertical="top"/>
    </xf>
    <xf numFmtId="0" fontId="32" fillId="0" borderId="0" xfId="0" applyFont="1" applyFill="1" applyBorder="1" applyAlignment="1">
      <alignment vertical="top"/>
    </xf>
    <xf numFmtId="0" fontId="32" fillId="0" borderId="57" xfId="0" applyFont="1" applyBorder="1"/>
    <xf numFmtId="0" fontId="32" fillId="0" borderId="0" xfId="0" applyFont="1"/>
    <xf numFmtId="0" fontId="32" fillId="0" borderId="0" xfId="0" applyFont="1" applyBorder="1"/>
    <xf numFmtId="164" fontId="13" fillId="0" borderId="36" xfId="1" applyNumberFormat="1" applyFont="1" applyFill="1" applyBorder="1"/>
    <xf numFmtId="164" fontId="17" fillId="0" borderId="36" xfId="1" applyNumberFormat="1" applyFont="1" applyFill="1" applyBorder="1"/>
    <xf numFmtId="0" fontId="17" fillId="0" borderId="0" xfId="0" applyFont="1" applyFill="1" applyAlignment="1">
      <alignment horizontal="left"/>
    </xf>
    <xf numFmtId="0" fontId="17" fillId="0" borderId="0" xfId="0" applyFont="1" applyFill="1"/>
    <xf numFmtId="0" fontId="33" fillId="0" borderId="0" xfId="0" applyFont="1" applyFill="1"/>
    <xf numFmtId="0" fontId="0" fillId="0" borderId="23" xfId="0" applyFill="1" applyBorder="1" applyAlignment="1">
      <alignment horizontal="center"/>
    </xf>
    <xf numFmtId="0" fontId="19" fillId="0" borderId="23" xfId="0" applyFont="1" applyFill="1" applyBorder="1" applyAlignment="1">
      <alignment horizontal="left" vertical="center" wrapText="1"/>
    </xf>
    <xf numFmtId="0" fontId="19" fillId="3" borderId="23" xfId="0" applyFont="1" applyFill="1" applyBorder="1"/>
    <xf numFmtId="0" fontId="19" fillId="3" borderId="23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/>
    </xf>
    <xf numFmtId="0" fontId="19" fillId="8" borderId="22" xfId="0" applyFont="1" applyFill="1" applyBorder="1"/>
    <xf numFmtId="164" fontId="19" fillId="8" borderId="23" xfId="1" applyNumberFormat="1" applyFont="1" applyFill="1" applyBorder="1"/>
    <xf numFmtId="164" fontId="19" fillId="8" borderId="24" xfId="1" applyNumberFormat="1" applyFont="1" applyFill="1" applyBorder="1"/>
    <xf numFmtId="164" fontId="19" fillId="8" borderId="36" xfId="1" applyNumberFormat="1" applyFont="1" applyFill="1" applyBorder="1"/>
    <xf numFmtId="0" fontId="19" fillId="8" borderId="23" xfId="0" applyFont="1" applyFill="1" applyBorder="1"/>
    <xf numFmtId="0" fontId="21" fillId="9" borderId="0" xfId="0" applyFont="1" applyFill="1" applyBorder="1" applyAlignment="1">
      <alignment horizontal="left"/>
    </xf>
    <xf numFmtId="43" fontId="0" fillId="0" borderId="36" xfId="1" applyFont="1" applyBorder="1"/>
    <xf numFmtId="43" fontId="0" fillId="0" borderId="37" xfId="1" applyFont="1" applyBorder="1"/>
    <xf numFmtId="43" fontId="0" fillId="0" borderId="36" xfId="1" applyFont="1" applyFill="1" applyBorder="1"/>
    <xf numFmtId="164" fontId="0" fillId="0" borderId="21" xfId="1" applyNumberFormat="1" applyFont="1" applyBorder="1"/>
    <xf numFmtId="164" fontId="0" fillId="0" borderId="35" xfId="1" applyNumberFormat="1" applyFont="1" applyBorder="1"/>
    <xf numFmtId="43" fontId="0" fillId="10" borderId="23" xfId="1" applyFont="1" applyFill="1" applyBorder="1"/>
    <xf numFmtId="43" fontId="0" fillId="10" borderId="36" xfId="1" applyFont="1" applyFill="1" applyBorder="1"/>
    <xf numFmtId="0" fontId="0" fillId="10" borderId="0" xfId="0" applyFill="1"/>
    <xf numFmtId="164" fontId="0" fillId="0" borderId="50" xfId="1" applyNumberFormat="1" applyFont="1" applyBorder="1"/>
    <xf numFmtId="43" fontId="0" fillId="0" borderId="24" xfId="1" applyFont="1" applyBorder="1"/>
    <xf numFmtId="43" fontId="0" fillId="10" borderId="24" xfId="1" applyFont="1" applyFill="1" applyBorder="1"/>
    <xf numFmtId="43" fontId="0" fillId="0" borderId="34" xfId="1" applyFont="1" applyBorder="1"/>
    <xf numFmtId="43" fontId="0" fillId="0" borderId="0" xfId="1" applyFont="1" applyBorder="1" applyAlignment="1">
      <alignment horizontal="center"/>
    </xf>
    <xf numFmtId="43" fontId="0" fillId="10" borderId="0" xfId="1" applyFont="1" applyFill="1" applyBorder="1"/>
    <xf numFmtId="0" fontId="19" fillId="3" borderId="23" xfId="0" applyFont="1" applyFill="1" applyBorder="1" applyAlignment="1">
      <alignment horizontal="left" wrapText="1"/>
    </xf>
    <xf numFmtId="164" fontId="19" fillId="3" borderId="23" xfId="1" applyNumberFormat="1" applyFont="1" applyFill="1" applyBorder="1"/>
    <xf numFmtId="43" fontId="0" fillId="0" borderId="23" xfId="1" applyFont="1" applyFill="1" applyBorder="1" applyAlignment="1">
      <alignment horizontal="center"/>
    </xf>
    <xf numFmtId="43" fontId="2" fillId="0" borderId="36" xfId="1" applyFont="1" applyFill="1" applyBorder="1" applyAlignment="1">
      <alignment horizontal="center"/>
    </xf>
    <xf numFmtId="164" fontId="2" fillId="0" borderId="23" xfId="1" applyNumberFormat="1" applyFont="1" applyFill="1" applyBorder="1"/>
    <xf numFmtId="43" fontId="0" fillId="0" borderId="37" xfId="1" applyFont="1" applyFill="1" applyBorder="1"/>
    <xf numFmtId="0" fontId="2" fillId="0" borderId="0" xfId="0" applyFont="1" applyFill="1"/>
    <xf numFmtId="0" fontId="0" fillId="0" borderId="64" xfId="0" applyFill="1" applyBorder="1" applyAlignment="1"/>
    <xf numFmtId="0" fontId="0" fillId="0" borderId="52" xfId="0" applyFill="1" applyBorder="1" applyAlignment="1"/>
    <xf numFmtId="0" fontId="2" fillId="0" borderId="23" xfId="0" applyFont="1" applyFill="1" applyBorder="1"/>
    <xf numFmtId="0" fontId="0" fillId="0" borderId="22" xfId="0" applyFill="1" applyBorder="1"/>
    <xf numFmtId="0" fontId="0" fillId="0" borderId="25" xfId="0" applyFill="1" applyBorder="1"/>
    <xf numFmtId="0" fontId="0" fillId="0" borderId="26" xfId="0" applyFill="1" applyBorder="1"/>
    <xf numFmtId="0" fontId="13" fillId="0" borderId="23" xfId="0" applyFont="1" applyFill="1" applyBorder="1" applyAlignment="1">
      <alignment horizontal="left" wrapText="1"/>
    </xf>
    <xf numFmtId="0" fontId="19" fillId="3" borderId="22" xfId="0" applyFont="1" applyFill="1" applyBorder="1"/>
    <xf numFmtId="0" fontId="19" fillId="3" borderId="23" xfId="0" applyFont="1" applyFill="1" applyBorder="1" applyAlignment="1">
      <alignment horizontal="center" vertical="center" wrapText="1"/>
    </xf>
    <xf numFmtId="164" fontId="19" fillId="3" borderId="24" xfId="1" applyNumberFormat="1" applyFont="1" applyFill="1" applyBorder="1"/>
    <xf numFmtId="164" fontId="19" fillId="3" borderId="36" xfId="1" applyNumberFormat="1" applyFont="1" applyFill="1" applyBorder="1"/>
    <xf numFmtId="43" fontId="0" fillId="0" borderId="35" xfId="1" applyFont="1" applyBorder="1"/>
    <xf numFmtId="43" fontId="0" fillId="0" borderId="21" xfId="1" quotePrefix="1" applyFont="1" applyBorder="1"/>
    <xf numFmtId="164" fontId="14" fillId="0" borderId="36" xfId="0" applyNumberFormat="1" applyFont="1" applyFill="1" applyBorder="1"/>
    <xf numFmtId="164" fontId="14" fillId="0" borderId="26" xfId="0" applyNumberFormat="1" applyFont="1" applyFill="1" applyBorder="1"/>
    <xf numFmtId="164" fontId="14" fillId="0" borderId="37" xfId="0" applyNumberFormat="1" applyFont="1" applyFill="1" applyBorder="1"/>
    <xf numFmtId="0" fontId="20" fillId="0" borderId="23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41" fontId="0" fillId="0" borderId="0" xfId="2" applyFont="1"/>
    <xf numFmtId="41" fontId="0" fillId="0" borderId="0" xfId="0" applyNumberFormat="1"/>
    <xf numFmtId="0" fontId="14" fillId="0" borderId="22" xfId="0" applyFont="1" applyFill="1" applyBorder="1" applyAlignment="1">
      <alignment horizontal="center" vertical="center"/>
    </xf>
    <xf numFmtId="41" fontId="0" fillId="0" borderId="22" xfId="2" applyFont="1" applyBorder="1"/>
    <xf numFmtId="41" fontId="0" fillId="0" borderId="23" xfId="2" applyFont="1" applyBorder="1"/>
    <xf numFmtId="41" fontId="0" fillId="0" borderId="36" xfId="2" applyFont="1" applyBorder="1"/>
    <xf numFmtId="41" fontId="0" fillId="0" borderId="23" xfId="0" applyNumberFormat="1" applyBorder="1"/>
    <xf numFmtId="41" fontId="0" fillId="0" borderId="26" xfId="2" applyFont="1" applyBorder="1"/>
    <xf numFmtId="41" fontId="0" fillId="0" borderId="37" xfId="2" applyFont="1" applyBorder="1"/>
    <xf numFmtId="164" fontId="19" fillId="3" borderId="0" xfId="1" applyNumberFormat="1" applyFont="1" applyFill="1" applyBorder="1"/>
    <xf numFmtId="0" fontId="0" fillId="0" borderId="23" xfId="0" applyBorder="1" applyAlignment="1">
      <alignment horizontal="left" wrapText="1"/>
    </xf>
    <xf numFmtId="0" fontId="0" fillId="0" borderId="36" xfId="0" applyFill="1" applyBorder="1"/>
    <xf numFmtId="0" fontId="14" fillId="0" borderId="23" xfId="0" applyFont="1" applyFill="1" applyBorder="1"/>
    <xf numFmtId="0" fontId="14" fillId="0" borderId="36" xfId="0" applyFont="1" applyFill="1" applyBorder="1"/>
    <xf numFmtId="0" fontId="14" fillId="0" borderId="26" xfId="0" applyFont="1" applyFill="1" applyBorder="1"/>
    <xf numFmtId="164" fontId="14" fillId="0" borderId="0" xfId="0" applyNumberFormat="1" applyFont="1" applyFill="1"/>
    <xf numFmtId="41" fontId="14" fillId="0" borderId="0" xfId="2" applyFont="1" applyFill="1"/>
    <xf numFmtId="0" fontId="13" fillId="0" borderId="25" xfId="0" applyFont="1" applyFill="1" applyBorder="1"/>
    <xf numFmtId="0" fontId="13" fillId="0" borderId="26" xfId="0" applyFont="1" applyFill="1" applyBorder="1"/>
    <xf numFmtId="164" fontId="13" fillId="0" borderId="26" xfId="0" applyNumberFormat="1" applyFont="1" applyFill="1" applyBorder="1"/>
    <xf numFmtId="0" fontId="13" fillId="0" borderId="0" xfId="0" applyFont="1" applyFill="1"/>
    <xf numFmtId="164" fontId="13" fillId="0" borderId="37" xfId="0" applyNumberFormat="1" applyFont="1" applyFill="1" applyBorder="1"/>
    <xf numFmtId="164" fontId="8" fillId="3" borderId="23" xfId="1" applyNumberFormat="1" applyFont="1" applyFill="1" applyBorder="1"/>
    <xf numFmtId="41" fontId="19" fillId="0" borderId="0" xfId="2" applyFont="1" applyFill="1" applyBorder="1"/>
    <xf numFmtId="41" fontId="19" fillId="0" borderId="23" xfId="2" applyFont="1" applyFill="1" applyBorder="1"/>
    <xf numFmtId="41" fontId="19" fillId="0" borderId="46" xfId="2" applyFont="1" applyFill="1" applyBorder="1"/>
    <xf numFmtId="41" fontId="24" fillId="0" borderId="0" xfId="2" applyFont="1" applyFill="1" applyBorder="1"/>
    <xf numFmtId="41" fontId="0" fillId="0" borderId="23" xfId="2" applyFont="1" applyFill="1" applyBorder="1"/>
    <xf numFmtId="41" fontId="0" fillId="0" borderId="36" xfId="2" applyFont="1" applyFill="1" applyBorder="1"/>
    <xf numFmtId="41" fontId="0" fillId="0" borderId="0" xfId="2" applyFont="1" applyFill="1"/>
    <xf numFmtId="0" fontId="24" fillId="0" borderId="0" xfId="0" applyFont="1" applyFill="1" applyBorder="1"/>
    <xf numFmtId="164" fontId="24" fillId="0" borderId="0" xfId="1" applyNumberFormat="1" applyFont="1" applyFill="1"/>
    <xf numFmtId="0" fontId="11" fillId="0" borderId="0" xfId="0" applyFont="1" applyFill="1"/>
    <xf numFmtId="0" fontId="11" fillId="0" borderId="0" xfId="0" applyFont="1"/>
    <xf numFmtId="0" fontId="20" fillId="0" borderId="23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 vertical="center" wrapText="1"/>
    </xf>
    <xf numFmtId="0" fontId="20" fillId="0" borderId="23" xfId="0" applyFont="1" applyFill="1" applyBorder="1" applyAlignment="1">
      <alignment horizontal="center" vertical="center" wrapText="1"/>
    </xf>
    <xf numFmtId="164" fontId="19" fillId="0" borderId="32" xfId="1" applyNumberFormat="1" applyFont="1" applyFill="1" applyBorder="1" applyAlignment="1">
      <alignment horizontal="center"/>
    </xf>
    <xf numFmtId="0" fontId="22" fillId="0" borderId="23" xfId="0" applyFont="1" applyFill="1" applyBorder="1" applyAlignment="1">
      <alignment horizontal="left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left" vertical="center" wrapText="1"/>
    </xf>
    <xf numFmtId="41" fontId="14" fillId="0" borderId="23" xfId="2" applyFont="1" applyFill="1" applyBorder="1" applyAlignment="1">
      <alignment horizontal="left" vertical="center"/>
    </xf>
    <xf numFmtId="164" fontId="8" fillId="0" borderId="36" xfId="1" applyNumberFormat="1" applyFont="1" applyFill="1" applyBorder="1" applyAlignment="1">
      <alignment wrapText="1"/>
    </xf>
    <xf numFmtId="164" fontId="0" fillId="0" borderId="33" xfId="1" applyNumberFormat="1" applyFont="1" applyFill="1" applyBorder="1"/>
    <xf numFmtId="0" fontId="13" fillId="0" borderId="23" xfId="0" applyFont="1" applyFill="1" applyBorder="1" applyAlignment="1">
      <alignment wrapText="1"/>
    </xf>
    <xf numFmtId="43" fontId="0" fillId="0" borderId="26" xfId="1" applyFont="1" applyFill="1" applyBorder="1"/>
    <xf numFmtId="164" fontId="20" fillId="0" borderId="0" xfId="1" applyNumberFormat="1" applyFont="1" applyAlignment="1">
      <alignment horizontal="center"/>
    </xf>
    <xf numFmtId="0" fontId="20" fillId="0" borderId="0" xfId="5" applyFont="1" applyAlignment="1">
      <alignment horizontal="center"/>
    </xf>
    <xf numFmtId="0" fontId="20" fillId="0" borderId="0" xfId="5" applyFont="1" applyBorder="1" applyAlignment="1">
      <alignment horizontal="center"/>
    </xf>
    <xf numFmtId="0" fontId="19" fillId="0" borderId="0" xfId="5" applyFont="1" applyBorder="1" applyAlignment="1">
      <alignment horizontal="left" wrapText="1"/>
    </xf>
    <xf numFmtId="164" fontId="20" fillId="0" borderId="0" xfId="1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64" fontId="8" fillId="0" borderId="21" xfId="1" applyNumberFormat="1" applyFont="1" applyFill="1" applyBorder="1" applyAlignment="1">
      <alignment horizontal="center"/>
    </xf>
    <xf numFmtId="164" fontId="8" fillId="0" borderId="23" xfId="1" applyNumberFormat="1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3" fillId="0" borderId="23" xfId="0" applyFont="1" applyFill="1" applyBorder="1" applyAlignment="1">
      <alignment horizontal="left" vertical="center" wrapText="1"/>
    </xf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26" xfId="0" applyFont="1" applyFill="1" applyBorder="1" applyAlignment="1">
      <alignment horizontal="left"/>
    </xf>
    <xf numFmtId="0" fontId="31" fillId="0" borderId="0" xfId="0" applyFont="1" applyFill="1" applyAlignment="1">
      <alignment horizontal="center" vertical="top"/>
    </xf>
    <xf numFmtId="0" fontId="29" fillId="0" borderId="0" xfId="0" applyFont="1" applyAlignment="1">
      <alignment horizontal="left" vertical="top" wrapText="1"/>
    </xf>
    <xf numFmtId="164" fontId="13" fillId="0" borderId="58" xfId="1" applyNumberFormat="1" applyFont="1" applyFill="1" applyBorder="1" applyAlignment="1">
      <alignment horizontal="center"/>
    </xf>
    <xf numFmtId="164" fontId="13" fillId="0" borderId="59" xfId="1" applyNumberFormat="1" applyFont="1" applyFill="1" applyBorder="1" applyAlignment="1">
      <alignment horizontal="center"/>
    </xf>
    <xf numFmtId="164" fontId="13" fillId="0" borderId="60" xfId="1" applyNumberFormat="1" applyFont="1" applyFill="1" applyBorder="1" applyAlignment="1">
      <alignment horizontal="center"/>
    </xf>
    <xf numFmtId="164" fontId="13" fillId="0" borderId="21" xfId="1" applyNumberFormat="1" applyFont="1" applyFill="1" applyBorder="1" applyAlignment="1">
      <alignment horizontal="center"/>
    </xf>
    <xf numFmtId="164" fontId="13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 applyAlignment="1">
      <alignment horizontal="left" vertical="center" wrapText="1"/>
    </xf>
    <xf numFmtId="0" fontId="19" fillId="0" borderId="23" xfId="0" applyFont="1" applyFill="1" applyBorder="1" applyAlignment="1">
      <alignment horizontal="left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left"/>
    </xf>
    <xf numFmtId="0" fontId="20" fillId="0" borderId="23" xfId="0" applyFont="1" applyFill="1" applyBorder="1" applyAlignment="1">
      <alignment horizontal="left"/>
    </xf>
    <xf numFmtId="0" fontId="20" fillId="0" borderId="25" xfId="0" applyFont="1" applyFill="1" applyBorder="1" applyAlignment="1">
      <alignment horizontal="left"/>
    </xf>
    <xf numFmtId="0" fontId="20" fillId="0" borderId="26" xfId="0" applyFont="1" applyFill="1" applyBorder="1" applyAlignment="1">
      <alignment horizontal="left"/>
    </xf>
    <xf numFmtId="164" fontId="19" fillId="0" borderId="21" xfId="1" applyNumberFormat="1" applyFont="1" applyFill="1" applyBorder="1" applyAlignment="1">
      <alignment horizontal="center"/>
    </xf>
    <xf numFmtId="164" fontId="19" fillId="0" borderId="23" xfId="1" applyNumberFormat="1" applyFont="1" applyFill="1" applyBorder="1" applyAlignment="1">
      <alignment horizontal="center"/>
    </xf>
    <xf numFmtId="0" fontId="19" fillId="0" borderId="23" xfId="0" applyFont="1" applyFill="1" applyBorder="1" applyAlignment="1">
      <alignment horizontal="left" vertical="top" wrapText="1"/>
    </xf>
    <xf numFmtId="164" fontId="19" fillId="0" borderId="35" xfId="1" applyNumberFormat="1" applyFont="1" applyFill="1" applyBorder="1" applyAlignment="1">
      <alignment horizontal="center"/>
    </xf>
    <xf numFmtId="164" fontId="19" fillId="0" borderId="36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19" fillId="0" borderId="51" xfId="1" applyNumberFormat="1" applyFont="1" applyFill="1" applyBorder="1" applyAlignment="1">
      <alignment horizontal="center"/>
    </xf>
    <xf numFmtId="164" fontId="19" fillId="0" borderId="40" xfId="1" applyNumberFormat="1" applyFont="1" applyFill="1" applyBorder="1" applyAlignment="1">
      <alignment horizontal="center"/>
    </xf>
    <xf numFmtId="164" fontId="19" fillId="0" borderId="50" xfId="1" applyNumberFormat="1" applyFont="1" applyFill="1" applyBorder="1" applyAlignment="1">
      <alignment horizontal="center"/>
    </xf>
    <xf numFmtId="164" fontId="19" fillId="0" borderId="33" xfId="1" applyNumberFormat="1" applyFont="1" applyFill="1" applyBorder="1" applyAlignment="1">
      <alignment horizontal="center"/>
    </xf>
    <xf numFmtId="164" fontId="19" fillId="0" borderId="32" xfId="1" applyNumberFormat="1" applyFont="1" applyFill="1" applyBorder="1" applyAlignment="1">
      <alignment horizontal="center"/>
    </xf>
    <xf numFmtId="164" fontId="19" fillId="0" borderId="24" xfId="1" applyNumberFormat="1" applyFont="1" applyFill="1" applyBorder="1" applyAlignment="1">
      <alignment horizontal="center"/>
    </xf>
    <xf numFmtId="0" fontId="0" fillId="0" borderId="40" xfId="0" applyBorder="1"/>
    <xf numFmtId="0" fontId="0" fillId="0" borderId="50" xfId="0" applyBorder="1"/>
    <xf numFmtId="43" fontId="19" fillId="0" borderId="33" xfId="1" applyFont="1" applyFill="1" applyBorder="1" applyAlignment="1">
      <alignment horizontal="center"/>
    </xf>
    <xf numFmtId="43" fontId="19" fillId="0" borderId="32" xfId="1" applyFont="1" applyFill="1" applyBorder="1" applyAlignment="1">
      <alignment horizontal="center"/>
    </xf>
    <xf numFmtId="43" fontId="19" fillId="0" borderId="24" xfId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left" vertical="center" wrapText="1"/>
    </xf>
    <xf numFmtId="164" fontId="22" fillId="0" borderId="51" xfId="1" applyNumberFormat="1" applyFont="1" applyFill="1" applyBorder="1" applyAlignment="1">
      <alignment horizontal="center"/>
    </xf>
    <xf numFmtId="164" fontId="22" fillId="0" borderId="40" xfId="1" applyNumberFormat="1" applyFont="1" applyFill="1" applyBorder="1" applyAlignment="1">
      <alignment horizontal="center"/>
    </xf>
    <xf numFmtId="164" fontId="22" fillId="0" borderId="50" xfId="1" applyNumberFormat="1" applyFont="1" applyFill="1" applyBorder="1" applyAlignment="1">
      <alignment horizontal="center"/>
    </xf>
    <xf numFmtId="164" fontId="22" fillId="0" borderId="33" xfId="1" applyNumberFormat="1" applyFont="1" applyFill="1" applyBorder="1" applyAlignment="1">
      <alignment horizontal="center"/>
    </xf>
    <xf numFmtId="164" fontId="22" fillId="0" borderId="32" xfId="1" applyNumberFormat="1" applyFont="1" applyFill="1" applyBorder="1" applyAlignment="1">
      <alignment horizontal="center"/>
    </xf>
    <xf numFmtId="164" fontId="22" fillId="0" borderId="24" xfId="1" applyNumberFormat="1" applyFont="1" applyFill="1" applyBorder="1" applyAlignment="1">
      <alignment horizontal="center"/>
    </xf>
    <xf numFmtId="0" fontId="21" fillId="0" borderId="23" xfId="0" applyFont="1" applyFill="1" applyBorder="1" applyAlignment="1">
      <alignment horizontal="left" vertical="center" wrapText="1"/>
    </xf>
    <xf numFmtId="0" fontId="22" fillId="0" borderId="33" xfId="0" applyFont="1" applyFill="1" applyBorder="1" applyAlignment="1">
      <alignment horizontal="left" vertical="center" wrapText="1"/>
    </xf>
    <xf numFmtId="0" fontId="22" fillId="0" borderId="24" xfId="0" applyFont="1" applyFill="1" applyBorder="1" applyAlignment="1">
      <alignment horizontal="left" vertical="center" wrapText="1"/>
    </xf>
    <xf numFmtId="164" fontId="8" fillId="0" borderId="51" xfId="1" applyNumberFormat="1" applyFont="1" applyFill="1" applyBorder="1" applyAlignment="1">
      <alignment horizontal="center"/>
    </xf>
    <xf numFmtId="164" fontId="8" fillId="0" borderId="40" xfId="1" applyNumberFormat="1" applyFont="1" applyFill="1" applyBorder="1" applyAlignment="1">
      <alignment horizontal="center"/>
    </xf>
    <xf numFmtId="164" fontId="8" fillId="0" borderId="33" xfId="1" applyNumberFormat="1" applyFont="1" applyFill="1" applyBorder="1" applyAlignment="1">
      <alignment horizontal="center"/>
    </xf>
    <xf numFmtId="164" fontId="8" fillId="0" borderId="35" xfId="1" applyNumberFormat="1" applyFont="1" applyFill="1" applyBorder="1" applyAlignment="1">
      <alignment horizontal="center"/>
    </xf>
    <xf numFmtId="164" fontId="8" fillId="0" borderId="36" xfId="1" applyNumberFormat="1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21" fillId="0" borderId="26" xfId="0" applyFont="1" applyFill="1" applyBorder="1" applyAlignment="1">
      <alignment horizontal="left"/>
    </xf>
    <xf numFmtId="0" fontId="21" fillId="0" borderId="49" xfId="0" applyFont="1" applyFill="1" applyBorder="1" applyAlignment="1">
      <alignment horizontal="center" vertical="center" wrapText="1"/>
    </xf>
    <xf numFmtId="164" fontId="22" fillId="0" borderId="41" xfId="1" applyNumberFormat="1" applyFont="1" applyFill="1" applyBorder="1" applyAlignment="1">
      <alignment horizontal="center"/>
    </xf>
    <xf numFmtId="164" fontId="22" fillId="0" borderId="38" xfId="1" applyNumberFormat="1" applyFont="1" applyFill="1" applyBorder="1" applyAlignment="1">
      <alignment horizontal="center"/>
    </xf>
    <xf numFmtId="164" fontId="22" fillId="0" borderId="35" xfId="1" applyNumberFormat="1" applyFont="1" applyFill="1" applyBorder="1" applyAlignment="1">
      <alignment horizontal="center"/>
    </xf>
    <xf numFmtId="164" fontId="22" fillId="0" borderId="36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43" fontId="22" fillId="0" borderId="33" xfId="1" applyFont="1" applyFill="1" applyBorder="1" applyAlignment="1">
      <alignment horizontal="center"/>
    </xf>
    <xf numFmtId="43" fontId="22" fillId="0" borderId="24" xfId="1" applyFont="1" applyFill="1" applyBorder="1" applyAlignment="1">
      <alignment horizontal="center"/>
    </xf>
    <xf numFmtId="43" fontId="22" fillId="0" borderId="32" xfId="1" applyFont="1" applyFill="1" applyBorder="1" applyAlignment="1">
      <alignment horizontal="center"/>
    </xf>
    <xf numFmtId="43" fontId="22" fillId="0" borderId="38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7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0" fillId="0" borderId="4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164" fontId="0" fillId="0" borderId="21" xfId="1" applyNumberFormat="1" applyFont="1" applyFill="1" applyBorder="1" applyAlignment="1">
      <alignment horizontal="center"/>
    </xf>
    <xf numFmtId="164" fontId="0" fillId="0" borderId="23" xfId="1" applyNumberFormat="1" applyFont="1" applyFill="1" applyBorder="1" applyAlignment="1">
      <alignment horizontal="center"/>
    </xf>
    <xf numFmtId="0" fontId="3" fillId="0" borderId="33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164" fontId="8" fillId="0" borderId="50" xfId="1" applyNumberFormat="1" applyFont="1" applyFill="1" applyBorder="1" applyAlignment="1">
      <alignment horizontal="center"/>
    </xf>
    <xf numFmtId="43" fontId="8" fillId="0" borderId="33" xfId="1" applyFont="1" applyFill="1" applyBorder="1" applyAlignment="1">
      <alignment horizontal="center"/>
    </xf>
    <xf numFmtId="43" fontId="8" fillId="0" borderId="32" xfId="1" applyFont="1" applyFill="1" applyBorder="1" applyAlignment="1">
      <alignment horizontal="center"/>
    </xf>
    <xf numFmtId="43" fontId="8" fillId="0" borderId="24" xfId="1" applyFont="1" applyFill="1" applyBorder="1" applyAlignment="1">
      <alignment horizontal="center"/>
    </xf>
    <xf numFmtId="43" fontId="8" fillId="0" borderId="38" xfId="1" applyFont="1" applyFill="1" applyBorder="1" applyAlignment="1">
      <alignment horizontal="center"/>
    </xf>
    <xf numFmtId="164" fontId="8" fillId="0" borderId="41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wrapText="1"/>
    </xf>
    <xf numFmtId="164" fontId="22" fillId="0" borderId="21" xfId="1" applyNumberFormat="1" applyFont="1" applyFill="1" applyBorder="1" applyAlignment="1">
      <alignment horizontal="center"/>
    </xf>
    <xf numFmtId="164" fontId="22" fillId="0" borderId="23" xfId="1" applyNumberFormat="1" applyFont="1" applyFill="1" applyBorder="1" applyAlignment="1">
      <alignment horizontal="center"/>
    </xf>
    <xf numFmtId="164" fontId="19" fillId="0" borderId="58" xfId="1" applyNumberFormat="1" applyFont="1" applyFill="1" applyBorder="1" applyAlignment="1">
      <alignment horizontal="left" wrapText="1"/>
    </xf>
    <xf numFmtId="164" fontId="19" fillId="0" borderId="59" xfId="1" applyNumberFormat="1" applyFont="1" applyFill="1" applyBorder="1" applyAlignment="1">
      <alignment horizontal="left" wrapText="1"/>
    </xf>
    <xf numFmtId="164" fontId="19" fillId="0" borderId="60" xfId="1" applyNumberFormat="1" applyFont="1" applyFill="1" applyBorder="1" applyAlignment="1">
      <alignment horizontal="left" wrapText="1"/>
    </xf>
    <xf numFmtId="43" fontId="2" fillId="0" borderId="58" xfId="1" applyFont="1" applyFill="1" applyBorder="1" applyAlignment="1">
      <alignment horizontal="center"/>
    </xf>
    <xf numFmtId="43" fontId="2" fillId="0" borderId="60" xfId="1" applyFont="1" applyFill="1" applyBorder="1" applyAlignment="1">
      <alignment horizontal="center"/>
    </xf>
    <xf numFmtId="43" fontId="0" fillId="0" borderId="0" xfId="1" applyFont="1" applyAlignment="1">
      <alignment horizontal="left"/>
    </xf>
    <xf numFmtId="0" fontId="0" fillId="0" borderId="65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43" fontId="0" fillId="0" borderId="65" xfId="1" applyFont="1" applyFill="1" applyBorder="1" applyAlignment="1">
      <alignment horizontal="center"/>
    </xf>
    <xf numFmtId="43" fontId="0" fillId="0" borderId="49" xfId="1" applyFont="1" applyFill="1" applyBorder="1" applyAlignment="1">
      <alignment horizontal="center"/>
    </xf>
    <xf numFmtId="164" fontId="0" fillId="0" borderId="68" xfId="1" applyNumberFormat="1" applyFont="1" applyFill="1" applyBorder="1" applyAlignment="1">
      <alignment horizontal="center"/>
    </xf>
    <xf numFmtId="164" fontId="0" fillId="0" borderId="62" xfId="1" applyNumberFormat="1" applyFont="1" applyFill="1" applyBorder="1" applyAlignment="1">
      <alignment horizontal="center"/>
    </xf>
    <xf numFmtId="164" fontId="0" fillId="0" borderId="69" xfId="1" applyNumberFormat="1" applyFont="1" applyFill="1" applyBorder="1" applyAlignment="1">
      <alignment horizontal="center"/>
    </xf>
    <xf numFmtId="43" fontId="0" fillId="0" borderId="51" xfId="1" applyFont="1" applyBorder="1" applyAlignment="1">
      <alignment horizontal="center"/>
    </xf>
    <xf numFmtId="43" fontId="0" fillId="0" borderId="40" xfId="1" applyFont="1" applyBorder="1" applyAlignment="1">
      <alignment horizontal="center"/>
    </xf>
    <xf numFmtId="43" fontId="0" fillId="0" borderId="50" xfId="1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4" fillId="0" borderId="20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 wrapText="1"/>
    </xf>
    <xf numFmtId="0" fontId="14" fillId="0" borderId="59" xfId="0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 wrapText="1"/>
    </xf>
    <xf numFmtId="0" fontId="14" fillId="0" borderId="66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5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left" vertical="center"/>
    </xf>
    <xf numFmtId="0" fontId="14" fillId="0" borderId="67" xfId="0" applyFont="1" applyFill="1" applyBorder="1" applyAlignment="1">
      <alignment horizontal="center"/>
    </xf>
    <xf numFmtId="0" fontId="14" fillId="0" borderId="5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41" fontId="0" fillId="0" borderId="58" xfId="2" applyFont="1" applyBorder="1" applyAlignment="1">
      <alignment horizontal="center"/>
    </xf>
    <xf numFmtId="41" fontId="0" fillId="0" borderId="60" xfId="2" applyFont="1" applyBorder="1" applyAlignment="1">
      <alignment horizontal="center"/>
    </xf>
    <xf numFmtId="0" fontId="14" fillId="0" borderId="58" xfId="0" applyFont="1" applyFill="1" applyBorder="1" applyAlignment="1">
      <alignment horizontal="center"/>
    </xf>
    <xf numFmtId="0" fontId="14" fillId="0" borderId="59" xfId="0" applyFont="1" applyFill="1" applyBorder="1" applyAlignment="1">
      <alignment horizontal="center"/>
    </xf>
    <xf numFmtId="0" fontId="14" fillId="0" borderId="60" xfId="0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33" xfId="0" applyFill="1" applyBorder="1" applyAlignment="1">
      <alignment horizontal="left" wrapText="1"/>
    </xf>
    <xf numFmtId="0" fontId="0" fillId="0" borderId="24" xfId="0" applyFill="1" applyBorder="1" applyAlignment="1">
      <alignment horizontal="left" wrapText="1"/>
    </xf>
    <xf numFmtId="0" fontId="22" fillId="3" borderId="22" xfId="0" applyFont="1" applyFill="1" applyBorder="1"/>
    <xf numFmtId="0" fontId="22" fillId="3" borderId="23" xfId="0" applyFont="1" applyFill="1" applyBorder="1"/>
    <xf numFmtId="164" fontId="22" fillId="3" borderId="23" xfId="1" applyNumberFormat="1" applyFont="1" applyFill="1" applyBorder="1"/>
    <xf numFmtId="164" fontId="8" fillId="3" borderId="36" xfId="1" applyNumberFormat="1" applyFont="1" applyFill="1" applyBorder="1"/>
  </cellXfs>
  <cellStyles count="6">
    <cellStyle name="Comma" xfId="1" builtinId="3"/>
    <cellStyle name="Comma [0]" xfId="2" builtinId="6"/>
    <cellStyle name="Normal" xfId="0" builtinId="0"/>
    <cellStyle name="Normal 3" xfId="3"/>
    <cellStyle name="Normal 7" xfId="5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5.xml"/><Relationship Id="rId50" Type="http://schemas.openxmlformats.org/officeDocument/2006/relationships/externalLink" Target="externalLinks/externalLink8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3" Type="http://schemas.openxmlformats.org/officeDocument/2006/relationships/externalLink" Target="externalLinks/externalLink11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7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52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externalLink" Target="externalLinks/externalLink6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9.xml"/><Relationship Id="rId3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stacked"/>
        <c:ser>
          <c:idx val="0"/>
          <c:order val="0"/>
          <c:cat>
            <c:strRef>
              <c:f>('[1]LABA RUGI'!$H$5,'[1]LABA RUGI'!$J$5,'[1]LABA RUGI'!$L$5,'[1]LABA RUGI'!$N$5,'[1]LABA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('[1]LABA RUGI'!$H$50,'[1]LABA RUGI'!$J$50,'[1]LABA RUGI'!$L$50,'[1]LABA RUGI'!$N$50,'[1]LABA RUGI'!$P$50)</c:f>
              <c:numCache>
                <c:formatCode>General</c:formatCode>
                <c:ptCount val="5"/>
                <c:pt idx="0">
                  <c:v>38452695455.599998</c:v>
                </c:pt>
                <c:pt idx="1">
                  <c:v>29731872002.205727</c:v>
                </c:pt>
                <c:pt idx="2">
                  <c:v>19967208468.459999</c:v>
                </c:pt>
                <c:pt idx="3">
                  <c:v>18097437169.549999</c:v>
                </c:pt>
                <c:pt idx="4">
                  <c:v>18043294318</c:v>
                </c:pt>
              </c:numCache>
            </c:numRef>
          </c:val>
        </c:ser>
        <c:overlap val="100"/>
        <c:axId val="69053440"/>
        <c:axId val="69055232"/>
      </c:barChart>
      <c:catAx>
        <c:axId val="690534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9055232"/>
        <c:crosses val="autoZero"/>
        <c:auto val="1"/>
        <c:lblAlgn val="ctr"/>
        <c:lblOffset val="100"/>
      </c:catAx>
      <c:valAx>
        <c:axId val="690552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9053440"/>
        <c:crosses val="autoZero"/>
        <c:crossBetween val="between"/>
      </c:valAx>
    </c:plotArea>
    <c:legend>
      <c:legendPos val="r"/>
      <c:txPr>
        <a:bodyPr/>
        <a:lstStyle/>
        <a:p>
          <a:pPr rtl="0"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PROYEKSI PENERIMAAN DAN PENGELUARAN RS. SITI KHODIJAH TH. 2016 - 2020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'REKAP 2016 SD 2020'!$J$27</c:f>
              <c:strCache>
                <c:ptCount val="1"/>
                <c:pt idx="0">
                  <c:v>JUMLAH PENERIMAAN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2020'!$D$27,'REKAP 2016 SD 2020'!$E$27,'REKAP 2016 SD 2020'!$F$27,'REKAP 2016 SD 2020'!$G$27,'REKAP 2016 SD 2020'!$H$27)</c:f>
              <c:numCache>
                <c:formatCode>_(* #,##0_);_(* \(#,##0\);_(* "-"??_);_(@_)</c:formatCode>
                <c:ptCount val="5"/>
                <c:pt idx="0">
                  <c:v>59167364167.551773</c:v>
                </c:pt>
                <c:pt idx="1">
                  <c:v>74936075893.300934</c:v>
                </c:pt>
                <c:pt idx="2">
                  <c:v>85753765926.108856</c:v>
                </c:pt>
                <c:pt idx="3">
                  <c:v>101845216814.31465</c:v>
                </c:pt>
                <c:pt idx="4">
                  <c:v>132424093038.35785</c:v>
                </c:pt>
              </c:numCache>
            </c:numRef>
          </c:val>
        </c:ser>
        <c:ser>
          <c:idx val="1"/>
          <c:order val="1"/>
          <c:tx>
            <c:strRef>
              <c:f>'REKAP 2016 SD 2020'!$J$28</c:f>
              <c:strCache>
                <c:ptCount val="1"/>
                <c:pt idx="0">
                  <c:v>JUMLAH PENGELUARAN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2020'!$D$138,'REKAP 2016 SD 2020'!$E$138,'REKAP 2016 SD 2020'!$F$138,'REKAP 2016 SD 2020'!$G$138,'REKAP 2016 SD 2020'!$H$138)</c:f>
              <c:numCache>
                <c:formatCode>_(* #,##0_);_(* \(#,##0\);_(* "-"??_);_(@_)</c:formatCode>
                <c:ptCount val="5"/>
                <c:pt idx="0">
                  <c:v>59518011109.540001</c:v>
                </c:pt>
                <c:pt idx="1">
                  <c:v>75065480704.035156</c:v>
                </c:pt>
                <c:pt idx="2">
                  <c:v>84652322962.068848</c:v>
                </c:pt>
                <c:pt idx="3">
                  <c:v>101557381194.9269</c:v>
                </c:pt>
                <c:pt idx="4">
                  <c:v>133476334275.5905</c:v>
                </c:pt>
              </c:numCache>
            </c:numRef>
          </c:val>
        </c:ser>
        <c:ser>
          <c:idx val="2"/>
          <c:order val="2"/>
          <c:tx>
            <c:strRef>
              <c:f>'REKAP 2016 SD 2020'!$J$29</c:f>
              <c:strCache>
                <c:ptCount val="1"/>
                <c:pt idx="0">
                  <c:v>SALDO AKHIR (C-D)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2020'!$D$140,'REKAP 2016 SD 2020'!$E$140,'REKAP 2016 SD 2020'!$F$140,'REKAP 2016 SD 2020'!$G$140,'REKAP 2016 SD 2020'!$H$140)</c:f>
              <c:numCache>
                <c:formatCode>_(* #,##0_);_(* \(#,##0\);_(* "-"??_);_(@_)</c:formatCode>
                <c:ptCount val="5"/>
                <c:pt idx="0">
                  <c:v>158455851.49249268</c:v>
                </c:pt>
                <c:pt idx="1">
                  <c:v>29051040.758270264</c:v>
                </c:pt>
                <c:pt idx="2">
                  <c:v>1130494004.7982788</c:v>
                </c:pt>
                <c:pt idx="3">
                  <c:v>1418329624.1860352</c:v>
                </c:pt>
                <c:pt idx="4">
                  <c:v>366088386.9533844</c:v>
                </c:pt>
              </c:numCache>
            </c:numRef>
          </c:val>
        </c:ser>
        <c:dLbls>
          <c:showVal val="1"/>
        </c:dLbls>
        <c:gapWidth val="444"/>
        <c:overlap val="-90"/>
        <c:axId val="88772608"/>
        <c:axId val="88774144"/>
      </c:barChart>
      <c:catAx>
        <c:axId val="887726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4144"/>
        <c:crosses val="autoZero"/>
        <c:auto val="1"/>
        <c:lblAlgn val="ctr"/>
        <c:lblOffset val="100"/>
      </c:catAx>
      <c:valAx>
        <c:axId val="8877414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887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2016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2016'!$B$27:$C$27,'CF 2016'!$A$131:$C$131,'CF 2016'!$A$133:$C$133)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2016'!$P$27,'CF 2016'!$P$131,'CF 2016'!$P$133)</c:f>
              <c:numCache>
                <c:formatCode>_(* #,##0_);_(* \(#,##0\);_(* "-"??_);_(@_)</c:formatCode>
                <c:ptCount val="3"/>
                <c:pt idx="0">
                  <c:v>59167364167.551781</c:v>
                </c:pt>
                <c:pt idx="1">
                  <c:v>59518011109.539993</c:v>
                </c:pt>
                <c:pt idx="2">
                  <c:v>158455851.49250793</c:v>
                </c:pt>
              </c:numCache>
            </c:numRef>
          </c:val>
        </c:ser>
        <c:dLbls>
          <c:showVal val="1"/>
        </c:dLbls>
        <c:gapWidth val="199"/>
        <c:axId val="88846336"/>
        <c:axId val="88847872"/>
      </c:barChart>
      <c:catAx>
        <c:axId val="888463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7872"/>
        <c:crosses val="autoZero"/>
        <c:auto val="1"/>
        <c:lblAlgn val="ctr"/>
        <c:lblOffset val="100"/>
      </c:catAx>
      <c:valAx>
        <c:axId val="88847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2016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2016'!$B$27:$C$27,'CF 2016'!$A$131:$C$131,'CF 2016'!$A$133:$C$133)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2016'!$P$27,'CF 2016'!$P$131,'CF 2016'!$P$133)</c:f>
              <c:numCache>
                <c:formatCode>_(* #,##0_);_(* \(#,##0\);_(* "-"??_);_(@_)</c:formatCode>
                <c:ptCount val="3"/>
                <c:pt idx="0">
                  <c:v>59167364167.551781</c:v>
                </c:pt>
                <c:pt idx="1">
                  <c:v>59518011109.539993</c:v>
                </c:pt>
                <c:pt idx="2">
                  <c:v>158455851.49250793</c:v>
                </c:pt>
              </c:numCache>
            </c:numRef>
          </c:val>
        </c:ser>
        <c:dLbls>
          <c:showVal val="1"/>
        </c:dLbls>
        <c:gapWidth val="199"/>
        <c:axId val="88644992"/>
        <c:axId val="88654976"/>
      </c:barChart>
      <c:catAx>
        <c:axId val="886449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54976"/>
        <c:crosses val="autoZero"/>
        <c:auto val="1"/>
        <c:lblAlgn val="ctr"/>
        <c:lblOffset val="100"/>
      </c:catAx>
      <c:valAx>
        <c:axId val="88654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2017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2017'!$B$27:$C$27,'CF 2017'!$A$118:$C$118,'CF 2017'!$A$120:$C$120)</c:f>
              <c:strCache>
                <c:ptCount val="2"/>
                <c:pt idx="0">
                  <c:v>JUMLAH PENGELUARAN </c:v>
                </c:pt>
                <c:pt idx="1">
                  <c:v>SALDO AKHIR ( C-D )</c:v>
                </c:pt>
              </c:strCache>
            </c:strRef>
          </c:cat>
          <c:val>
            <c:numRef>
              <c:f>('CF 2017'!$P$27,'CF 2017'!$P$118,'CF 2017'!$P$120)</c:f>
              <c:numCache>
                <c:formatCode>_(* #,##0_);_(* \(#,##0\);_(* "-"??_);_(@_)</c:formatCode>
                <c:ptCount val="2"/>
                <c:pt idx="0">
                  <c:v>75065480704.035172</c:v>
                </c:pt>
                <c:pt idx="1">
                  <c:v>29051040.758255005</c:v>
                </c:pt>
              </c:numCache>
            </c:numRef>
          </c:val>
        </c:ser>
        <c:dLbls>
          <c:showVal val="1"/>
        </c:dLbls>
        <c:gapWidth val="199"/>
        <c:axId val="89094784"/>
        <c:axId val="89100672"/>
      </c:barChart>
      <c:catAx>
        <c:axId val="890947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0672"/>
        <c:crosses val="autoZero"/>
        <c:auto val="1"/>
        <c:lblAlgn val="ctr"/>
        <c:lblOffset val="100"/>
      </c:catAx>
      <c:valAx>
        <c:axId val="89100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2018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2016'!$B$27:$C$27,'CF 2016'!$A$131:$C$131,'CF 2016'!$A$133:$C$133)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2018'!$P$23,'CF 2018'!$P$111,'CF 2018'!$P$113)</c:f>
              <c:numCache>
                <c:formatCode>_(* #,##0_);_(* \(#,##0\);_(* "-"??_);_(@_)</c:formatCode>
                <c:ptCount val="3"/>
                <c:pt idx="0">
                  <c:v>85753765926.108856</c:v>
                </c:pt>
                <c:pt idx="1">
                  <c:v>84652322962.068848</c:v>
                </c:pt>
                <c:pt idx="2">
                  <c:v>1130494004.7982788</c:v>
                </c:pt>
              </c:numCache>
            </c:numRef>
          </c:val>
        </c:ser>
        <c:dLbls>
          <c:showVal val="1"/>
        </c:dLbls>
        <c:gapWidth val="199"/>
        <c:axId val="89381504"/>
        <c:axId val="89383296"/>
      </c:barChart>
      <c:catAx>
        <c:axId val="893815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3296"/>
        <c:crosses val="autoZero"/>
        <c:auto val="1"/>
        <c:lblAlgn val="ctr"/>
        <c:lblOffset val="100"/>
      </c:catAx>
      <c:valAx>
        <c:axId val="89383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2019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2019'!$B$22:$C$22,'CF 2019'!$A$117:$C$117,'CF 2019'!$A$119:$C$119)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2019'!$P$22,'CF 2019'!$P$117,'CF 2019'!$P$119)</c:f>
              <c:numCache>
                <c:formatCode>_(* #,##0_);_(* \(#,##0\);_(* "-"??_);_(@_)</c:formatCode>
                <c:ptCount val="3"/>
                <c:pt idx="0">
                  <c:v>101845216814.31465</c:v>
                </c:pt>
                <c:pt idx="1">
                  <c:v>101557381194.9269</c:v>
                </c:pt>
                <c:pt idx="2">
                  <c:v>1418329624.1860352</c:v>
                </c:pt>
              </c:numCache>
            </c:numRef>
          </c:val>
        </c:ser>
        <c:dLbls>
          <c:showVal val="1"/>
        </c:dLbls>
        <c:gapWidth val="199"/>
        <c:axId val="91011328"/>
        <c:axId val="91025408"/>
      </c:barChart>
      <c:catAx>
        <c:axId val="910113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5408"/>
        <c:crosses val="autoZero"/>
        <c:auto val="1"/>
        <c:lblAlgn val="ctr"/>
        <c:lblOffset val="100"/>
      </c:catAx>
      <c:valAx>
        <c:axId val="91025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2020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2020'!$B$22:$C$22,'CF 2020'!$A$118:$C$118,'CF 2020'!$A$120:$C$120)</c:f>
              <c:strCache>
                <c:ptCount val="3"/>
                <c:pt idx="0">
                  <c:v>JUMLAH PENERIMAAN</c:v>
                </c:pt>
                <c:pt idx="1">
                  <c:v>JUMLAH PENGELUARAN</c:v>
                </c:pt>
                <c:pt idx="2">
                  <c:v>SALDO AKHIR ( C-D )</c:v>
                </c:pt>
              </c:strCache>
            </c:strRef>
          </c:cat>
          <c:val>
            <c:numRef>
              <c:f>('CF 2020'!$P$22,'CF 2020'!$P$118,'CF 2020'!$P$120)</c:f>
            </c:numRef>
          </c:val>
        </c:ser>
        <c:dLbls>
          <c:showVal val="1"/>
        </c:dLbls>
        <c:gapWidth val="199"/>
        <c:axId val="91784320"/>
        <c:axId val="91785856"/>
      </c:barChart>
      <c:catAx>
        <c:axId val="917843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5856"/>
        <c:crosses val="autoZero"/>
        <c:auto val="1"/>
        <c:lblAlgn val="ctr"/>
        <c:lblOffset val="100"/>
      </c:catAx>
      <c:valAx>
        <c:axId val="91785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2017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2017'!$B$27:$C$27,'CF 2017'!$A$118:$C$118,'CF 2017'!$A$120:$C$120)</c:f>
              <c:strCache>
                <c:ptCount val="2"/>
                <c:pt idx="0">
                  <c:v>JUMLAH PENGELUARAN </c:v>
                </c:pt>
                <c:pt idx="1">
                  <c:v>SALDO AKHIR ( C-D )</c:v>
                </c:pt>
              </c:strCache>
            </c:strRef>
          </c:cat>
          <c:val>
            <c:numRef>
              <c:f>('CF 2017'!$P$27,'CF 2017'!$P$118,'CF 2017'!$P$120)</c:f>
              <c:numCache>
                <c:formatCode>_(* #,##0_);_(* \(#,##0\);_(* "-"??_);_(@_)</c:formatCode>
                <c:ptCount val="2"/>
                <c:pt idx="0">
                  <c:v>75065480704.035172</c:v>
                </c:pt>
                <c:pt idx="1">
                  <c:v>29051040.758255005</c:v>
                </c:pt>
              </c:numCache>
            </c:numRef>
          </c:val>
        </c:ser>
        <c:dLbls>
          <c:showVal val="1"/>
        </c:dLbls>
        <c:gapWidth val="199"/>
        <c:axId val="92094848"/>
        <c:axId val="92096384"/>
      </c:barChart>
      <c:catAx>
        <c:axId val="920948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6384"/>
        <c:crosses val="autoZero"/>
        <c:auto val="1"/>
        <c:lblAlgn val="ctr"/>
        <c:lblOffset val="100"/>
      </c:catAx>
      <c:valAx>
        <c:axId val="92096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Cash Flow 2016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('CF 2016'!$B$27:$C$27,'CF 2016'!$A$131:$C$131,'CF 2016'!$A$133:$C$133)</c:f>
              <c:strCache>
                <c:ptCount val="3"/>
                <c:pt idx="0">
                  <c:v>JUMLAH PENERIMAAN</c:v>
                </c:pt>
                <c:pt idx="1">
                  <c:v>JUMLAH PENGELUARAN </c:v>
                </c:pt>
                <c:pt idx="2">
                  <c:v>SALDO AKHIR ( C-D )</c:v>
                </c:pt>
              </c:strCache>
            </c:strRef>
          </c:cat>
          <c:val>
            <c:numRef>
              <c:f>('CF 2016'!$P$27,'CF 2016'!$P$131,'CF 2016'!$P$133)</c:f>
              <c:numCache>
                <c:formatCode>_(* #,##0_);_(* \(#,##0\);_(* "-"??_);_(@_)</c:formatCode>
                <c:ptCount val="3"/>
                <c:pt idx="0">
                  <c:v>59167364167.551781</c:v>
                </c:pt>
                <c:pt idx="1">
                  <c:v>59518011109.539993</c:v>
                </c:pt>
                <c:pt idx="2">
                  <c:v>158455851.49250793</c:v>
                </c:pt>
              </c:numCache>
            </c:numRef>
          </c:val>
        </c:ser>
        <c:dLbls>
          <c:showVal val="1"/>
        </c:dLbls>
        <c:gapWidth val="199"/>
        <c:axId val="92225536"/>
        <c:axId val="92227072"/>
      </c:barChart>
      <c:catAx>
        <c:axId val="92225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7072"/>
        <c:crosses val="autoZero"/>
        <c:auto val="1"/>
        <c:lblAlgn val="ctr"/>
        <c:lblOffset val="100"/>
      </c:catAx>
      <c:valAx>
        <c:axId val="92227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PENGELUARAN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('[1]LABA RUGI'!$H$5,'[1]LABA RUGI'!$J$5,'[1]LABA RUGI'!$L$5,'[1]LABA RUGI'!$N$5,'[1]LABA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('[1]LABA RUGI'!$H$52,'[1]LABA RUGI'!$J$52,'[1]LABA RUGI'!$L$52,'[1]LABA RUGI'!$N$52,'[1]LABA RUGI'!$P$52)</c:f>
              <c:numCache>
                <c:formatCode>General</c:formatCode>
                <c:ptCount val="5"/>
                <c:pt idx="0">
                  <c:v>-34228465735.494667</c:v>
                </c:pt>
                <c:pt idx="1">
                  <c:v>-24186403601.869999</c:v>
                </c:pt>
                <c:pt idx="2">
                  <c:v>-20332135449.669998</c:v>
                </c:pt>
                <c:pt idx="3">
                  <c:v>-17622374339.200001</c:v>
                </c:pt>
                <c:pt idx="4">
                  <c:v>-17322938676.779999</c:v>
                </c:pt>
              </c:numCache>
            </c:numRef>
          </c:val>
        </c:ser>
        <c:axId val="68829184"/>
        <c:axId val="68830720"/>
      </c:barChart>
      <c:catAx>
        <c:axId val="68829184"/>
        <c:scaling>
          <c:orientation val="minMax"/>
        </c:scaling>
        <c:axPos val="b"/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8830720"/>
        <c:crosses val="autoZero"/>
        <c:auto val="1"/>
        <c:lblAlgn val="ctr"/>
        <c:lblOffset val="100"/>
      </c:catAx>
      <c:valAx>
        <c:axId val="688307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8829184"/>
        <c:crosses val="autoZero"/>
        <c:crossBetween val="between"/>
      </c:valAx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LABA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50000"/>
                </a:schemeClr>
              </a:solidFill>
            </c:spPr>
          </c:dPt>
          <c:dPt>
            <c:idx val="3"/>
            <c:spPr>
              <a:solidFill>
                <a:schemeClr val="accent5">
                  <a:lumMod val="50000"/>
                </a:schemeClr>
              </a:solidFill>
            </c:spPr>
          </c:dPt>
          <c:dPt>
            <c:idx val="4"/>
            <c:spPr>
              <a:solidFill>
                <a:srgbClr val="0070C0"/>
              </a:solidFill>
            </c:spPr>
          </c:dPt>
          <c:cat>
            <c:strRef>
              <c:f>('LABA RUGI'!$H$5,'LABA RUGI'!$J$5,'LABA RUGI'!$L$5,'LABA RUGI'!$N$5,'LABA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('LABA RUGI'!$H$42,'LABA RUGI'!$J$42,'LABA RUGI'!$L$42,'LABA RUGI'!$N$42,'LABA RUGI'!$P$42)</c:f>
              <c:numCache>
                <c:formatCode>_(* #,##0_);_(* \(#,##0\);_(* "-"??_);_(@_)</c:formatCode>
                <c:ptCount val="5"/>
                <c:pt idx="0">
                  <c:v>4224229720.1053386</c:v>
                </c:pt>
                <c:pt idx="1">
                  <c:v>5605703431.0657272</c:v>
                </c:pt>
                <c:pt idx="2">
                  <c:v>-334907165.02000099</c:v>
                </c:pt>
                <c:pt idx="3">
                  <c:v>477098274.85999948</c:v>
                </c:pt>
                <c:pt idx="4">
                  <c:v>722134739.21999931</c:v>
                </c:pt>
              </c:numCache>
            </c:numRef>
          </c:val>
        </c:ser>
        <c:axId val="68856832"/>
        <c:axId val="68858624"/>
      </c:barChart>
      <c:catAx>
        <c:axId val="6885683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8858624"/>
        <c:crosses val="autoZero"/>
        <c:auto val="1"/>
        <c:lblAlgn val="ctr"/>
        <c:lblOffset val="100"/>
      </c:catAx>
      <c:valAx>
        <c:axId val="68858624"/>
        <c:scaling>
          <c:orientation val="minMax"/>
        </c:scaling>
        <c:axPos val="l"/>
        <c:majorGridlines/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68856832"/>
        <c:crosses val="autoZero"/>
        <c:crossBetween val="between"/>
      </c:valAx>
    </c:plotArea>
    <c:legend>
      <c:legendPos val="r"/>
      <c:txPr>
        <a:bodyPr/>
        <a:lstStyle/>
        <a:p>
          <a:pPr rtl="0"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LABA RUGI TAHUN 2011 s/d TAHUN 2015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v>LABA</c:v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('LABA RUGI'!$H$5,'LABA RUGI'!$J$5,'LABA RUGI'!$L$5,'LABA RUGI'!$N$5,'LABA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('LABA RUGI'!$H$42,'LABA RUGI'!$J$42,'LABA RUGI'!$L$42,'LABA RUGI'!$N$42,'LABA RUGI'!$P$42)</c:f>
              <c:numCache>
                <c:formatCode>_(* #,##0_);_(* \(#,##0\);_(* "-"??_);_(@_)</c:formatCode>
                <c:ptCount val="5"/>
                <c:pt idx="0">
                  <c:v>4224229720.1053386</c:v>
                </c:pt>
                <c:pt idx="1">
                  <c:v>5605703431.0657272</c:v>
                </c:pt>
                <c:pt idx="2">
                  <c:v>-334907165.02000099</c:v>
                </c:pt>
                <c:pt idx="3">
                  <c:v>477098274.85999948</c:v>
                </c:pt>
                <c:pt idx="4">
                  <c:v>722134739.21999931</c:v>
                </c:pt>
              </c:numCache>
            </c:numRef>
          </c:val>
        </c:ser>
        <c:ser>
          <c:idx val="1"/>
          <c:order val="1"/>
          <c:tx>
            <c:v>PENDAPATAN</c:v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('[1]LABA RUGI'!$H$5,'[1]LABA RUGI'!$J$5,'[1]LABA RUGI'!$L$5,'[1]LABA RUGI'!$N$5,'[1]LABA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('[1]LABA RUGI'!$H$50,'[1]LABA RUGI'!$J$50,'[1]LABA RUGI'!$L$50,'[1]LABA RUGI'!$N$50,'[1]LABA RUGI'!$P$50)</c:f>
              <c:numCache>
                <c:formatCode>General</c:formatCode>
                <c:ptCount val="5"/>
                <c:pt idx="0">
                  <c:v>38452695455.599998</c:v>
                </c:pt>
                <c:pt idx="1">
                  <c:v>29731872002.205727</c:v>
                </c:pt>
                <c:pt idx="2">
                  <c:v>19967208468.459999</c:v>
                </c:pt>
                <c:pt idx="3">
                  <c:v>18097437169.549999</c:v>
                </c:pt>
                <c:pt idx="4">
                  <c:v>18043294318</c:v>
                </c:pt>
              </c:numCache>
            </c:numRef>
          </c:val>
        </c:ser>
        <c:ser>
          <c:idx val="2"/>
          <c:order val="2"/>
          <c:tx>
            <c:v>PENGELUARAN</c:v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('[1]LABA RUGI'!$H$5,'[1]LABA RUGI'!$J$5,'[1]LABA RUGI'!$L$5,'[1]LABA RUGI'!$N$5,'[1]LABA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('[1]LABA RUGI'!$H$52,'[1]LABA RUGI'!$J$52,'[1]LABA RUGI'!$L$52,'[1]LABA RUGI'!$N$52,'[1]LABA RUGI'!$P$52)</c:f>
              <c:numCache>
                <c:formatCode>General</c:formatCode>
                <c:ptCount val="5"/>
                <c:pt idx="0">
                  <c:v>-34228465735.494667</c:v>
                </c:pt>
                <c:pt idx="1">
                  <c:v>-24186403601.869999</c:v>
                </c:pt>
                <c:pt idx="2">
                  <c:v>-20332135449.669998</c:v>
                </c:pt>
                <c:pt idx="3">
                  <c:v>-17622374339.200001</c:v>
                </c:pt>
                <c:pt idx="4">
                  <c:v>-17322938676.779999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Val val="1"/>
        </c:dLbls>
        <c:gapWidth val="219"/>
        <c:overlap val="100"/>
        <c:axId val="80871424"/>
        <c:axId val="80872960"/>
      </c:barChart>
      <c:catAx>
        <c:axId val="80871424"/>
        <c:scaling>
          <c:orientation val="minMax"/>
        </c:scaling>
        <c:axPos val="b"/>
        <c:numFmt formatCode="General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2960"/>
        <c:crosses val="autoZero"/>
        <c:auto val="1"/>
        <c:lblAlgn val="ctr"/>
        <c:lblOffset val="100"/>
      </c:catAx>
      <c:valAx>
        <c:axId val="80872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66772290806333"/>
          <c:y val="0.9075846903867707"/>
          <c:w val="0.77618848995333189"/>
          <c:h val="5.051055219770186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LABA RUGI TAHUN 2011 s/d TAHUN 2015</a:t>
            </a:r>
            <a:endParaRPr lang="id-ID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6111111111111212E-2"/>
          <c:y val="0.17474672637347641"/>
          <c:w val="0.93888888888889088"/>
          <c:h val="0.78969054122325066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2"/>
              <c:layout>
                <c:manualLayout>
                  <c:x val="-2.7777777777778525E-3"/>
                  <c:y val="9.7797514109000824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('LABA RUGI'!$H$5,'LABA RUGI'!$J$5,'LABA RUGI'!$L$5,'LABA RUGI'!$N$5,'LABA RUGI'!$P$5)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('LABA RUGI'!$H$42,'LABA RUGI'!$J$42,'LABA RUGI'!$L$42,'LABA RUGI'!$N$42,'LABA RUGI'!$P$42)</c:f>
              <c:numCache>
                <c:formatCode>_(* #,##0_);_(* \(#,##0\);_(* "-"??_);_(@_)</c:formatCode>
                <c:ptCount val="5"/>
                <c:pt idx="0">
                  <c:v>4224229720.1053386</c:v>
                </c:pt>
                <c:pt idx="1">
                  <c:v>5605703431.0657272</c:v>
                </c:pt>
                <c:pt idx="2">
                  <c:v>-334907165.02000099</c:v>
                </c:pt>
                <c:pt idx="3">
                  <c:v>477098274.85999948</c:v>
                </c:pt>
                <c:pt idx="4">
                  <c:v>722134739.21999931</c:v>
                </c:pt>
              </c:numCache>
            </c:numRef>
          </c:val>
        </c:ser>
        <c:dLbls>
          <c:showVal val="1"/>
        </c:dLbls>
        <c:overlap val="-25"/>
        <c:axId val="80913920"/>
        <c:axId val="80915456"/>
      </c:barChart>
      <c:catAx>
        <c:axId val="809139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5456"/>
        <c:crosses val="autoZero"/>
        <c:auto val="1"/>
        <c:lblAlgn val="ctr"/>
        <c:lblOffset val="100"/>
      </c:catAx>
      <c:valAx>
        <c:axId val="809154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809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id-ID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FLOW'!$D$7:$G$7</c:f>
              <c:numCache>
                <c:formatCode>_(* #,##0_);_(* \(#,##0\);_(* "-"??_);_(@_)</c:formatCode>
                <c:ptCount val="4"/>
              </c:numCache>
            </c:numRef>
          </c:val>
        </c:ser>
        <c:ser>
          <c:idx val="1"/>
          <c:order val="1"/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FLOW'!$D$8:$G$8</c:f>
              <c:numCache>
                <c:formatCode>_(* #,##0_);_(* \(#,##0\);_(* "-"??_);_(@_)</c:formatCode>
                <c:ptCount val="4"/>
              </c:numCache>
            </c:numRef>
          </c:val>
        </c:ser>
        <c:ser>
          <c:idx val="2"/>
          <c:order val="2"/>
          <c:tx>
            <c:v>PENERIMAAN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FLOW'!$D$26:$G$26</c:f>
              <c:numCache>
                <c:formatCode>_(* #,##0_);_(* \(#,##0\);_(* "-"??_);_(@_)</c:formatCode>
                <c:ptCount val="4"/>
                <c:pt idx="0">
                  <c:v>51283899227.304123</c:v>
                </c:pt>
                <c:pt idx="1">
                  <c:v>51857960135.125755</c:v>
                </c:pt>
                <c:pt idx="2">
                  <c:v>54786964955.755157</c:v>
                </c:pt>
                <c:pt idx="3">
                  <c:v>64840489686.550262</c:v>
                </c:pt>
              </c:numCache>
            </c:numRef>
          </c:val>
        </c:ser>
        <c:ser>
          <c:idx val="3"/>
          <c:order val="3"/>
          <c:tx>
            <c:v>PENGELUARAN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FLOW'!$D$128:$G$128</c:f>
              <c:numCache>
                <c:formatCode>_(* #,##0_);_(* \(#,##0\);_(* "-"??_);_(@_)</c:formatCode>
                <c:ptCount val="4"/>
                <c:pt idx="0">
                  <c:v>54608545493.540001</c:v>
                </c:pt>
                <c:pt idx="1">
                  <c:v>78688364624.435577</c:v>
                </c:pt>
                <c:pt idx="2">
                  <c:v>72421920848.289612</c:v>
                </c:pt>
                <c:pt idx="3">
                  <c:v>62508384376.244553</c:v>
                </c:pt>
              </c:numCache>
            </c:numRef>
          </c:val>
        </c:ser>
        <c:ser>
          <c:idx val="4"/>
          <c:order val="4"/>
          <c:tx>
            <c:v>SELISIH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FLOW'!$D$130:$G$130</c:f>
              <c:numCache>
                <c:formatCode>_(* #,##0_);_(* \(#,##0\);_(* "-"??_);_(@_)</c:formatCode>
                <c:ptCount val="4"/>
                <c:pt idx="0">
                  <c:v>-2815543472.7551575</c:v>
                </c:pt>
                <c:pt idx="1">
                  <c:v>-26830404489.309822</c:v>
                </c:pt>
                <c:pt idx="2">
                  <c:v>-17634955892.534454</c:v>
                </c:pt>
                <c:pt idx="3">
                  <c:v>2332105310.3057098</c:v>
                </c:pt>
              </c:numCache>
            </c:numRef>
          </c:val>
        </c:ser>
        <c:axId val="82823040"/>
        <c:axId val="82824576"/>
      </c:barChart>
      <c:catAx>
        <c:axId val="82823040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82824576"/>
        <c:crosses val="autoZero"/>
        <c:auto val="1"/>
        <c:lblAlgn val="ctr"/>
        <c:lblOffset val="100"/>
      </c:catAx>
      <c:valAx>
        <c:axId val="82824576"/>
        <c:scaling>
          <c:orientation val="minMax"/>
        </c:scaling>
        <c:axPos val="l"/>
        <c:majorGridlines/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8282304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id-ID"/>
              <a:t>CASH FLOW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FLOW'!$D$7:$G$7</c:f>
              <c:numCache>
                <c:formatCode>_(* #,##0_);_(* \(#,##0\);_(* "-"??_);_(@_)</c:formatCode>
                <c:ptCount val="4"/>
              </c:numCache>
            </c:numRef>
          </c:val>
        </c:ser>
        <c:ser>
          <c:idx val="1"/>
          <c:order val="1"/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FLOW'!$D$8:$G$8</c:f>
              <c:numCache>
                <c:formatCode>_(* #,##0_);_(* \(#,##0\);_(* "-"??_);_(@_)</c:formatCode>
                <c:ptCount val="4"/>
              </c:numCache>
            </c:numRef>
          </c:val>
        </c:ser>
        <c:ser>
          <c:idx val="2"/>
          <c:order val="2"/>
          <c:tx>
            <c:v>PENERIMAAN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FLOW'!$D$26:$G$26</c:f>
              <c:numCache>
                <c:formatCode>_(* #,##0_);_(* \(#,##0\);_(* "-"??_);_(@_)</c:formatCode>
                <c:ptCount val="4"/>
                <c:pt idx="0">
                  <c:v>51283899227.304123</c:v>
                </c:pt>
                <c:pt idx="1">
                  <c:v>51857960135.125755</c:v>
                </c:pt>
                <c:pt idx="2">
                  <c:v>54786964955.755157</c:v>
                </c:pt>
                <c:pt idx="3">
                  <c:v>64840489686.550262</c:v>
                </c:pt>
              </c:numCache>
            </c:numRef>
          </c:val>
        </c:ser>
        <c:ser>
          <c:idx val="3"/>
          <c:order val="3"/>
          <c:tx>
            <c:v>PENGELUARAN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FLOW'!$D$128:$G$128</c:f>
              <c:numCache>
                <c:formatCode>_(* #,##0_);_(* \(#,##0\);_(* "-"??_);_(@_)</c:formatCode>
                <c:ptCount val="4"/>
                <c:pt idx="0">
                  <c:v>54608545493.540001</c:v>
                </c:pt>
                <c:pt idx="1">
                  <c:v>78688364624.435577</c:v>
                </c:pt>
                <c:pt idx="2">
                  <c:v>72421920848.289612</c:v>
                </c:pt>
                <c:pt idx="3">
                  <c:v>62508384376.244553</c:v>
                </c:pt>
              </c:numCache>
            </c:numRef>
          </c:val>
        </c:ser>
        <c:ser>
          <c:idx val="4"/>
          <c:order val="4"/>
          <c:tx>
            <c:v>SELISIH</c:v>
          </c:tx>
          <c:cat>
            <c:strRef>
              <c:f>'CASH FLOW'!$D$6:$G$6</c:f>
              <c:strCache>
                <c:ptCount val="4"/>
                <c:pt idx="0">
                  <c:v>TAHUN 2016</c:v>
                </c:pt>
                <c:pt idx="1">
                  <c:v>TAHUN 2017</c:v>
                </c:pt>
                <c:pt idx="2">
                  <c:v>TAHUN 2018</c:v>
                </c:pt>
                <c:pt idx="3">
                  <c:v>TAHUN 2019</c:v>
                </c:pt>
              </c:strCache>
            </c:strRef>
          </c:cat>
          <c:val>
            <c:numRef>
              <c:f>'CASH FLOW'!$D$130:$G$130</c:f>
              <c:numCache>
                <c:formatCode>_(* #,##0_);_(* \(#,##0\);_(* "-"??_);_(@_)</c:formatCode>
                <c:ptCount val="4"/>
                <c:pt idx="0">
                  <c:v>-2815543472.7551575</c:v>
                </c:pt>
                <c:pt idx="1">
                  <c:v>-26830404489.309822</c:v>
                </c:pt>
                <c:pt idx="2">
                  <c:v>-17634955892.534454</c:v>
                </c:pt>
                <c:pt idx="3">
                  <c:v>2332105310.3057098</c:v>
                </c:pt>
              </c:numCache>
            </c:numRef>
          </c:val>
        </c:ser>
        <c:axId val="82288000"/>
        <c:axId val="82297984"/>
      </c:barChart>
      <c:catAx>
        <c:axId val="82288000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82297984"/>
        <c:crosses val="autoZero"/>
        <c:auto val="1"/>
        <c:lblAlgn val="ctr"/>
        <c:lblOffset val="100"/>
      </c:catAx>
      <c:valAx>
        <c:axId val="82297984"/>
        <c:scaling>
          <c:orientation val="minMax"/>
        </c:scaling>
        <c:axPos val="l"/>
        <c:majorGridlines/>
        <c:numFmt formatCode="_(* #,##0_);_(* \(#,##0\);_(* &quot;-&quot;??_);_(@_)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8228800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RENCANA KERJA DAN ANGGARAN </a:t>
            </a:r>
            <a:r>
              <a:rPr lang="id-ID" sz="1200">
                <a:latin typeface="Times New Roman" pitchFamily="18" charset="0"/>
                <a:cs typeface="Times New Roman" pitchFamily="18" charset="0"/>
              </a:rPr>
              <a:t>RS. SITI KHODIJAH TH. 2016 - 2020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'REKAP 2016 SD 2020'!$J$27</c:f>
              <c:strCache>
                <c:ptCount val="1"/>
                <c:pt idx="0">
                  <c:v>JUMLAH PENERIMAAN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2020'!$D$27,'REKAP 2016 SD 2020'!$E$27,'REKAP 2016 SD 2020'!$F$27,'REKAP 2016 SD 2020'!$G$27,'REKAP 2016 SD 2020'!$H$27)</c:f>
              <c:numCache>
                <c:formatCode>_(* #,##0_);_(* \(#,##0\);_(* "-"??_);_(@_)</c:formatCode>
                <c:ptCount val="5"/>
                <c:pt idx="0">
                  <c:v>59167364167.551773</c:v>
                </c:pt>
                <c:pt idx="1">
                  <c:v>74936075893.300934</c:v>
                </c:pt>
                <c:pt idx="2">
                  <c:v>85753765926.108856</c:v>
                </c:pt>
                <c:pt idx="3">
                  <c:v>101845216814.31465</c:v>
                </c:pt>
                <c:pt idx="4">
                  <c:v>132424093038.35785</c:v>
                </c:pt>
              </c:numCache>
            </c:numRef>
          </c:val>
        </c:ser>
        <c:ser>
          <c:idx val="1"/>
          <c:order val="1"/>
          <c:tx>
            <c:strRef>
              <c:f>'REKAP 2016 SD 2020'!$J$28</c:f>
              <c:strCache>
                <c:ptCount val="1"/>
                <c:pt idx="0">
                  <c:v>JUMLAH PENGELUARAN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2020'!$D$138,'REKAP 2016 SD 2020'!$E$138,'REKAP 2016 SD 2020'!$F$138,'REKAP 2016 SD 2020'!$G$138,'REKAP 2016 SD 2020'!$H$138)</c:f>
              <c:numCache>
                <c:formatCode>_(* #,##0_);_(* \(#,##0\);_(* "-"??_);_(@_)</c:formatCode>
                <c:ptCount val="5"/>
                <c:pt idx="0">
                  <c:v>59518011109.540001</c:v>
                </c:pt>
                <c:pt idx="1">
                  <c:v>75065480704.035156</c:v>
                </c:pt>
                <c:pt idx="2">
                  <c:v>84652322962.068848</c:v>
                </c:pt>
                <c:pt idx="3">
                  <c:v>101557381194.9269</c:v>
                </c:pt>
                <c:pt idx="4">
                  <c:v>133476334275.5905</c:v>
                </c:pt>
              </c:numCache>
            </c:numRef>
          </c:val>
        </c:ser>
        <c:ser>
          <c:idx val="2"/>
          <c:order val="2"/>
          <c:tx>
            <c:strRef>
              <c:f>'REKAP 2016 SD 2020'!$J$29</c:f>
              <c:strCache>
                <c:ptCount val="1"/>
                <c:pt idx="0">
                  <c:v>SALDO AKHIR (C-D)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'REKAP 2016 SD 2020'!$D$6:$H$8</c:f>
              <c:strCache>
                <c:ptCount val="5"/>
                <c:pt idx="0">
                  <c:v> 2.016 </c:v>
                </c:pt>
                <c:pt idx="1">
                  <c:v> 2.017 </c:v>
                </c:pt>
                <c:pt idx="2">
                  <c:v> 2.018 </c:v>
                </c:pt>
                <c:pt idx="3">
                  <c:v> 2.019 </c:v>
                </c:pt>
                <c:pt idx="4">
                  <c:v> 2.020 </c:v>
                </c:pt>
              </c:strCache>
            </c:strRef>
          </c:cat>
          <c:val>
            <c:numRef>
              <c:f>('REKAP 2016 SD 2020'!$D$140,'REKAP 2016 SD 2020'!$E$140,'REKAP 2016 SD 2020'!$F$140,'REKAP 2016 SD 2020'!$G$140,'REKAP 2016 SD 2020'!$H$140)</c:f>
              <c:numCache>
                <c:formatCode>_(* #,##0_);_(* \(#,##0\);_(* "-"??_);_(@_)</c:formatCode>
                <c:ptCount val="5"/>
                <c:pt idx="0">
                  <c:v>158455851.49249268</c:v>
                </c:pt>
                <c:pt idx="1">
                  <c:v>29051040.758270264</c:v>
                </c:pt>
                <c:pt idx="2">
                  <c:v>1130494004.7982788</c:v>
                </c:pt>
                <c:pt idx="3">
                  <c:v>1418329624.1860352</c:v>
                </c:pt>
                <c:pt idx="4">
                  <c:v>366088386.9533844</c:v>
                </c:pt>
              </c:numCache>
            </c:numRef>
          </c:val>
        </c:ser>
        <c:dLbls>
          <c:showVal val="1"/>
        </c:dLbls>
        <c:gapWidth val="444"/>
        <c:overlap val="-90"/>
        <c:axId val="88569344"/>
        <c:axId val="88570880"/>
      </c:barChart>
      <c:catAx>
        <c:axId val="885693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0880"/>
        <c:crosses val="autoZero"/>
        <c:auto val="1"/>
        <c:lblAlgn val="ctr"/>
        <c:lblOffset val="100"/>
      </c:catAx>
      <c:valAx>
        <c:axId val="8857088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tickLblPos val="nextTo"/>
        <c:crossAx val="885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Times New Roman" pitchFamily="18" charset="0"/>
                <a:cs typeface="Times New Roman" pitchFamily="18" charset="0"/>
              </a:rPr>
              <a:t>LABA RUGI TAHUN 2011 s/d TAHUN 2015</a:t>
            </a:r>
            <a:endParaRPr lang="id-ID" sz="1200">
              <a:effectLst/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8073784791806267"/>
          <c:y val="1.7060929588449694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3.6111111111111212E-2"/>
          <c:y val="0.17474672637347641"/>
          <c:w val="0.93888888888889088"/>
          <c:h val="0.78969054122325066"/>
        </c:manualLayout>
      </c:layout>
      <c:barChart>
        <c:barDir val="col"/>
        <c:grouping val="clustered"/>
        <c:ser>
          <c:idx val="0"/>
          <c:order val="0"/>
          <c:dLbls>
            <c:dLbl>
              <c:idx val="2"/>
              <c:layout>
                <c:manualLayout>
                  <c:x val="-2.7777777777778525E-3"/>
                  <c:y val="9.7797514109000824E-2"/>
                </c:manualLayout>
              </c:layout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CF &amp; RL'!$AD$29:$AD$33</c:f>
              <c:strCache>
                <c:ptCount val="5"/>
                <c:pt idx="0">
                  <c:v>PER 31 DES 2015</c:v>
                </c:pt>
                <c:pt idx="1">
                  <c:v>PER 31 DES 2014</c:v>
                </c:pt>
                <c:pt idx="2">
                  <c:v>PER 31 DES 2013</c:v>
                </c:pt>
                <c:pt idx="3">
                  <c:v>PER 31 DES 2012</c:v>
                </c:pt>
                <c:pt idx="4">
                  <c:v>PER 31 DES 2011</c:v>
                </c:pt>
              </c:strCache>
            </c:strRef>
          </c:cat>
          <c:val>
            <c:numRef>
              <c:f>'GRAFIK CF &amp; RL'!$AE$29:$AE$33</c:f>
              <c:numCache>
                <c:formatCode>_(* #,##0.00_);_(* \(#,##0.00\);_(* "-"??_);_(@_)</c:formatCode>
                <c:ptCount val="5"/>
                <c:pt idx="0">
                  <c:v>4224229720.1053386</c:v>
                </c:pt>
                <c:pt idx="1">
                  <c:v>5605703431.0657272</c:v>
                </c:pt>
                <c:pt idx="2">
                  <c:v>-334907165.02000099</c:v>
                </c:pt>
                <c:pt idx="3">
                  <c:v>477098274.85999948</c:v>
                </c:pt>
                <c:pt idx="4">
                  <c:v>722134739.21999931</c:v>
                </c:pt>
              </c:numCache>
            </c:numRef>
          </c:val>
        </c:ser>
        <c:dLbls>
          <c:showVal val="1"/>
        </c:dLbls>
        <c:overlap val="-25"/>
        <c:axId val="88599552"/>
        <c:axId val="88421120"/>
      </c:barChart>
      <c:catAx>
        <c:axId val="885995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1120"/>
        <c:crosses val="autoZero"/>
        <c:auto val="1"/>
        <c:lblAlgn val="ctr"/>
        <c:lblOffset val="100"/>
      </c:catAx>
      <c:valAx>
        <c:axId val="8842112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tickLblPos val="nextTo"/>
        <c:crossAx val="8859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316821</xdr:colOff>
      <xdr:row>1</xdr:row>
      <xdr:rowOff>50527</xdr:rowOff>
    </xdr:from>
    <xdr:to>
      <xdr:col>60</xdr:col>
      <xdr:colOff>47879</xdr:colOff>
      <xdr:row>15</xdr:row>
      <xdr:rowOff>109409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441614</xdr:colOff>
      <xdr:row>26</xdr:row>
      <xdr:rowOff>17318</xdr:rowOff>
    </xdr:from>
    <xdr:to>
      <xdr:col>58</xdr:col>
      <xdr:colOff>171654</xdr:colOff>
      <xdr:row>43</xdr:row>
      <xdr:rowOff>119597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340251</xdr:colOff>
      <xdr:row>45</xdr:row>
      <xdr:rowOff>85674</xdr:rowOff>
    </xdr:from>
    <xdr:to>
      <xdr:col>56</xdr:col>
      <xdr:colOff>70291</xdr:colOff>
      <xdr:row>59</xdr:row>
      <xdr:rowOff>16198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519240</xdr:colOff>
      <xdr:row>87</xdr:row>
      <xdr:rowOff>189633</xdr:rowOff>
    </xdr:from>
    <xdr:to>
      <xdr:col>25</xdr:col>
      <xdr:colOff>245816</xdr:colOff>
      <xdr:row>110</xdr:row>
      <xdr:rowOff>51954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242454</xdr:colOff>
      <xdr:row>88</xdr:row>
      <xdr:rowOff>74467</xdr:rowOff>
    </xdr:from>
    <xdr:to>
      <xdr:col>13</xdr:col>
      <xdr:colOff>85725</xdr:colOff>
      <xdr:row>110</xdr:row>
      <xdr:rowOff>168852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235323</xdr:colOff>
      <xdr:row>151</xdr:row>
      <xdr:rowOff>156883</xdr:rowOff>
    </xdr:from>
    <xdr:to>
      <xdr:col>11</xdr:col>
      <xdr:colOff>59391</xdr:colOff>
      <xdr:row>172</xdr:row>
      <xdr:rowOff>80683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171</xdr:row>
      <xdr:rowOff>371475</xdr:rowOff>
    </xdr:from>
    <xdr:to>
      <xdr:col>9</xdr:col>
      <xdr:colOff>371475</xdr:colOff>
      <xdr:row>192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171</xdr:row>
      <xdr:rowOff>28575</xdr:rowOff>
    </xdr:from>
    <xdr:to>
      <xdr:col>15</xdr:col>
      <xdr:colOff>666750</xdr:colOff>
      <xdr:row>191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171</xdr:row>
      <xdr:rowOff>171450</xdr:rowOff>
    </xdr:from>
    <xdr:to>
      <xdr:col>25</xdr:col>
      <xdr:colOff>0</xdr:colOff>
      <xdr:row>192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561975</xdr:colOff>
      <xdr:row>4</xdr:row>
      <xdr:rowOff>95250</xdr:rowOff>
    </xdr:from>
    <xdr:to>
      <xdr:col>30</xdr:col>
      <xdr:colOff>333375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14</xdr:row>
      <xdr:rowOff>104774</xdr:rowOff>
    </xdr:from>
    <xdr:to>
      <xdr:col>10</xdr:col>
      <xdr:colOff>228599</xdr:colOff>
      <xdr:row>34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115166</xdr:colOff>
      <xdr:row>2</xdr:row>
      <xdr:rowOff>133350</xdr:rowOff>
    </xdr:from>
    <xdr:to>
      <xdr:col>12</xdr:col>
      <xdr:colOff>469634</xdr:colOff>
      <xdr:row>30</xdr:row>
      <xdr:rowOff>39456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105946</xdr:colOff>
      <xdr:row>32</xdr:row>
      <xdr:rowOff>26486</xdr:rowOff>
    </xdr:from>
    <xdr:to>
      <xdr:col>12</xdr:col>
      <xdr:colOff>467591</xdr:colOff>
      <xdr:row>59</xdr:row>
      <xdr:rowOff>93722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487815</xdr:colOff>
      <xdr:row>163</xdr:row>
      <xdr:rowOff>5447</xdr:rowOff>
    </xdr:from>
    <xdr:to>
      <xdr:col>11</xdr:col>
      <xdr:colOff>224519</xdr:colOff>
      <xdr:row>198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172</xdr:row>
      <xdr:rowOff>171450</xdr:rowOff>
    </xdr:from>
    <xdr:to>
      <xdr:col>25</xdr:col>
      <xdr:colOff>0</xdr:colOff>
      <xdr:row>193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171</xdr:row>
      <xdr:rowOff>171450</xdr:rowOff>
    </xdr:from>
    <xdr:to>
      <xdr:col>25</xdr:col>
      <xdr:colOff>0</xdr:colOff>
      <xdr:row>192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171</xdr:row>
      <xdr:rowOff>28575</xdr:rowOff>
    </xdr:from>
    <xdr:to>
      <xdr:col>15</xdr:col>
      <xdr:colOff>666750</xdr:colOff>
      <xdr:row>191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157</xdr:row>
      <xdr:rowOff>57150</xdr:rowOff>
    </xdr:from>
    <xdr:to>
      <xdr:col>36</xdr:col>
      <xdr:colOff>219075</xdr:colOff>
      <xdr:row>177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GUNG%20LAPORA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2)/RAB%2020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AK%20SAID%20LAPORAN%202/PAK%20SAID%20LAPORAN/2016/juli/LAPKEU%20RS%20JULI%20%20rev%20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hon\Desktop\PAK%20SAID%20LAPORAN%202\cash%20flow%20ref%201\cf\CF%202016%20sd%202019%20REV%201\CASH%20FLOW%20%202016%20sd%202019%20REV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Kas%202016%20a%20(Autosaved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Copy%20of%20BNI%2046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SELISIH%20BPJS%202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AK%20SAID%20LAPORAN%202/cash%20flow%20ref%201/cf/CASH%20FLOW%20%202016%20sd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proyeksi%202016%20rev%207xls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AK%20SAID%20LAPORAN%202/PAK%20SAID%20LAPORAN/PENERIMAAN%20&amp;%20PENGELUARAN%20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older%20(3)/KAS%202016/BNI%20S%20GIRO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2014\forcast_rev_2\cash%20flow%20revisi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BA RUGI"/>
      <sheetName val="CASH FLOW"/>
      <sheetName val="GRAFIK CASH FLOW"/>
      <sheetName val="GRAFIK LABA RUGI"/>
    </sheetNames>
    <sheetDataSet>
      <sheetData sheetId="0">
        <row r="5">
          <cell r="H5" t="str">
            <v>PER 31 DES 2015</v>
          </cell>
          <cell r="J5" t="str">
            <v>PER 31 DES 2014</v>
          </cell>
          <cell r="L5" t="str">
            <v>PER 31 DES 2013</v>
          </cell>
          <cell r="N5" t="str">
            <v>PER 31 DES 2012</v>
          </cell>
          <cell r="P5" t="str">
            <v>PER 31 DES 2011</v>
          </cell>
        </row>
        <row r="50">
          <cell r="H50">
            <v>38452695455.599998</v>
          </cell>
          <cell r="J50">
            <v>29731872002.205727</v>
          </cell>
          <cell r="L50">
            <v>19967208468.459999</v>
          </cell>
          <cell r="N50">
            <v>18097437169.549999</v>
          </cell>
          <cell r="P50">
            <v>18043294318</v>
          </cell>
        </row>
        <row r="52">
          <cell r="H52">
            <v>-34228465735.494667</v>
          </cell>
          <cell r="J52">
            <v>-24186403601.869999</v>
          </cell>
          <cell r="L52">
            <v>-20332135449.669998</v>
          </cell>
          <cell r="N52">
            <v>-17622374339.200001</v>
          </cell>
          <cell r="P52">
            <v>-17322938676.779999</v>
          </cell>
        </row>
      </sheetData>
      <sheetData sheetId="1">
        <row r="6">
          <cell r="D6" t="str">
            <v>TAHUN 2016</v>
          </cell>
        </row>
      </sheetData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AB 2003 &amp; 2004"/>
      <sheetName val="RAB 2005 "/>
      <sheetName val="RAB 2006 "/>
      <sheetName val="RAB 2007  "/>
      <sheetName val="RAB 2008"/>
      <sheetName val="RAB 2009 "/>
      <sheetName val="RAB 2010"/>
      <sheetName val="RAB 2011"/>
      <sheetName val="RAB 2012"/>
      <sheetName val="RAB 2013"/>
      <sheetName val="RAB 2014"/>
      <sheetName val="KAS BON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9">
          <cell r="E69">
            <v>240000000</v>
          </cell>
        </row>
        <row r="129">
          <cell r="I129">
            <v>750000000</v>
          </cell>
          <cell r="J129">
            <v>687674503</v>
          </cell>
        </row>
      </sheetData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NERACA KOM"/>
      <sheetName val="kom nrc (2)"/>
      <sheetName val="kom nrc"/>
      <sheetName val="kompR-L ( (2)"/>
      <sheetName val="kompR-L ("/>
      <sheetName val="RL KOM"/>
      <sheetName val="RK YAI"/>
      <sheetName val="SET YAI 2"/>
      <sheetName val="set yas"/>
      <sheetName val="bank"/>
      <sheetName val="penghapusan piu"/>
      <sheetName val="Sheet11"/>
      <sheetName val="Sheet13"/>
      <sheetName val="Sheet14"/>
      <sheetName val="Sheet10"/>
      <sheetName val="NRC"/>
      <sheetName val="Sheet12 (2)"/>
      <sheetName val="Sheet15"/>
      <sheetName val="Sheet12"/>
      <sheetName val="Lajur"/>
      <sheetName val="AJP"/>
      <sheetName val="NRC (2)"/>
      <sheetName val="Analisa"/>
      <sheetName val="Sheet8"/>
      <sheetName val="R-L (2)"/>
      <sheetName val="R-L"/>
      <sheetName val="hpp"/>
      <sheetName val="Sheet7"/>
      <sheetName val="Sheet6"/>
      <sheetName val="CAT"/>
      <sheetName val="ekuitas2"/>
      <sheetName val="cf 3"/>
      <sheetName val="CF 2"/>
      <sheetName val="CF"/>
      <sheetName val="ATI 7"/>
      <sheetName val="ATI6"/>
      <sheetName val="ati 5"/>
      <sheetName val="ati4 (2)"/>
      <sheetName val="ati4"/>
      <sheetName val="Ati3"/>
      <sheetName val="Ati 2"/>
      <sheetName val="ATI"/>
      <sheetName val="Sheet9"/>
      <sheetName val="Lamp@"/>
      <sheetName val="KOMPARASI RL"/>
      <sheetName val="RINCIAN (2)"/>
      <sheetName val="gaji"/>
      <sheetName val="Sheet1"/>
      <sheetName val="sampul"/>
      <sheetName val="Sheet2"/>
      <sheetName val="Rincian Hutang Lainnya"/>
      <sheetName val="Sheet5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1">
          <cell r="E11">
            <v>11941761381.22073</v>
          </cell>
        </row>
        <row r="12">
          <cell r="E12">
            <v>2508812833.1400003</v>
          </cell>
        </row>
      </sheetData>
      <sheetData sheetId="23"/>
      <sheetData sheetId="24"/>
      <sheetData sheetId="25"/>
      <sheetData sheetId="26"/>
      <sheetData sheetId="27"/>
      <sheetData sheetId="28"/>
      <sheetData sheetId="29">
        <row r="91">
          <cell r="N91">
            <v>20528600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F 2016"/>
      <sheetName val="PENDAPATAN"/>
      <sheetName val="PENGELUARAN"/>
      <sheetName val="CF 2017"/>
      <sheetName val="CF 2018"/>
      <sheetName val="CF 2019"/>
      <sheetName val="pinj faisol"/>
      <sheetName val="Sheet1"/>
      <sheetName val="Sheet2 (2)"/>
      <sheetName val="Sheet2"/>
      <sheetName val="REKAP"/>
    </sheetNames>
    <sheetDataSet>
      <sheetData sheetId="0"/>
      <sheetData sheetId="1"/>
      <sheetData sheetId="2"/>
      <sheetData sheetId="3"/>
      <sheetData sheetId="4"/>
      <sheetData sheetId="5">
        <row r="115">
          <cell r="P115">
            <v>6056784534.8833923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 (2)"/>
      <sheetName val="JAN"/>
      <sheetName val="feb"/>
      <sheetName val="MARET (3)"/>
      <sheetName val="MARET (2)"/>
      <sheetName val="MARET"/>
      <sheetName val="feb (2)"/>
      <sheetName val="april (2)"/>
      <sheetName val="april"/>
      <sheetName val="mei (3)"/>
      <sheetName val="mei (2)"/>
      <sheetName val="mei"/>
      <sheetName val="Chart2"/>
      <sheetName val="JUNI"/>
      <sheetName val="SEPT (2)"/>
      <sheetName val="JULI"/>
      <sheetName val="JUNI (2)"/>
      <sheetName val="agust (2)"/>
      <sheetName val="agust"/>
      <sheetName val="JULI (2)"/>
      <sheetName val="SEPT"/>
      <sheetName val="okt (2)"/>
      <sheetName val="ok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>
        <row r="29">
          <cell r="D29">
            <v>1153967895</v>
          </cell>
        </row>
        <row r="818">
          <cell r="E818">
            <v>36796834</v>
          </cell>
        </row>
      </sheetData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n  (2)"/>
      <sheetName val="jan "/>
      <sheetName val="feb (2)"/>
      <sheetName val="feb"/>
      <sheetName val="MARET (2)"/>
      <sheetName val="MARET"/>
      <sheetName val="APRIL (2)"/>
      <sheetName val="APRIL"/>
      <sheetName val="MEI (3)"/>
      <sheetName val="MEI (2)"/>
      <sheetName val="MEI"/>
      <sheetName val="JUNI"/>
      <sheetName val="JUNI (2)"/>
      <sheetName val="JULI (2)"/>
      <sheetName val="JULI"/>
      <sheetName val="AGUSTUS (2)"/>
      <sheetName val="AGUSTUS"/>
      <sheetName val="SEPT (2)"/>
      <sheetName val="SEPT"/>
      <sheetName val="OKT (2)"/>
      <sheetName val="OKT"/>
      <sheetName val="Sheet2"/>
    </sheetNames>
    <sheetDataSet>
      <sheetData sheetId="0"/>
      <sheetData sheetId="1"/>
      <sheetData sheetId="2"/>
      <sheetData sheetId="3"/>
      <sheetData sheetId="4">
        <row r="33">
          <cell r="E33">
            <v>1810047921</v>
          </cell>
        </row>
      </sheetData>
      <sheetData sheetId="5"/>
      <sheetData sheetId="6">
        <row r="24">
          <cell r="E24">
            <v>1894759925</v>
          </cell>
        </row>
      </sheetData>
      <sheetData sheetId="7"/>
      <sheetData sheetId="8">
        <row r="19">
          <cell r="E19">
            <v>2143179750</v>
          </cell>
        </row>
      </sheetData>
      <sheetData sheetId="9"/>
      <sheetData sheetId="10"/>
      <sheetData sheetId="11"/>
      <sheetData sheetId="12">
        <row r="26">
          <cell r="E26">
            <v>2253989465</v>
          </cell>
        </row>
      </sheetData>
      <sheetData sheetId="13">
        <row r="23">
          <cell r="E23">
            <v>2304494700</v>
          </cell>
        </row>
      </sheetData>
      <sheetData sheetId="14">
        <row r="112">
          <cell r="H112">
            <v>136328714</v>
          </cell>
        </row>
      </sheetData>
      <sheetData sheetId="15"/>
      <sheetData sheetId="16">
        <row r="28">
          <cell r="E28">
            <v>2139828425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5"/>
      <sheetName val="2016"/>
      <sheetName val="Sheet3"/>
    </sheetNames>
    <sheetDataSet>
      <sheetData sheetId="0" refreshError="1"/>
      <sheetData sheetId="1">
        <row r="14">
          <cell r="B14">
            <v>2279816696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F 2016"/>
      <sheetName val="PENDAPATAN"/>
      <sheetName val="PENGELUARAN"/>
      <sheetName val="CF 2017"/>
      <sheetName val="CF 2018"/>
      <sheetName val="CF 2019"/>
      <sheetName val="pinj faisol"/>
      <sheetName val="Sheet1"/>
      <sheetName val="Sheet2 (2)"/>
      <sheetName val="Sheet2"/>
      <sheetName val="REKAP"/>
    </sheetNames>
    <sheetDataSet>
      <sheetData sheetId="0">
        <row r="25">
          <cell r="P25">
            <v>51283899227.304123</v>
          </cell>
        </row>
      </sheetData>
      <sheetData sheetId="1"/>
      <sheetData sheetId="2"/>
      <sheetData sheetId="3">
        <row r="12">
          <cell r="P12">
            <v>14457807806.722359</v>
          </cell>
        </row>
        <row r="13">
          <cell r="P13">
            <v>3807771308.1421647</v>
          </cell>
        </row>
        <row r="15">
          <cell r="P15">
            <v>26151432617.744949</v>
          </cell>
        </row>
        <row r="16">
          <cell r="P16">
            <v>4189051802.4953437</v>
          </cell>
        </row>
        <row r="17">
          <cell r="P17">
            <v>0</v>
          </cell>
        </row>
        <row r="18">
          <cell r="P18">
            <v>0</v>
          </cell>
        </row>
        <row r="19">
          <cell r="P19">
            <v>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3076896600.0209379</v>
          </cell>
        </row>
        <row r="23">
          <cell r="P23">
            <v>0</v>
          </cell>
        </row>
      </sheetData>
      <sheetData sheetId="4">
        <row r="12">
          <cell r="P12">
            <v>15475682575.463276</v>
          </cell>
        </row>
        <row r="13">
          <cell r="P13">
            <v>4075850286.0554967</v>
          </cell>
        </row>
        <row r="15">
          <cell r="P15">
            <v>27202585361.921169</v>
          </cell>
        </row>
        <row r="16">
          <cell r="P16">
            <v>3930642155.9963136</v>
          </cell>
        </row>
        <row r="17">
          <cell r="P17">
            <v>3052204576.3189049</v>
          </cell>
        </row>
        <row r="18">
          <cell r="P18">
            <v>0</v>
          </cell>
        </row>
      </sheetData>
      <sheetData sheetId="5">
        <row r="14">
          <cell r="P14">
            <v>18985742759.562939</v>
          </cell>
        </row>
        <row r="15">
          <cell r="P15">
            <v>5000299319.9299412</v>
          </cell>
        </row>
        <row r="17">
          <cell r="P17">
            <v>31333990828.66288</v>
          </cell>
        </row>
        <row r="18">
          <cell r="P18">
            <v>4555919999.2227621</v>
          </cell>
        </row>
        <row r="19">
          <cell r="P19">
            <v>3764536779.1717372</v>
          </cell>
        </row>
        <row r="20">
          <cell r="P20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 (2)"/>
      <sheetName val="PENDAPATAN"/>
      <sheetName val="PENGELUARAN"/>
      <sheetName val="RL"/>
      <sheetName val="Sheet1"/>
      <sheetName val="SEET"/>
      <sheetName val="JAN"/>
      <sheetName val="FEB"/>
      <sheetName val="MARET"/>
      <sheetName val="APRIL"/>
      <sheetName val="MEI"/>
      <sheetName val="JUNI"/>
      <sheetName val="JULI"/>
      <sheetName val="AGUSTS"/>
      <sheetName val="SEPT"/>
      <sheetName val="OKT"/>
      <sheetName val="NOV"/>
      <sheetName val="DES"/>
    </sheetNames>
    <sheetDataSet>
      <sheetData sheetId="0"/>
      <sheetData sheetId="1"/>
      <sheetData sheetId="2">
        <row r="83">
          <cell r="J83">
            <v>3394.30110625</v>
          </cell>
          <cell r="M83">
            <v>3408.6166727499999</v>
          </cell>
        </row>
        <row r="84">
          <cell r="A84" t="str">
            <v>Investasi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endapatan"/>
      <sheetName val="pengeluaran"/>
      <sheetName val="CASH IN  FLOW"/>
      <sheetName val="Sheet2"/>
      <sheetName val="CASH OUT FLOW (2)"/>
      <sheetName val="RINCIAN"/>
      <sheetName val="CASH  FLOW (3)"/>
      <sheetName val="CASH  FLOW (2)"/>
      <sheetName val="CASH  FLOW"/>
      <sheetName val="Sheet1"/>
      <sheetName val="Sheet3"/>
      <sheetName val="Sheet4 (2)"/>
      <sheetName val="Sheet4"/>
      <sheetName val="Sheet11"/>
      <sheetName val="Sheet10"/>
      <sheetName val="cf juni (4)"/>
      <sheetName val="cf MEI (3)"/>
      <sheetName val="cf april (2)"/>
      <sheetName val="Sheet8"/>
      <sheetName val="cf maret"/>
      <sheetName val="cf feb"/>
      <sheetName val="CF JAN"/>
      <sheetName val="Sheet7"/>
      <sheetName val="Sheet5"/>
      <sheetName val="Sheet6"/>
      <sheetName val="Sheet9"/>
    </sheetNames>
    <sheetDataSet>
      <sheetData sheetId="0"/>
      <sheetData sheetId="1">
        <row r="36">
          <cell r="F36">
            <v>23000</v>
          </cell>
        </row>
      </sheetData>
      <sheetData sheetId="2"/>
      <sheetData sheetId="3"/>
      <sheetData sheetId="4"/>
      <sheetData sheetId="5"/>
      <sheetData sheetId="6">
        <row r="181">
          <cell r="P181">
            <v>571720010.48000002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JAN (2)"/>
      <sheetName val="JAN"/>
      <sheetName val="feb"/>
      <sheetName val="MARET (2)"/>
      <sheetName val="MARET"/>
      <sheetName val="feb (2)"/>
      <sheetName val="APRIL (2)"/>
      <sheetName val="APRIL"/>
      <sheetName val="MEI (2)"/>
      <sheetName val="MEI"/>
      <sheetName val="JUNI (2)"/>
      <sheetName val="JUNI"/>
      <sheetName val="AGUST (2)"/>
      <sheetName val="JULI"/>
      <sheetName val="Sheet1"/>
      <sheetName val="JULI (2)"/>
      <sheetName val="AGUST"/>
      <sheetName val="SEPT (3)"/>
      <sheetName val="SEPT (2)"/>
      <sheetName val="SEPT"/>
      <sheetName val="Sheet2"/>
      <sheetName val="OKT (2)"/>
      <sheetName val="OKT"/>
    </sheetNames>
    <sheetDataSet>
      <sheetData sheetId="0" refreshError="1"/>
      <sheetData sheetId="1">
        <row r="11">
          <cell r="H11">
            <v>23910976</v>
          </cell>
        </row>
      </sheetData>
      <sheetData sheetId="2">
        <row r="11">
          <cell r="G11">
            <v>20559735</v>
          </cell>
        </row>
      </sheetData>
      <sheetData sheetId="3">
        <row r="424">
          <cell r="E424">
            <v>90000000</v>
          </cell>
        </row>
      </sheetData>
      <sheetData sheetId="4">
        <row r="10">
          <cell r="G10">
            <v>79011397</v>
          </cell>
        </row>
      </sheetData>
      <sheetData sheetId="5" refreshError="1"/>
      <sheetData sheetId="6" refreshError="1"/>
      <sheetData sheetId="7" refreshError="1"/>
      <sheetData sheetId="8">
        <row r="222">
          <cell r="F222">
            <v>6775000</v>
          </cell>
        </row>
      </sheetData>
      <sheetData sheetId="9" refreshError="1"/>
      <sheetData sheetId="10">
        <row r="205">
          <cell r="F205">
            <v>118735400</v>
          </cell>
        </row>
      </sheetData>
      <sheetData sheetId="11">
        <row r="11">
          <cell r="G11">
            <v>0</v>
          </cell>
        </row>
      </sheetData>
      <sheetData sheetId="12" refreshError="1"/>
      <sheetData sheetId="13" refreshError="1">
        <row r="51">
          <cell r="G51">
            <v>180000</v>
          </cell>
        </row>
        <row r="312">
          <cell r="G312">
            <v>156009</v>
          </cell>
        </row>
      </sheetData>
      <sheetData sheetId="14">
        <row r="51">
          <cell r="G51">
            <v>180000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ENERIMAAN dalam jutaan"/>
      <sheetName val="PENGELUARAN dalam jutaan"/>
      <sheetName val="GAMBARAN STATISTIK"/>
      <sheetName val="PEMASARAN"/>
    </sheetNames>
    <sheetDataSet>
      <sheetData sheetId="0">
        <row r="26">
          <cell r="N26">
            <v>40580.469396083616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1:P70"/>
  <sheetViews>
    <sheetView topLeftCell="A25" workbookViewId="0">
      <selection activeCell="R8" sqref="R8"/>
    </sheetView>
  </sheetViews>
  <sheetFormatPr defaultRowHeight="15.75"/>
  <cols>
    <col min="2" max="2" width="3.7109375" style="307" customWidth="1"/>
    <col min="3" max="3" width="4.42578125" style="307" customWidth="1"/>
    <col min="4" max="5" width="9.140625" style="307"/>
    <col min="6" max="6" width="1.28515625" style="307" customWidth="1"/>
    <col min="7" max="7" width="7.7109375" style="307" customWidth="1"/>
    <col min="8" max="8" width="17.85546875" style="307" customWidth="1"/>
    <col min="9" max="9" width="1.140625" style="307" customWidth="1"/>
    <col min="10" max="10" width="17.85546875" style="307" customWidth="1"/>
    <col min="11" max="11" width="1.140625" style="307" customWidth="1"/>
    <col min="12" max="12" width="17.85546875" style="307" customWidth="1"/>
    <col min="13" max="13" width="0.85546875" style="307" customWidth="1"/>
    <col min="14" max="14" width="17.85546875" style="307" customWidth="1"/>
    <col min="15" max="15" width="1.140625" style="307" customWidth="1"/>
    <col min="16" max="16" width="17.85546875" style="307" customWidth="1"/>
  </cols>
  <sheetData>
    <row r="1" spans="2:16" s="312" customFormat="1">
      <c r="B1" s="512" t="s">
        <v>437</v>
      </c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</row>
    <row r="2" spans="2:16" s="312" customFormat="1">
      <c r="B2" s="513" t="s">
        <v>438</v>
      </c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</row>
    <row r="3" spans="2:16" s="312" customFormat="1">
      <c r="B3" s="513" t="s">
        <v>439</v>
      </c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</row>
    <row r="4" spans="2:16" ht="16.5" thickBot="1">
      <c r="B4" s="225"/>
      <c r="C4" s="225"/>
      <c r="D4" s="225"/>
      <c r="E4" s="225"/>
      <c r="F4" s="225"/>
      <c r="G4" s="225"/>
      <c r="H4" s="285"/>
      <c r="I4" s="285"/>
      <c r="J4" s="285"/>
      <c r="K4" s="285"/>
      <c r="L4" s="286"/>
      <c r="M4" s="286"/>
      <c r="N4" s="286"/>
      <c r="O4" s="286"/>
      <c r="P4" s="286"/>
    </row>
    <row r="5" spans="2:16" ht="16.5" thickTop="1">
      <c r="B5" s="287"/>
      <c r="C5" s="287"/>
      <c r="D5" s="287"/>
      <c r="E5" s="287"/>
      <c r="F5" s="287"/>
      <c r="G5" s="287"/>
      <c r="H5" s="288" t="s">
        <v>440</v>
      </c>
      <c r="I5" s="289"/>
      <c r="J5" s="288" t="s">
        <v>441</v>
      </c>
      <c r="K5" s="289"/>
      <c r="L5" s="288" t="s">
        <v>442</v>
      </c>
      <c r="M5" s="290"/>
      <c r="N5" s="288" t="s">
        <v>443</v>
      </c>
      <c r="O5" s="290"/>
      <c r="P5" s="288" t="s">
        <v>444</v>
      </c>
    </row>
    <row r="6" spans="2:16">
      <c r="B6" s="226"/>
      <c r="C6" s="226"/>
      <c r="D6" s="226"/>
      <c r="E6" s="226"/>
      <c r="F6" s="226"/>
      <c r="G6" s="226"/>
      <c r="H6" s="285" t="s">
        <v>445</v>
      </c>
      <c r="I6" s="285"/>
      <c r="J6" s="285" t="s">
        <v>445</v>
      </c>
      <c r="K6" s="285"/>
      <c r="L6" s="286"/>
      <c r="M6" s="286"/>
      <c r="N6" s="286"/>
      <c r="O6" s="286"/>
      <c r="P6" s="286"/>
    </row>
    <row r="7" spans="2:16">
      <c r="B7" s="225" t="s">
        <v>446</v>
      </c>
      <c r="C7" s="226" t="s">
        <v>260</v>
      </c>
      <c r="D7" s="226"/>
      <c r="E7" s="226"/>
      <c r="F7" s="226"/>
      <c r="G7" s="226"/>
      <c r="H7" s="291"/>
      <c r="I7" s="291"/>
      <c r="J7" s="291"/>
      <c r="K7" s="291"/>
      <c r="L7" s="286"/>
      <c r="M7" s="286"/>
      <c r="N7" s="286"/>
      <c r="O7" s="286"/>
      <c r="P7" s="286"/>
    </row>
    <row r="8" spans="2:16">
      <c r="B8" s="225"/>
      <c r="C8" s="226" t="s">
        <v>447</v>
      </c>
      <c r="D8" s="226" t="s">
        <v>448</v>
      </c>
      <c r="E8" s="226"/>
      <c r="F8" s="226"/>
      <c r="G8" s="226"/>
      <c r="H8" s="227">
        <v>8377587618.6499996</v>
      </c>
      <c r="I8" s="291"/>
      <c r="J8" s="291">
        <v>5393034023.7786865</v>
      </c>
      <c r="K8" s="291"/>
      <c r="L8" s="286">
        <v>19975094436.459999</v>
      </c>
      <c r="M8" s="286"/>
      <c r="N8" s="286">
        <v>18104166391.549999</v>
      </c>
      <c r="O8" s="286"/>
      <c r="P8" s="286">
        <v>18043294318</v>
      </c>
    </row>
    <row r="9" spans="2:16">
      <c r="B9" s="225"/>
      <c r="C9" s="226" t="s">
        <v>449</v>
      </c>
      <c r="D9" s="226" t="s">
        <v>450</v>
      </c>
      <c r="E9" s="226"/>
      <c r="F9" s="226"/>
      <c r="G9" s="226"/>
      <c r="H9" s="227">
        <v>14687376121</v>
      </c>
      <c r="I9" s="291"/>
      <c r="J9" s="291">
        <v>11764445805.9459</v>
      </c>
      <c r="K9" s="291"/>
      <c r="L9" s="286"/>
      <c r="M9" s="286"/>
      <c r="N9" s="286"/>
      <c r="O9" s="286"/>
      <c r="P9" s="286"/>
    </row>
    <row r="10" spans="2:16">
      <c r="B10" s="225"/>
      <c r="C10" s="226" t="s">
        <v>451</v>
      </c>
      <c r="D10" s="226" t="s">
        <v>452</v>
      </c>
      <c r="E10" s="226"/>
      <c r="F10" s="226"/>
      <c r="G10" s="226"/>
      <c r="H10" s="227">
        <v>4042113645.27</v>
      </c>
      <c r="I10" s="291"/>
      <c r="J10" s="291">
        <v>2772459969.3221478</v>
      </c>
      <c r="K10" s="291"/>
      <c r="L10" s="286"/>
      <c r="M10" s="286"/>
      <c r="N10" s="286"/>
      <c r="O10" s="286"/>
      <c r="P10" s="286"/>
    </row>
    <row r="11" spans="2:16">
      <c r="B11" s="225"/>
      <c r="C11" s="226" t="s">
        <v>453</v>
      </c>
      <c r="D11" s="226" t="s">
        <v>454</v>
      </c>
      <c r="E11" s="226"/>
      <c r="F11" s="226"/>
      <c r="G11" s="226"/>
      <c r="H11" s="227">
        <v>9146504638.3299999</v>
      </c>
      <c r="I11" s="291"/>
      <c r="J11" s="291">
        <v>6271995791.1397495</v>
      </c>
      <c r="K11" s="291"/>
      <c r="L11" s="286"/>
      <c r="M11" s="286"/>
      <c r="N11" s="286"/>
      <c r="O11" s="286"/>
      <c r="P11" s="286"/>
    </row>
    <row r="12" spans="2:16">
      <c r="B12" s="225"/>
      <c r="C12" s="226" t="s">
        <v>455</v>
      </c>
      <c r="D12" s="226" t="s">
        <v>456</v>
      </c>
      <c r="E12" s="226"/>
      <c r="F12" s="226"/>
      <c r="G12" s="226"/>
      <c r="H12" s="227">
        <v>748734324.00999999</v>
      </c>
      <c r="I12" s="291"/>
      <c r="J12" s="291">
        <v>373937466.66000003</v>
      </c>
      <c r="K12" s="291"/>
      <c r="L12" s="286"/>
      <c r="M12" s="286"/>
      <c r="N12" s="286"/>
      <c r="O12" s="286"/>
      <c r="P12" s="286"/>
    </row>
    <row r="13" spans="2:16">
      <c r="B13" s="225"/>
      <c r="C13" s="226" t="s">
        <v>457</v>
      </c>
      <c r="D13" s="226" t="s">
        <v>458</v>
      </c>
      <c r="E13" s="226"/>
      <c r="F13" s="226"/>
      <c r="G13" s="226"/>
      <c r="H13" s="227">
        <v>100582000</v>
      </c>
      <c r="I13" s="291"/>
      <c r="J13" s="291">
        <v>112923500</v>
      </c>
      <c r="K13" s="291"/>
      <c r="L13" s="286"/>
      <c r="M13" s="286"/>
      <c r="N13" s="286"/>
      <c r="O13" s="286"/>
      <c r="P13" s="286"/>
    </row>
    <row r="14" spans="2:16">
      <c r="B14" s="225"/>
      <c r="C14" s="226" t="s">
        <v>459</v>
      </c>
      <c r="D14" s="226" t="s">
        <v>460</v>
      </c>
      <c r="E14" s="226"/>
      <c r="F14" s="226"/>
      <c r="G14" s="226"/>
      <c r="H14" s="227">
        <v>1467905000</v>
      </c>
      <c r="I14" s="291"/>
      <c r="J14" s="291">
        <v>877021145.19522357</v>
      </c>
      <c r="K14" s="291"/>
      <c r="L14" s="286"/>
      <c r="M14" s="286"/>
      <c r="N14" s="286"/>
      <c r="O14" s="286"/>
      <c r="P14" s="286"/>
    </row>
    <row r="15" spans="2:16">
      <c r="B15" s="225"/>
      <c r="C15" s="226" t="s">
        <v>461</v>
      </c>
      <c r="D15" s="226" t="s">
        <v>462</v>
      </c>
      <c r="E15" s="226"/>
      <c r="F15" s="226"/>
      <c r="G15" s="226"/>
      <c r="H15" s="292">
        <v>807441954.16000009</v>
      </c>
      <c r="I15" s="291"/>
      <c r="J15" s="293">
        <v>3412191837.1640162</v>
      </c>
      <c r="K15" s="291"/>
      <c r="L15" s="286"/>
      <c r="M15" s="286"/>
      <c r="N15" s="286"/>
      <c r="O15" s="286"/>
      <c r="P15" s="286"/>
    </row>
    <row r="16" spans="2:16">
      <c r="B16" s="225"/>
      <c r="C16" s="226"/>
      <c r="D16" s="294"/>
      <c r="E16" s="226"/>
      <c r="F16" s="226"/>
      <c r="G16" s="226"/>
      <c r="H16" s="295">
        <v>39378245301.420006</v>
      </c>
      <c r="I16" s="227">
        <v>0</v>
      </c>
      <c r="J16" s="295">
        <v>30978009539.205727</v>
      </c>
      <c r="K16" s="227"/>
      <c r="L16" s="296">
        <v>19975094436.459999</v>
      </c>
      <c r="M16" s="286"/>
      <c r="N16" s="296">
        <v>18104166391.549999</v>
      </c>
      <c r="O16" s="286"/>
      <c r="P16" s="296">
        <v>18043294318</v>
      </c>
    </row>
    <row r="17" spans="2:16">
      <c r="B17" s="225"/>
      <c r="C17" s="226"/>
      <c r="D17" s="226" t="s">
        <v>463</v>
      </c>
      <c r="E17" s="226"/>
      <c r="F17" s="226"/>
      <c r="G17" s="226"/>
      <c r="H17" s="295">
        <v>-947914379</v>
      </c>
      <c r="I17" s="291"/>
      <c r="J17" s="297">
        <v>-1044833003</v>
      </c>
      <c r="K17" s="291"/>
      <c r="L17" s="286">
        <v>-7885968</v>
      </c>
      <c r="M17" s="286"/>
      <c r="N17" s="298">
        <v>-6729222</v>
      </c>
      <c r="O17" s="286"/>
      <c r="P17" s="286"/>
    </row>
    <row r="18" spans="2:16">
      <c r="B18" s="225"/>
      <c r="C18" s="226"/>
      <c r="D18" s="226" t="s">
        <v>464</v>
      </c>
      <c r="E18" s="226"/>
      <c r="F18" s="226"/>
      <c r="G18" s="226"/>
      <c r="H18" s="227">
        <v>-119698420</v>
      </c>
      <c r="I18" s="291"/>
      <c r="J18" s="291">
        <v>-201304534</v>
      </c>
      <c r="K18" s="291"/>
      <c r="L18" s="286"/>
      <c r="M18" s="286"/>
      <c r="N18" s="299"/>
      <c r="O18" s="286"/>
      <c r="P18" s="286"/>
    </row>
    <row r="19" spans="2:16">
      <c r="B19" s="225"/>
      <c r="C19" s="226"/>
      <c r="D19" s="226"/>
      <c r="E19" s="226"/>
      <c r="F19" s="226"/>
      <c r="G19" s="226"/>
      <c r="H19" s="300">
        <v>38310632502.419998</v>
      </c>
      <c r="I19" s="227">
        <v>0</v>
      </c>
      <c r="J19" s="300">
        <v>29731872002.205727</v>
      </c>
      <c r="K19" s="227"/>
      <c r="L19" s="301">
        <v>19967208468.459999</v>
      </c>
      <c r="M19" s="286"/>
      <c r="N19" s="286">
        <v>18097437169.549999</v>
      </c>
      <c r="O19" s="286"/>
      <c r="P19" s="301">
        <v>18043294318</v>
      </c>
    </row>
    <row r="20" spans="2:16">
      <c r="B20" s="225" t="s">
        <v>465</v>
      </c>
      <c r="C20" s="226" t="s">
        <v>466</v>
      </c>
      <c r="D20" s="226"/>
      <c r="E20" s="226"/>
      <c r="F20" s="226"/>
      <c r="G20" s="226"/>
      <c r="H20" s="227"/>
      <c r="I20" s="291"/>
      <c r="J20" s="291"/>
      <c r="K20" s="291"/>
      <c r="L20" s="286"/>
      <c r="M20" s="286"/>
      <c r="N20" s="296"/>
      <c r="O20" s="286"/>
      <c r="P20" s="286"/>
    </row>
    <row r="21" spans="2:16">
      <c r="B21" s="225"/>
      <c r="C21" s="226"/>
      <c r="D21" s="226" t="s">
        <v>467</v>
      </c>
      <c r="E21" s="226"/>
      <c r="F21" s="226"/>
      <c r="G21" s="226"/>
      <c r="H21" s="227">
        <v>-21929523047.82</v>
      </c>
      <c r="I21" s="291"/>
      <c r="J21" s="291">
        <v>-16839540207.98</v>
      </c>
      <c r="K21" s="291"/>
      <c r="L21" s="286">
        <v>-13357136760.76</v>
      </c>
      <c r="M21" s="286"/>
      <c r="N21" s="298">
        <v>-12689348437.98</v>
      </c>
      <c r="O21" s="286"/>
      <c r="P21" s="286">
        <v>-12236614269.950001</v>
      </c>
    </row>
    <row r="22" spans="2:16">
      <c r="B22" s="225"/>
      <c r="C22" s="226"/>
      <c r="D22" s="294"/>
      <c r="E22" s="226"/>
      <c r="F22" s="226"/>
      <c r="G22" s="226"/>
      <c r="H22" s="292"/>
      <c r="I22" s="291"/>
      <c r="J22" s="293"/>
      <c r="K22" s="291"/>
      <c r="L22" s="286"/>
      <c r="M22" s="286"/>
      <c r="N22" s="299"/>
      <c r="O22" s="286"/>
      <c r="P22" s="286"/>
    </row>
    <row r="23" spans="2:16">
      <c r="B23" s="225"/>
      <c r="C23" s="226" t="s">
        <v>468</v>
      </c>
      <c r="D23" s="294"/>
      <c r="E23" s="294"/>
      <c r="F23" s="226"/>
      <c r="G23" s="226"/>
      <c r="H23" s="300">
        <v>16381109454.600006</v>
      </c>
      <c r="I23" s="227">
        <v>0</v>
      </c>
      <c r="J23" s="300">
        <v>12892331794.225727</v>
      </c>
      <c r="K23" s="227"/>
      <c r="L23" s="301">
        <v>6610071707.6999989</v>
      </c>
      <c r="M23" s="286"/>
      <c r="N23" s="301">
        <v>5408088731.5699997</v>
      </c>
      <c r="O23" s="286"/>
      <c r="P23" s="301">
        <v>5806680048.0499992</v>
      </c>
    </row>
    <row r="24" spans="2:16">
      <c r="B24" s="225"/>
      <c r="C24" s="294"/>
      <c r="D24" s="294"/>
      <c r="E24" s="294"/>
      <c r="F24" s="226"/>
      <c r="G24" s="226"/>
      <c r="H24" s="227"/>
      <c r="I24" s="291"/>
      <c r="J24" s="291"/>
      <c r="K24" s="291"/>
      <c r="L24" s="286"/>
      <c r="M24" s="286"/>
      <c r="N24" s="286"/>
      <c r="O24" s="286"/>
      <c r="P24" s="286"/>
    </row>
    <row r="25" spans="2:16">
      <c r="B25" s="225" t="s">
        <v>469</v>
      </c>
      <c r="C25" s="226" t="s">
        <v>470</v>
      </c>
      <c r="D25" s="226"/>
      <c r="E25" s="226"/>
      <c r="F25" s="226"/>
      <c r="G25" s="226"/>
      <c r="H25" s="227"/>
      <c r="I25" s="291"/>
      <c r="J25" s="291"/>
      <c r="K25" s="291"/>
      <c r="L25" s="286"/>
      <c r="M25" s="286"/>
      <c r="N25" s="286"/>
      <c r="O25" s="286"/>
      <c r="P25" s="286"/>
    </row>
    <row r="26" spans="2:16">
      <c r="B26" s="225"/>
      <c r="C26" s="226" t="s">
        <v>471</v>
      </c>
      <c r="D26" s="226" t="s">
        <v>472</v>
      </c>
      <c r="E26" s="226"/>
      <c r="F26" s="226"/>
      <c r="G26" s="226"/>
      <c r="H26" s="227">
        <v>-6212008209</v>
      </c>
      <c r="I26" s="291"/>
      <c r="J26" s="291">
        <v>-4229166769</v>
      </c>
      <c r="K26" s="291"/>
      <c r="L26" s="286">
        <v>-4281782429</v>
      </c>
      <c r="M26" s="286"/>
      <c r="N26" s="286">
        <v>-3097746288</v>
      </c>
      <c r="O26" s="286"/>
      <c r="P26" s="286">
        <v>-3248944889</v>
      </c>
    </row>
    <row r="27" spans="2:16">
      <c r="B27" s="225"/>
      <c r="C27" s="226" t="s">
        <v>473</v>
      </c>
      <c r="D27" s="226" t="s">
        <v>474</v>
      </c>
      <c r="E27" s="226"/>
      <c r="F27" s="226"/>
      <c r="G27" s="226"/>
      <c r="H27" s="227">
        <v>-4706724886.5600004</v>
      </c>
      <c r="I27" s="291"/>
      <c r="J27" s="291">
        <v>-2996606469.23</v>
      </c>
      <c r="K27" s="291"/>
      <c r="L27" s="286">
        <v>-2622378819</v>
      </c>
      <c r="M27" s="286"/>
      <c r="N27" s="286">
        <v>-1766921737</v>
      </c>
      <c r="O27" s="286"/>
      <c r="P27" s="286">
        <v>-1758109414.74</v>
      </c>
    </row>
    <row r="28" spans="2:16">
      <c r="B28" s="225"/>
      <c r="C28" s="226" t="s">
        <v>475</v>
      </c>
      <c r="D28" s="226" t="s">
        <v>476</v>
      </c>
      <c r="E28" s="226"/>
      <c r="F28" s="226"/>
      <c r="G28" s="226"/>
      <c r="H28" s="227">
        <v>-1368263038.2146664</v>
      </c>
      <c r="I28" s="291"/>
      <c r="J28" s="291">
        <v>-104425986.03999998</v>
      </c>
      <c r="K28" s="291"/>
      <c r="L28" s="286">
        <v>-51013842.409999996</v>
      </c>
      <c r="M28" s="286"/>
      <c r="N28" s="286">
        <v>-59689754.299999997</v>
      </c>
      <c r="O28" s="286"/>
      <c r="P28" s="286">
        <v>-68489279.090000004</v>
      </c>
    </row>
    <row r="29" spans="2:16">
      <c r="B29" s="225"/>
      <c r="C29" s="294"/>
      <c r="D29" s="226" t="s">
        <v>477</v>
      </c>
      <c r="E29" s="294"/>
      <c r="F29" s="226"/>
      <c r="G29" s="226"/>
      <c r="H29" s="300">
        <v>-12286996133.774668</v>
      </c>
      <c r="I29" s="227">
        <v>0</v>
      </c>
      <c r="J29" s="300">
        <v>-7330199224.2699995</v>
      </c>
      <c r="K29" s="227"/>
      <c r="L29" s="301">
        <v>-6955175090.4099998</v>
      </c>
      <c r="M29" s="286"/>
      <c r="N29" s="301">
        <v>-4924357779.3000002</v>
      </c>
      <c r="O29" s="286"/>
      <c r="P29" s="301">
        <v>-5075543582.8299999</v>
      </c>
    </row>
    <row r="30" spans="2:16">
      <c r="B30" s="225"/>
      <c r="C30" s="226"/>
      <c r="D30" s="226"/>
      <c r="E30" s="226"/>
      <c r="F30" s="226"/>
      <c r="G30" s="226"/>
      <c r="H30" s="227"/>
      <c r="I30" s="291"/>
      <c r="J30" s="291"/>
      <c r="K30" s="291"/>
      <c r="L30" s="286"/>
      <c r="M30" s="286"/>
      <c r="N30" s="286"/>
      <c r="O30" s="286"/>
      <c r="P30" s="286"/>
    </row>
    <row r="31" spans="2:16">
      <c r="B31" s="225"/>
      <c r="C31" s="226" t="s">
        <v>478</v>
      </c>
      <c r="D31" s="294"/>
      <c r="E31" s="294"/>
      <c r="F31" s="226"/>
      <c r="G31" s="226"/>
      <c r="H31" s="300">
        <v>4094113320.8253384</v>
      </c>
      <c r="I31" s="227">
        <v>0</v>
      </c>
      <c r="J31" s="300">
        <v>5562132569.9557276</v>
      </c>
      <c r="K31" s="227"/>
      <c r="L31" s="301">
        <v>-345103382.71000099</v>
      </c>
      <c r="M31" s="286"/>
      <c r="N31" s="301">
        <v>483730952.2699995</v>
      </c>
      <c r="O31" s="286"/>
      <c r="P31" s="301">
        <v>731136465.21999931</v>
      </c>
    </row>
    <row r="32" spans="2:16">
      <c r="B32" s="225"/>
      <c r="C32" s="226"/>
      <c r="D32" s="294"/>
      <c r="E32" s="294"/>
      <c r="F32" s="226"/>
      <c r="G32" s="226"/>
      <c r="H32" s="227"/>
      <c r="I32" s="227"/>
      <c r="J32" s="227"/>
      <c r="K32" s="227"/>
      <c r="L32" s="286"/>
      <c r="M32" s="286"/>
      <c r="N32" s="286"/>
      <c r="O32" s="286"/>
      <c r="P32" s="286"/>
    </row>
    <row r="33" spans="2:16">
      <c r="B33" s="225"/>
      <c r="C33" s="226" t="s">
        <v>479</v>
      </c>
      <c r="D33" s="294"/>
      <c r="E33" s="294"/>
      <c r="F33" s="226"/>
      <c r="G33" s="226"/>
      <c r="H33" s="227"/>
      <c r="I33" s="227"/>
      <c r="J33" s="227">
        <v>31000000</v>
      </c>
      <c r="K33" s="227"/>
      <c r="L33" s="286"/>
      <c r="M33" s="286"/>
      <c r="N33" s="286"/>
      <c r="O33" s="286"/>
      <c r="P33" s="286"/>
    </row>
    <row r="34" spans="2:16">
      <c r="B34" s="225"/>
      <c r="C34" s="514" t="s">
        <v>480</v>
      </c>
      <c r="D34" s="514"/>
      <c r="E34" s="514"/>
      <c r="F34" s="514"/>
      <c r="G34" s="226"/>
      <c r="H34" s="227">
        <v>125000000</v>
      </c>
      <c r="I34" s="227"/>
      <c r="J34" s="227"/>
      <c r="K34" s="227"/>
      <c r="L34" s="286"/>
      <c r="M34" s="286"/>
      <c r="N34" s="286"/>
      <c r="O34" s="286"/>
      <c r="P34" s="286"/>
    </row>
    <row r="35" spans="2:16">
      <c r="B35" s="225"/>
      <c r="C35" s="226"/>
      <c r="D35" s="294"/>
      <c r="E35" s="294"/>
      <c r="F35" s="226"/>
      <c r="G35" s="226"/>
      <c r="H35" s="227"/>
      <c r="I35" s="227"/>
      <c r="J35" s="227"/>
      <c r="K35" s="227"/>
      <c r="L35" s="286"/>
      <c r="M35" s="286"/>
      <c r="N35" s="286"/>
      <c r="O35" s="286"/>
      <c r="P35" s="286"/>
    </row>
    <row r="36" spans="2:16">
      <c r="B36" s="225" t="s">
        <v>481</v>
      </c>
      <c r="C36" s="302" t="s">
        <v>482</v>
      </c>
      <c r="D36" s="226"/>
      <c r="E36" s="226"/>
      <c r="F36" s="226"/>
      <c r="G36" s="226"/>
      <c r="H36" s="227"/>
      <c r="I36" s="291"/>
      <c r="J36" s="291"/>
      <c r="K36" s="291"/>
      <c r="L36" s="286"/>
      <c r="M36" s="286"/>
      <c r="N36" s="286"/>
      <c r="O36" s="286"/>
      <c r="P36" s="286"/>
    </row>
    <row r="37" spans="2:16">
      <c r="B37" s="225"/>
      <c r="C37" s="302" t="s">
        <v>483</v>
      </c>
      <c r="D37" s="226"/>
      <c r="E37" s="226"/>
      <c r="F37" s="226"/>
      <c r="G37" s="226"/>
      <c r="H37" s="227"/>
      <c r="I37" s="291"/>
      <c r="J37" s="291"/>
      <c r="K37" s="291"/>
      <c r="L37" s="286"/>
      <c r="M37" s="286"/>
      <c r="N37" s="286"/>
      <c r="O37" s="286"/>
      <c r="P37" s="286"/>
    </row>
    <row r="38" spans="2:16">
      <c r="B38" s="225"/>
      <c r="C38" s="302" t="s">
        <v>484</v>
      </c>
      <c r="D38" s="226" t="s">
        <v>485</v>
      </c>
      <c r="E38" s="226"/>
      <c r="F38" s="226"/>
      <c r="G38" s="226"/>
      <c r="H38" s="227">
        <v>17062953.18</v>
      </c>
      <c r="I38" s="291"/>
      <c r="J38" s="291">
        <v>29235030.729999997</v>
      </c>
      <c r="K38" s="291"/>
      <c r="L38" s="286">
        <v>30019816.190000001</v>
      </c>
      <c r="M38" s="286"/>
      <c r="N38" s="286">
        <v>2035444.51</v>
      </c>
      <c r="O38" s="286"/>
      <c r="P38" s="286">
        <v>1779098</v>
      </c>
    </row>
    <row r="39" spans="2:16">
      <c r="B39" s="225"/>
      <c r="C39" s="302" t="s">
        <v>486</v>
      </c>
      <c r="D39" s="226" t="s">
        <v>487</v>
      </c>
      <c r="E39" s="226"/>
      <c r="F39" s="226"/>
      <c r="G39" s="226"/>
      <c r="H39" s="227">
        <v>-11946553.9</v>
      </c>
      <c r="I39" s="291"/>
      <c r="J39" s="291">
        <v>-16664169.620000001</v>
      </c>
      <c r="K39" s="291"/>
      <c r="L39" s="286">
        <v>-19823598.5</v>
      </c>
      <c r="M39" s="286"/>
      <c r="N39" s="286">
        <v>-8668121.9199999999</v>
      </c>
      <c r="O39" s="286"/>
      <c r="P39" s="286">
        <v>-10780824</v>
      </c>
    </row>
    <row r="40" spans="2:16">
      <c r="B40" s="225"/>
      <c r="C40" s="302"/>
      <c r="D40" s="226"/>
      <c r="E40" s="226"/>
      <c r="F40" s="226"/>
      <c r="G40" s="226"/>
      <c r="H40" s="300">
        <v>5116399.2799999993</v>
      </c>
      <c r="I40" s="227">
        <v>0</v>
      </c>
      <c r="J40" s="300">
        <v>12570861.109999996</v>
      </c>
      <c r="K40" s="227"/>
      <c r="L40" s="301">
        <v>10196217.690000001</v>
      </c>
      <c r="M40" s="286"/>
      <c r="N40" s="301">
        <v>-6632677.4100000001</v>
      </c>
      <c r="O40" s="286"/>
      <c r="P40" s="301">
        <v>-9001726</v>
      </c>
    </row>
    <row r="41" spans="2:16">
      <c r="B41" s="225"/>
      <c r="C41" s="302"/>
      <c r="D41" s="226"/>
      <c r="E41" s="226"/>
      <c r="F41" s="226"/>
      <c r="G41" s="226"/>
      <c r="H41" s="303"/>
      <c r="I41" s="291"/>
      <c r="J41" s="304"/>
      <c r="K41" s="291"/>
      <c r="L41" s="286"/>
      <c r="M41" s="286"/>
      <c r="N41" s="286"/>
      <c r="O41" s="286"/>
      <c r="P41" s="286"/>
    </row>
    <row r="42" spans="2:16" ht="16.5" thickBot="1">
      <c r="B42" s="225"/>
      <c r="C42" s="226" t="s">
        <v>488</v>
      </c>
      <c r="D42" s="226"/>
      <c r="E42" s="226"/>
      <c r="F42" s="226"/>
      <c r="G42" s="226"/>
      <c r="H42" s="305">
        <v>4224229720.1053386</v>
      </c>
      <c r="I42" s="227">
        <v>0</v>
      </c>
      <c r="J42" s="305">
        <v>5605703431.0657272</v>
      </c>
      <c r="K42" s="227"/>
      <c r="L42" s="306">
        <v>-334907165.02000099</v>
      </c>
      <c r="M42" s="286"/>
      <c r="N42" s="306">
        <v>477098274.85999948</v>
      </c>
      <c r="O42" s="286"/>
      <c r="P42" s="306">
        <v>722134739.21999931</v>
      </c>
    </row>
    <row r="43" spans="2:16" ht="16.5" thickTop="1">
      <c r="B43" s="225"/>
      <c r="C43" s="226"/>
      <c r="D43" s="226"/>
      <c r="E43" s="226"/>
      <c r="F43" s="226"/>
      <c r="G43" s="226"/>
      <c r="H43" s="227"/>
      <c r="I43" s="227"/>
      <c r="J43" s="227"/>
      <c r="K43" s="227"/>
      <c r="L43" s="298"/>
      <c r="M43" s="286"/>
      <c r="N43" s="286"/>
      <c r="O43" s="286"/>
      <c r="P43" s="286"/>
    </row>
    <row r="44" spans="2:16">
      <c r="B44" s="225"/>
      <c r="C44" s="226" t="s">
        <v>489</v>
      </c>
      <c r="D44" s="226"/>
      <c r="E44" s="226"/>
      <c r="F44" s="226"/>
      <c r="G44" s="226"/>
      <c r="H44" s="227">
        <v>5665224227.4282274</v>
      </c>
      <c r="I44" s="227"/>
      <c r="J44" s="227">
        <v>59520796.362500548</v>
      </c>
      <c r="K44" s="227"/>
      <c r="L44" s="286">
        <v>394427960.38999999</v>
      </c>
      <c r="M44" s="286"/>
      <c r="N44" s="286">
        <v>661939787.95000005</v>
      </c>
      <c r="O44" s="286"/>
      <c r="P44" s="286">
        <v>857593204.38</v>
      </c>
    </row>
    <row r="45" spans="2:16">
      <c r="B45" s="225"/>
      <c r="C45" s="226" t="s">
        <v>490</v>
      </c>
      <c r="D45" s="226"/>
      <c r="E45" s="226"/>
      <c r="F45" s="226"/>
      <c r="G45" s="226"/>
      <c r="H45" s="227"/>
      <c r="I45" s="227"/>
      <c r="J45" s="227"/>
      <c r="K45" s="227"/>
      <c r="L45" s="286"/>
      <c r="M45" s="286"/>
      <c r="N45" s="286">
        <v>-166150102.36000001</v>
      </c>
      <c r="O45" s="286"/>
      <c r="P45" s="286"/>
    </row>
    <row r="46" spans="2:16">
      <c r="B46" s="225"/>
      <c r="C46" s="226" t="s">
        <v>491</v>
      </c>
      <c r="D46" s="226"/>
      <c r="E46" s="226"/>
      <c r="F46" s="226"/>
      <c r="G46" s="226"/>
      <c r="H46" s="227"/>
      <c r="I46" s="227"/>
      <c r="J46" s="227"/>
      <c r="K46" s="227"/>
      <c r="L46" s="286"/>
      <c r="M46" s="286"/>
      <c r="N46" s="286">
        <v>-578460000</v>
      </c>
      <c r="O46" s="286"/>
      <c r="P46" s="286">
        <v>-917788156.00999999</v>
      </c>
    </row>
    <row r="47" spans="2:16" ht="16.5" thickBot="1">
      <c r="B47" s="225"/>
      <c r="C47" s="226" t="s">
        <v>492</v>
      </c>
      <c r="D47" s="226"/>
      <c r="E47" s="226"/>
      <c r="F47" s="226"/>
      <c r="G47" s="226"/>
      <c r="H47" s="305">
        <v>9889453947.5335655</v>
      </c>
      <c r="I47" s="227"/>
      <c r="J47" s="305">
        <v>5665224227.4282274</v>
      </c>
      <c r="K47" s="227"/>
      <c r="L47" s="306">
        <v>59520795.369998991</v>
      </c>
      <c r="M47" s="286"/>
      <c r="N47" s="306">
        <v>394427960.44999951</v>
      </c>
      <c r="O47" s="286"/>
      <c r="P47" s="306">
        <v>661939787.58999932</v>
      </c>
    </row>
    <row r="48" spans="2:16" ht="6" customHeight="1" thickTop="1">
      <c r="B48" s="225"/>
      <c r="C48" s="226"/>
      <c r="D48" s="226"/>
      <c r="E48" s="226"/>
      <c r="F48" s="226"/>
      <c r="G48" s="226"/>
      <c r="H48" s="227">
        <v>0</v>
      </c>
      <c r="I48" s="227"/>
      <c r="J48" s="227">
        <v>0</v>
      </c>
      <c r="K48" s="227"/>
      <c r="L48" s="286"/>
      <c r="M48" s="286"/>
      <c r="N48" s="286"/>
      <c r="O48" s="286"/>
      <c r="P48" s="286"/>
    </row>
    <row r="49" spans="2:16">
      <c r="B49" s="225"/>
      <c r="C49" s="226"/>
      <c r="D49" s="226"/>
      <c r="E49" s="226"/>
      <c r="F49" s="226"/>
      <c r="G49" s="226"/>
      <c r="H49" s="227"/>
      <c r="I49" s="227"/>
      <c r="J49" s="227"/>
      <c r="K49" s="227"/>
    </row>
    <row r="50" spans="2:16" hidden="1">
      <c r="B50" s="225"/>
      <c r="C50" s="226"/>
      <c r="D50" s="226"/>
      <c r="E50" s="226"/>
      <c r="F50" s="226"/>
      <c r="G50" s="226"/>
      <c r="H50" s="308">
        <f>H19+H34+H38</f>
        <v>38452695455.599998</v>
      </c>
      <c r="I50" s="309">
        <v>0</v>
      </c>
      <c r="J50" s="308">
        <v>29731872002.205727</v>
      </c>
      <c r="K50" s="309"/>
      <c r="L50" s="310">
        <v>19967208468.459999</v>
      </c>
      <c r="M50" s="311"/>
      <c r="N50" s="310">
        <v>18097437169.549999</v>
      </c>
      <c r="O50" s="311"/>
      <c r="P50" s="310">
        <v>18043294318</v>
      </c>
    </row>
    <row r="51" spans="2:16">
      <c r="B51" s="225"/>
      <c r="C51" s="226"/>
      <c r="D51" s="226"/>
      <c r="E51" s="226"/>
      <c r="F51" s="226"/>
      <c r="G51" s="226"/>
      <c r="H51" s="227"/>
      <c r="I51" s="227"/>
      <c r="J51" s="227"/>
      <c r="K51" s="227"/>
    </row>
    <row r="52" spans="2:16" hidden="1">
      <c r="B52" s="225"/>
      <c r="C52" s="226"/>
      <c r="D52" s="226"/>
      <c r="E52" s="226"/>
      <c r="F52" s="226"/>
      <c r="G52" s="226"/>
      <c r="H52" s="227">
        <f>H39+H29+H21</f>
        <v>-34228465735.494667</v>
      </c>
      <c r="I52" s="227">
        <f t="shared" ref="I52:P52" si="0">I39+I29+I21</f>
        <v>0</v>
      </c>
      <c r="J52" s="227">
        <f t="shared" si="0"/>
        <v>-24186403601.869999</v>
      </c>
      <c r="K52" s="227">
        <f t="shared" si="0"/>
        <v>0</v>
      </c>
      <c r="L52" s="227">
        <f t="shared" si="0"/>
        <v>-20332135449.669998</v>
      </c>
      <c r="M52" s="227"/>
      <c r="N52" s="227">
        <f t="shared" si="0"/>
        <v>-17622374339.200001</v>
      </c>
      <c r="O52" s="227"/>
      <c r="P52" s="227">
        <f t="shared" si="0"/>
        <v>-17322938676.779999</v>
      </c>
    </row>
    <row r="53" spans="2:16" hidden="1">
      <c r="B53" s="225"/>
      <c r="C53" s="226"/>
      <c r="D53" s="226"/>
      <c r="E53" s="226"/>
      <c r="F53" s="226"/>
      <c r="G53" s="226"/>
      <c r="H53" s="227"/>
      <c r="I53" s="227"/>
      <c r="J53" s="227"/>
      <c r="K53" s="227"/>
    </row>
    <row r="54" spans="2:16" hidden="1">
      <c r="B54" s="225"/>
      <c r="C54" s="226"/>
      <c r="D54" s="226"/>
      <c r="E54" s="226"/>
      <c r="F54" s="226"/>
      <c r="G54" s="226"/>
      <c r="H54" s="227"/>
      <c r="I54" s="227"/>
      <c r="J54" s="227"/>
      <c r="K54" s="227"/>
      <c r="P54" s="311">
        <v>0.36000072956085205</v>
      </c>
    </row>
    <row r="55" spans="2:16" hidden="1">
      <c r="B55" s="225"/>
      <c r="C55" s="226"/>
      <c r="D55" s="226"/>
      <c r="E55" s="226"/>
      <c r="F55" s="226"/>
      <c r="G55" s="226"/>
      <c r="H55" s="227"/>
      <c r="I55" s="227"/>
      <c r="J55" s="227"/>
      <c r="K55" s="227"/>
    </row>
    <row r="56" spans="2:16" hidden="1">
      <c r="B56" s="225"/>
      <c r="C56" s="226"/>
      <c r="D56" s="226"/>
      <c r="E56" s="226"/>
      <c r="F56" s="226"/>
      <c r="G56" s="226"/>
      <c r="H56" s="227"/>
      <c r="I56" s="227"/>
      <c r="J56" s="227"/>
      <c r="K56" s="227"/>
      <c r="P56" s="311">
        <v>-166150102.34000015</v>
      </c>
    </row>
    <row r="57" spans="2:16">
      <c r="B57" s="225"/>
      <c r="C57" s="226"/>
      <c r="D57" s="226"/>
      <c r="E57" s="226"/>
      <c r="F57" s="226"/>
      <c r="G57" s="226"/>
      <c r="H57" s="227"/>
      <c r="I57" s="227"/>
      <c r="J57" s="227"/>
      <c r="K57" s="227"/>
    </row>
    <row r="58" spans="2:16" hidden="1">
      <c r="B58" s="225"/>
      <c r="C58" s="226"/>
      <c r="D58" s="226"/>
      <c r="E58" s="226"/>
      <c r="F58" s="226"/>
      <c r="G58" s="226"/>
      <c r="H58" s="515" t="s">
        <v>493</v>
      </c>
      <c r="I58" s="515"/>
      <c r="J58" s="515"/>
      <c r="K58" s="236"/>
    </row>
    <row r="59" spans="2:16" hidden="1">
      <c r="B59" s="225"/>
      <c r="C59" s="226"/>
      <c r="D59" s="226"/>
      <c r="E59" s="226"/>
      <c r="F59" s="226"/>
      <c r="G59" s="226"/>
      <c r="H59" s="227"/>
      <c r="I59" s="227"/>
      <c r="J59" s="228"/>
      <c r="K59" s="229"/>
    </row>
    <row r="60" spans="2:16" hidden="1">
      <c r="B60" s="225"/>
      <c r="C60" s="226"/>
      <c r="D60" s="226"/>
      <c r="E60" s="226"/>
      <c r="F60" s="226"/>
      <c r="G60" s="226"/>
      <c r="H60" s="227"/>
      <c r="I60" s="227"/>
      <c r="J60" s="228"/>
      <c r="K60" s="229"/>
    </row>
    <row r="61" spans="2:16" hidden="1">
      <c r="B61" s="225"/>
      <c r="C61" s="226"/>
      <c r="D61" s="226"/>
      <c r="E61" s="226"/>
      <c r="F61" s="226"/>
      <c r="G61" s="226"/>
      <c r="H61" s="227"/>
      <c r="I61" s="227"/>
      <c r="J61" s="228"/>
      <c r="K61" s="229"/>
    </row>
    <row r="62" spans="2:16" hidden="1">
      <c r="B62" s="225"/>
      <c r="C62" s="226"/>
      <c r="D62" s="226"/>
      <c r="E62" s="226"/>
      <c r="F62" s="226"/>
      <c r="G62" s="226"/>
      <c r="H62" s="227"/>
      <c r="I62" s="227"/>
      <c r="J62" s="228"/>
      <c r="K62" s="229"/>
    </row>
    <row r="63" spans="2:16" hidden="1">
      <c r="B63" s="225"/>
      <c r="C63" s="226"/>
      <c r="D63" s="226"/>
      <c r="E63" s="226"/>
      <c r="F63" s="226"/>
      <c r="G63" s="226"/>
      <c r="H63" s="511" t="s">
        <v>494</v>
      </c>
      <c r="I63" s="511"/>
      <c r="J63" s="511"/>
      <c r="K63" s="230"/>
    </row>
    <row r="64" spans="2:16" hidden="1"/>
    <row r="65" hidden="1"/>
    <row r="66" hidden="1"/>
    <row r="67" hidden="1"/>
    <row r="68" hidden="1"/>
    <row r="69" hidden="1"/>
    <row r="70" hidden="1"/>
  </sheetData>
  <mergeCells count="6">
    <mergeCell ref="H63:J63"/>
    <mergeCell ref="B1:P1"/>
    <mergeCell ref="B2:P2"/>
    <mergeCell ref="B3:P3"/>
    <mergeCell ref="C34:F34"/>
    <mergeCell ref="H58:J58"/>
  </mergeCells>
  <printOptions horizontalCentered="1"/>
  <pageMargins left="0.75" right="0" top="0.25" bottom="0.25" header="0.3" footer="0.3"/>
  <pageSetup paperSize="9" scale="7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C21" sqref="C21"/>
    </sheetView>
  </sheetViews>
  <sheetFormatPr defaultRowHeight="15"/>
  <cols>
    <col min="1" max="1" width="3" bestFit="1" customWidth="1"/>
    <col min="2" max="2" width="5.5703125" customWidth="1"/>
    <col min="3" max="3" width="29.7109375" customWidth="1"/>
    <col min="4" max="4" width="10.28515625" bestFit="1" customWidth="1"/>
    <col min="5" max="9" width="10.5703125" bestFit="1" customWidth="1"/>
    <col min="10" max="10" width="10.5703125" customWidth="1"/>
    <col min="11" max="12" width="11.28515625" customWidth="1"/>
    <col min="13" max="13" width="11.42578125" customWidth="1"/>
    <col min="14" max="14" width="10.5703125" bestFit="1" customWidth="1"/>
    <col min="15" max="15" width="13.140625" customWidth="1"/>
  </cols>
  <sheetData>
    <row r="1" spans="1:15" ht="18.75">
      <c r="A1" s="5" t="s">
        <v>104</v>
      </c>
      <c r="B1" s="5"/>
      <c r="C1" s="5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8.75">
      <c r="A2" s="5" t="s">
        <v>105</v>
      </c>
      <c r="B2" s="5"/>
      <c r="C2" s="5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8.75">
      <c r="A3" s="5" t="s">
        <v>106</v>
      </c>
      <c r="B3" s="5"/>
      <c r="C3" s="5"/>
      <c r="D3" s="6"/>
      <c r="E3" s="6"/>
      <c r="F3" s="7"/>
      <c r="G3" s="7"/>
      <c r="H3" s="7"/>
      <c r="I3" s="7"/>
      <c r="J3" s="7"/>
      <c r="K3" s="7"/>
      <c r="L3" s="7"/>
      <c r="M3" s="8"/>
      <c r="N3" s="8"/>
      <c r="O3" s="7"/>
    </row>
    <row r="4" spans="1:15" ht="15.75" thickBo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9" t="s">
        <v>0</v>
      </c>
      <c r="N4" s="9"/>
      <c r="O4" s="7"/>
    </row>
    <row r="5" spans="1:15" ht="16.5" thickTop="1" thickBot="1">
      <c r="A5" s="10"/>
      <c r="B5" s="574" t="s">
        <v>2</v>
      </c>
      <c r="C5" s="576"/>
      <c r="D5" s="11"/>
      <c r="E5" s="11"/>
      <c r="F5" s="11"/>
      <c r="G5" s="11"/>
      <c r="H5" s="11"/>
      <c r="I5" s="11"/>
      <c r="J5" s="11"/>
      <c r="K5" s="11"/>
      <c r="L5" s="11"/>
      <c r="M5" s="11"/>
      <c r="N5" s="11">
        <f>+'[9]PENERIMAAN dalam jutaan'!N26</f>
        <v>40580.469396083616</v>
      </c>
      <c r="O5" s="12">
        <f>SUM(E5:N5)</f>
        <v>40580.469396083616</v>
      </c>
    </row>
    <row r="6" spans="1:15" ht="16.5" thickTop="1" thickBot="1">
      <c r="A6" s="13"/>
      <c r="B6" s="574" t="s">
        <v>107</v>
      </c>
      <c r="C6" s="576"/>
      <c r="D6" s="14"/>
      <c r="E6" s="15">
        <f>+D31</f>
        <v>0</v>
      </c>
      <c r="F6" s="16">
        <f>+E31</f>
        <v>0</v>
      </c>
      <c r="G6" s="16">
        <f t="shared" ref="G6:N6" si="0">+F31</f>
        <v>0</v>
      </c>
      <c r="H6" s="16">
        <f t="shared" si="0"/>
        <v>0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0</v>
      </c>
      <c r="O6" s="17"/>
    </row>
    <row r="7" spans="1:15" ht="16.5" thickTop="1" thickBot="1">
      <c r="A7" s="13"/>
      <c r="B7" s="574" t="s">
        <v>108</v>
      </c>
      <c r="C7" s="576"/>
      <c r="D7" s="15">
        <f>SUM(D5:D6)</f>
        <v>0</v>
      </c>
      <c r="E7" s="15">
        <f>SUM(E5:E6)</f>
        <v>0</v>
      </c>
      <c r="F7" s="15">
        <f t="shared" ref="F7:N7" si="1">SUM(F5:F6)</f>
        <v>0</v>
      </c>
      <c r="G7" s="15">
        <f t="shared" si="1"/>
        <v>0</v>
      </c>
      <c r="H7" s="15">
        <f t="shared" si="1"/>
        <v>0</v>
      </c>
      <c r="I7" s="15">
        <f t="shared" si="1"/>
        <v>0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1"/>
        <v>40580.469396083616</v>
      </c>
      <c r="O7" s="17"/>
    </row>
    <row r="8" spans="1:15" ht="15.75" thickTop="1">
      <c r="A8" s="13"/>
      <c r="B8" s="581" t="s">
        <v>1</v>
      </c>
      <c r="C8" s="582"/>
      <c r="D8" s="585">
        <v>2013</v>
      </c>
      <c r="E8" s="579">
        <v>2014</v>
      </c>
      <c r="F8" s="577">
        <v>2015</v>
      </c>
      <c r="G8" s="570">
        <v>2016</v>
      </c>
      <c r="H8" s="570">
        <v>2017</v>
      </c>
      <c r="I8" s="570">
        <v>2018</v>
      </c>
      <c r="J8" s="570">
        <v>2019</v>
      </c>
      <c r="K8" s="570">
        <v>2020</v>
      </c>
      <c r="L8" s="570">
        <v>2021</v>
      </c>
      <c r="M8" s="570">
        <v>2022</v>
      </c>
      <c r="N8" s="570">
        <v>2023</v>
      </c>
      <c r="O8" s="570" t="s">
        <v>109</v>
      </c>
    </row>
    <row r="9" spans="1:15" ht="15.75" thickBot="1">
      <c r="A9" s="18"/>
      <c r="B9" s="583"/>
      <c r="C9" s="584"/>
      <c r="D9" s="586"/>
      <c r="E9" s="580"/>
      <c r="F9" s="578"/>
      <c r="G9" s="571"/>
      <c r="H9" s="571"/>
      <c r="I9" s="571"/>
      <c r="J9" s="571"/>
      <c r="K9" s="571"/>
      <c r="L9" s="571"/>
      <c r="M9" s="571"/>
      <c r="N9" s="571"/>
      <c r="O9" s="571"/>
    </row>
    <row r="10" spans="1:15" ht="15.75" thickTop="1">
      <c r="A10" s="19"/>
      <c r="B10" s="572" t="s">
        <v>110</v>
      </c>
      <c r="C10" s="573"/>
      <c r="D10" s="20"/>
      <c r="E10" s="21"/>
      <c r="F10" s="22"/>
      <c r="G10" s="23"/>
      <c r="H10" s="23"/>
      <c r="I10" s="23"/>
      <c r="J10" s="23"/>
      <c r="K10" s="23"/>
      <c r="L10" s="23"/>
      <c r="M10" s="23"/>
      <c r="N10" s="23"/>
      <c r="O10" s="23"/>
    </row>
    <row r="11" spans="1:15">
      <c r="A11" s="24"/>
      <c r="B11" s="25"/>
      <c r="C11" s="26"/>
      <c r="D11" s="27"/>
      <c r="E11" s="24"/>
      <c r="F11" s="28"/>
      <c r="G11" s="28"/>
      <c r="H11" s="28"/>
      <c r="I11" s="28"/>
      <c r="J11" s="28"/>
      <c r="K11" s="28"/>
      <c r="L11" s="28"/>
      <c r="M11" s="28"/>
      <c r="N11" s="28"/>
      <c r="O11" s="28"/>
    </row>
    <row r="12" spans="1:15">
      <c r="A12" s="29">
        <v>64</v>
      </c>
      <c r="B12" s="30" t="s">
        <v>21</v>
      </c>
      <c r="C12" s="31"/>
      <c r="D12" s="32"/>
      <c r="E12" s="33"/>
      <c r="F12" s="34"/>
      <c r="G12" s="34"/>
      <c r="H12" s="34"/>
      <c r="I12" s="34"/>
      <c r="J12" s="34"/>
      <c r="K12" s="34"/>
      <c r="L12" s="34"/>
      <c r="M12" s="34"/>
      <c r="N12" s="34"/>
      <c r="O12" s="35">
        <f>SUM(E12:N12)</f>
        <v>0</v>
      </c>
    </row>
    <row r="13" spans="1:15">
      <c r="A13" s="36">
        <v>63</v>
      </c>
      <c r="B13" s="37" t="s">
        <v>47</v>
      </c>
      <c r="C13" s="38"/>
      <c r="D13" s="39"/>
      <c r="E13" s="40"/>
      <c r="F13" s="40"/>
      <c r="G13" s="40"/>
      <c r="H13" s="40"/>
      <c r="I13" s="40"/>
      <c r="J13" s="40"/>
      <c r="K13" s="41"/>
      <c r="L13" s="41"/>
      <c r="M13" s="41"/>
      <c r="N13" s="40"/>
      <c r="O13" s="41">
        <f t="shared" ref="O13:O17" si="2">SUM(E13:N13)</f>
        <v>0</v>
      </c>
    </row>
    <row r="14" spans="1:15">
      <c r="A14" s="29">
        <v>65</v>
      </c>
      <c r="B14" s="30" t="s">
        <v>55</v>
      </c>
      <c r="C14" s="31"/>
      <c r="D14" s="32"/>
      <c r="E14" s="1"/>
      <c r="F14" s="34"/>
      <c r="G14" s="34"/>
      <c r="H14" s="34"/>
      <c r="I14" s="34"/>
      <c r="J14" s="35"/>
      <c r="K14" s="35"/>
      <c r="L14" s="35"/>
      <c r="M14" s="35"/>
      <c r="N14" s="34"/>
      <c r="O14" s="35">
        <f>SUM(E14:N14)</f>
        <v>0</v>
      </c>
    </row>
    <row r="15" spans="1:15">
      <c r="A15" s="29">
        <v>66</v>
      </c>
      <c r="B15" s="30" t="s">
        <v>58</v>
      </c>
      <c r="C15" s="31"/>
      <c r="D15" s="32"/>
      <c r="E15" s="1"/>
      <c r="F15" s="34"/>
      <c r="G15" s="34"/>
      <c r="H15" s="34"/>
      <c r="I15" s="34"/>
      <c r="J15" s="35"/>
      <c r="K15" s="35"/>
      <c r="L15" s="35"/>
      <c r="M15" s="35"/>
      <c r="N15" s="34"/>
      <c r="O15" s="35">
        <f t="shared" si="2"/>
        <v>0</v>
      </c>
    </row>
    <row r="16" spans="1:15">
      <c r="A16" s="29">
        <v>62</v>
      </c>
      <c r="B16" s="30" t="s">
        <v>61</v>
      </c>
      <c r="C16" s="31"/>
      <c r="D16" s="32"/>
      <c r="E16" s="1"/>
      <c r="F16" s="34"/>
      <c r="G16" s="34"/>
      <c r="H16" s="34"/>
      <c r="I16" s="34"/>
      <c r="J16" s="35"/>
      <c r="K16" s="35"/>
      <c r="L16" s="35"/>
      <c r="M16" s="35"/>
      <c r="N16" s="34"/>
      <c r="O16" s="35">
        <f t="shared" si="2"/>
        <v>0</v>
      </c>
    </row>
    <row r="17" spans="1:15">
      <c r="A17" s="29">
        <v>60</v>
      </c>
      <c r="B17" s="30" t="s">
        <v>73</v>
      </c>
      <c r="C17" s="31"/>
      <c r="D17" s="32"/>
      <c r="E17" s="1"/>
      <c r="F17" s="34"/>
      <c r="G17" s="34"/>
      <c r="H17" s="34"/>
      <c r="I17" s="34"/>
      <c r="J17" s="35"/>
      <c r="K17" s="35"/>
      <c r="L17" s="35"/>
      <c r="M17" s="35"/>
      <c r="N17" s="34"/>
      <c r="O17" s="35">
        <f t="shared" si="2"/>
        <v>0</v>
      </c>
    </row>
    <row r="18" spans="1:15" ht="15.75" thickBot="1">
      <c r="A18" s="42"/>
      <c r="B18" s="43"/>
      <c r="C18" s="44"/>
      <c r="D18" s="45">
        <f>G18*$D$34</f>
        <v>0</v>
      </c>
      <c r="E18" s="46"/>
      <c r="F18" s="47">
        <f t="shared" ref="F18:G18" si="3">E18*1.2</f>
        <v>0</v>
      </c>
      <c r="G18" s="47">
        <f t="shared" si="3"/>
        <v>0</v>
      </c>
      <c r="H18" s="47">
        <f t="shared" ref="H18" si="4">G18*1.4</f>
        <v>0</v>
      </c>
      <c r="I18" s="47">
        <f t="shared" ref="I18" si="5">H18*1.5</f>
        <v>0</v>
      </c>
      <c r="J18" s="48">
        <f>I18*1.5</f>
        <v>0</v>
      </c>
      <c r="K18" s="48">
        <f t="shared" ref="K18" si="6">J18*1.6</f>
        <v>0</v>
      </c>
      <c r="L18" s="48">
        <f t="shared" ref="L18" si="7">K18*1.7</f>
        <v>0</v>
      </c>
      <c r="M18" s="48">
        <f t="shared" ref="M18" si="8">L18*1.8</f>
        <v>0</v>
      </c>
      <c r="N18" s="35">
        <v>0</v>
      </c>
      <c r="O18" s="49"/>
    </row>
    <row r="19" spans="1:15" ht="16.5" thickTop="1" thickBot="1">
      <c r="A19" s="10"/>
      <c r="B19" s="50"/>
      <c r="C19" s="51"/>
      <c r="D19" s="52">
        <f t="shared" ref="D19:O19" si="9">SUM(D12:D18)</f>
        <v>0</v>
      </c>
      <c r="E19" s="53">
        <f t="shared" si="9"/>
        <v>0</v>
      </c>
      <c r="F19" s="53">
        <f t="shared" si="9"/>
        <v>0</v>
      </c>
      <c r="G19" s="53">
        <f t="shared" si="9"/>
        <v>0</v>
      </c>
      <c r="H19" s="53">
        <f t="shared" si="9"/>
        <v>0</v>
      </c>
      <c r="I19" s="53">
        <f t="shared" si="9"/>
        <v>0</v>
      </c>
      <c r="J19" s="53">
        <f t="shared" si="9"/>
        <v>0</v>
      </c>
      <c r="K19" s="53">
        <f t="shared" si="9"/>
        <v>0</v>
      </c>
      <c r="L19" s="53">
        <f t="shared" si="9"/>
        <v>0</v>
      </c>
      <c r="M19" s="53">
        <f t="shared" si="9"/>
        <v>0</v>
      </c>
      <c r="N19" s="53">
        <f t="shared" si="9"/>
        <v>0</v>
      </c>
      <c r="O19" s="53">
        <f t="shared" si="9"/>
        <v>0</v>
      </c>
    </row>
    <row r="20" spans="1:15" ht="15.75" thickTop="1">
      <c r="A20" s="24"/>
      <c r="B20" s="25" t="s">
        <v>111</v>
      </c>
      <c r="C20" s="26"/>
      <c r="D20" s="54"/>
      <c r="E20" s="55"/>
      <c r="F20" s="56"/>
      <c r="G20" s="56"/>
      <c r="H20" s="56"/>
      <c r="I20" s="56"/>
      <c r="J20" s="57"/>
      <c r="K20" s="56"/>
      <c r="L20" s="56"/>
      <c r="M20" s="56"/>
      <c r="N20" s="35"/>
      <c r="O20" s="35">
        <f t="shared" ref="O20:O26" si="10">SUM(E20:N20)</f>
        <v>0</v>
      </c>
    </row>
    <row r="21" spans="1:15">
      <c r="A21" s="29"/>
      <c r="B21" s="30" t="s">
        <v>112</v>
      </c>
      <c r="C21" s="31"/>
      <c r="D21" s="32"/>
      <c r="E21" s="1"/>
      <c r="F21" s="34"/>
      <c r="G21" s="34"/>
      <c r="H21" s="34"/>
      <c r="I21" s="34"/>
      <c r="J21" s="35"/>
      <c r="K21" s="35"/>
      <c r="L21" s="35"/>
      <c r="M21" s="35"/>
      <c r="N21" s="35"/>
      <c r="O21" s="35">
        <f t="shared" si="10"/>
        <v>0</v>
      </c>
    </row>
    <row r="22" spans="1:15">
      <c r="A22" s="42"/>
      <c r="B22" s="43" t="s">
        <v>113</v>
      </c>
      <c r="C22" s="44"/>
      <c r="D22" s="32"/>
      <c r="E22" s="1"/>
      <c r="F22" s="34"/>
      <c r="G22" s="34"/>
      <c r="H22" s="34"/>
      <c r="I22" s="34"/>
      <c r="J22" s="35"/>
      <c r="K22" s="35"/>
      <c r="L22" s="35"/>
      <c r="M22" s="35"/>
      <c r="N22" s="35"/>
      <c r="O22" s="35">
        <f t="shared" si="10"/>
        <v>0</v>
      </c>
    </row>
    <row r="23" spans="1:15">
      <c r="A23" s="42"/>
      <c r="B23" s="43" t="s">
        <v>114</v>
      </c>
      <c r="C23" s="44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35">
        <f t="shared" si="10"/>
        <v>0</v>
      </c>
    </row>
    <row r="24" spans="1:15">
      <c r="A24" s="42"/>
      <c r="B24" s="43" t="s">
        <v>115</v>
      </c>
      <c r="C24" s="44"/>
      <c r="D24" s="32"/>
      <c r="E24" s="1"/>
      <c r="F24" s="34"/>
      <c r="G24" s="34"/>
      <c r="H24" s="34"/>
      <c r="I24" s="34"/>
      <c r="J24" s="35"/>
      <c r="K24" s="35"/>
      <c r="L24" s="35"/>
      <c r="M24" s="35"/>
      <c r="N24" s="35"/>
      <c r="O24" s="35">
        <f t="shared" si="10"/>
        <v>0</v>
      </c>
    </row>
    <row r="25" spans="1:15">
      <c r="A25" s="42"/>
      <c r="B25" s="43" t="s">
        <v>92</v>
      </c>
      <c r="C25" s="44"/>
      <c r="D25" s="32"/>
      <c r="E25" s="1"/>
      <c r="F25" s="34"/>
      <c r="G25" s="34"/>
      <c r="H25" s="34"/>
      <c r="I25" s="34"/>
      <c r="J25" s="35"/>
      <c r="K25" s="35"/>
      <c r="L25" s="35"/>
      <c r="M25" s="35"/>
      <c r="N25" s="35"/>
      <c r="O25" s="35">
        <f t="shared" si="10"/>
        <v>0</v>
      </c>
    </row>
    <row r="26" spans="1:15">
      <c r="A26" s="42"/>
      <c r="B26" s="43" t="s">
        <v>116</v>
      </c>
      <c r="C26" s="44"/>
      <c r="D26" s="32"/>
      <c r="E26" s="1"/>
      <c r="F26" s="34"/>
      <c r="G26" s="34"/>
      <c r="H26" s="34"/>
      <c r="I26" s="34"/>
      <c r="J26" s="35"/>
      <c r="K26" s="35"/>
      <c r="L26" s="35"/>
      <c r="M26" s="35"/>
      <c r="N26" s="35"/>
      <c r="O26" s="35">
        <f t="shared" si="10"/>
        <v>0</v>
      </c>
    </row>
    <row r="27" spans="1:15" ht="15.75" thickBot="1">
      <c r="A27" s="42"/>
      <c r="B27" s="43"/>
      <c r="C27" s="44"/>
      <c r="D27" s="58"/>
      <c r="E27" s="1"/>
      <c r="F27" s="49"/>
      <c r="G27" s="47"/>
      <c r="H27" s="49"/>
      <c r="I27" s="49"/>
      <c r="J27" s="49"/>
      <c r="K27" s="49"/>
      <c r="L27" s="48"/>
      <c r="M27" s="59"/>
      <c r="N27" s="59"/>
      <c r="O27" s="49"/>
    </row>
    <row r="28" spans="1:15" ht="16.5" thickTop="1" thickBot="1">
      <c r="A28" s="10"/>
      <c r="B28" s="50"/>
      <c r="C28" s="51"/>
      <c r="D28" s="60">
        <f t="shared" ref="D28:O28" si="11">SUM(D20:D27)</f>
        <v>0</v>
      </c>
      <c r="E28" s="53">
        <f t="shared" si="11"/>
        <v>0</v>
      </c>
      <c r="F28" s="53">
        <f t="shared" si="11"/>
        <v>0</v>
      </c>
      <c r="G28" s="53">
        <f t="shared" si="11"/>
        <v>0</v>
      </c>
      <c r="H28" s="53">
        <f t="shared" si="11"/>
        <v>0</v>
      </c>
      <c r="I28" s="53">
        <f t="shared" si="11"/>
        <v>0</v>
      </c>
      <c r="J28" s="53">
        <f t="shared" si="11"/>
        <v>0</v>
      </c>
      <c r="K28" s="53">
        <f t="shared" si="11"/>
        <v>0</v>
      </c>
      <c r="L28" s="53">
        <f t="shared" si="11"/>
        <v>0</v>
      </c>
      <c r="M28" s="53">
        <f t="shared" si="11"/>
        <v>0</v>
      </c>
      <c r="N28" s="53">
        <f t="shared" si="11"/>
        <v>0</v>
      </c>
      <c r="O28" s="53">
        <f t="shared" si="11"/>
        <v>0</v>
      </c>
    </row>
    <row r="29" spans="1:15" ht="16.5" thickTop="1" thickBot="1">
      <c r="A29" s="42"/>
      <c r="B29" s="43"/>
      <c r="C29" s="44"/>
      <c r="D29" s="574"/>
      <c r="E29" s="575"/>
      <c r="F29" s="575"/>
      <c r="G29" s="575"/>
      <c r="H29" s="575"/>
      <c r="I29" s="575"/>
      <c r="J29" s="575"/>
      <c r="K29" s="575"/>
      <c r="L29" s="575"/>
      <c r="M29" s="576"/>
      <c r="N29" s="61"/>
      <c r="O29" s="17"/>
    </row>
    <row r="30" spans="1:15" ht="16.5" thickTop="1" thickBot="1">
      <c r="A30" s="10"/>
      <c r="B30" s="50" t="s">
        <v>117</v>
      </c>
      <c r="C30" s="51"/>
      <c r="D30" s="60">
        <f t="shared" ref="D30:O30" si="12">+D28+D19</f>
        <v>0</v>
      </c>
      <c r="E30" s="53">
        <f t="shared" si="12"/>
        <v>0</v>
      </c>
      <c r="F30" s="53">
        <f t="shared" si="12"/>
        <v>0</v>
      </c>
      <c r="G30" s="53">
        <f t="shared" si="12"/>
        <v>0</v>
      </c>
      <c r="H30" s="53">
        <f t="shared" si="12"/>
        <v>0</v>
      </c>
      <c r="I30" s="53">
        <f t="shared" si="12"/>
        <v>0</v>
      </c>
      <c r="J30" s="53">
        <f t="shared" si="12"/>
        <v>0</v>
      </c>
      <c r="K30" s="53">
        <f t="shared" si="12"/>
        <v>0</v>
      </c>
      <c r="L30" s="53">
        <f t="shared" si="12"/>
        <v>0</v>
      </c>
      <c r="M30" s="53">
        <f t="shared" si="12"/>
        <v>0</v>
      </c>
      <c r="N30" s="53">
        <f t="shared" si="12"/>
        <v>0</v>
      </c>
      <c r="O30" s="53">
        <f t="shared" si="12"/>
        <v>0</v>
      </c>
    </row>
    <row r="31" spans="1:15" ht="16.5" thickTop="1" thickBot="1">
      <c r="A31" s="10"/>
      <c r="B31" s="50" t="s">
        <v>118</v>
      </c>
      <c r="C31" s="51"/>
      <c r="D31" s="60">
        <f t="shared" ref="D31:N31" si="13">D7-D30</f>
        <v>0</v>
      </c>
      <c r="E31" s="53">
        <f t="shared" si="13"/>
        <v>0</v>
      </c>
      <c r="F31" s="53">
        <f t="shared" si="13"/>
        <v>0</v>
      </c>
      <c r="G31" s="53">
        <f t="shared" si="13"/>
        <v>0</v>
      </c>
      <c r="H31" s="53">
        <f t="shared" si="13"/>
        <v>0</v>
      </c>
      <c r="I31" s="53">
        <f t="shared" si="13"/>
        <v>0</v>
      </c>
      <c r="J31" s="53">
        <f t="shared" si="13"/>
        <v>0</v>
      </c>
      <c r="K31" s="53">
        <f t="shared" si="13"/>
        <v>0</v>
      </c>
      <c r="L31" s="53">
        <f t="shared" si="13"/>
        <v>0</v>
      </c>
      <c r="M31" s="53">
        <f t="shared" si="13"/>
        <v>0</v>
      </c>
      <c r="N31" s="53">
        <f t="shared" si="13"/>
        <v>40580.469396083616</v>
      </c>
      <c r="O31" s="53">
        <f>SUM(E31:N31)</f>
        <v>40580.469396083616</v>
      </c>
    </row>
    <row r="32" spans="1:15" ht="16.5" thickTop="1" thickBot="1">
      <c r="A32" s="10"/>
      <c r="B32" s="50" t="s">
        <v>119</v>
      </c>
      <c r="C32" s="51"/>
      <c r="D32" s="62"/>
      <c r="E32" s="53"/>
      <c r="F32" s="63"/>
      <c r="G32" s="63"/>
      <c r="H32" s="63"/>
      <c r="I32" s="63"/>
      <c r="J32" s="63"/>
      <c r="K32" s="63"/>
      <c r="L32" s="63"/>
      <c r="M32" s="63"/>
      <c r="N32" s="63"/>
      <c r="O32" s="53">
        <f>SUM(E32:N32)</f>
        <v>0</v>
      </c>
    </row>
    <row r="33" spans="1:15" ht="15.75" thickTop="1">
      <c r="A33" s="64"/>
      <c r="B33" s="19" t="s">
        <v>120</v>
      </c>
      <c r="C33" s="64"/>
      <c r="D33" s="65">
        <f>D31-D32</f>
        <v>0</v>
      </c>
      <c r="E33" s="66">
        <f>E31-E32</f>
        <v>0</v>
      </c>
      <c r="F33" s="66">
        <f>F31-F32</f>
        <v>0</v>
      </c>
      <c r="G33" s="66">
        <f t="shared" ref="G33:N33" si="14">G31-G32</f>
        <v>0</v>
      </c>
      <c r="H33" s="66">
        <f t="shared" si="14"/>
        <v>0</v>
      </c>
      <c r="I33" s="66">
        <f t="shared" si="14"/>
        <v>0</v>
      </c>
      <c r="J33" s="66">
        <f t="shared" si="14"/>
        <v>0</v>
      </c>
      <c r="K33" s="66">
        <f t="shared" si="14"/>
        <v>0</v>
      </c>
      <c r="L33" s="66">
        <f t="shared" si="14"/>
        <v>0</v>
      </c>
      <c r="M33" s="66">
        <f t="shared" si="14"/>
        <v>0</v>
      </c>
      <c r="N33" s="66">
        <f t="shared" si="14"/>
        <v>40580.469396083616</v>
      </c>
      <c r="O33" s="15">
        <f>SUM(E33:N33)</f>
        <v>40580.469396083616</v>
      </c>
    </row>
    <row r="34" spans="1:15">
      <c r="A34" s="67"/>
      <c r="B34" s="29" t="s">
        <v>121</v>
      </c>
      <c r="C34" s="67"/>
      <c r="D34" s="68"/>
      <c r="E34" s="68">
        <f>D33</f>
        <v>0</v>
      </c>
      <c r="F34" s="68">
        <f>E37</f>
        <v>0</v>
      </c>
      <c r="G34" s="68">
        <f t="shared" ref="G34:N34" si="15">F37</f>
        <v>0</v>
      </c>
      <c r="H34" s="68">
        <f t="shared" si="15"/>
        <v>0</v>
      </c>
      <c r="I34" s="68">
        <f t="shared" si="15"/>
        <v>0</v>
      </c>
      <c r="J34" s="68">
        <f t="shared" si="15"/>
        <v>0</v>
      </c>
      <c r="K34" s="68">
        <f t="shared" si="15"/>
        <v>0</v>
      </c>
      <c r="L34" s="68">
        <f t="shared" si="15"/>
        <v>0</v>
      </c>
      <c r="M34" s="68">
        <f t="shared" si="15"/>
        <v>0</v>
      </c>
      <c r="N34" s="68">
        <f t="shared" si="15"/>
        <v>0</v>
      </c>
      <c r="O34" s="1">
        <f t="shared" ref="O34:O35" si="16">SUM(E34:N34)</f>
        <v>0</v>
      </c>
    </row>
    <row r="35" spans="1:15">
      <c r="A35" s="67"/>
      <c r="B35" s="29" t="s">
        <v>122</v>
      </c>
      <c r="C35" s="67"/>
      <c r="D35" s="68"/>
      <c r="E35" s="68"/>
      <c r="F35" s="68"/>
      <c r="G35" s="68"/>
      <c r="H35" s="68"/>
      <c r="I35" s="1"/>
      <c r="J35" s="1"/>
      <c r="K35" s="1"/>
      <c r="L35" s="1"/>
      <c r="M35" s="1"/>
      <c r="N35" s="1"/>
      <c r="O35" s="1">
        <f t="shared" si="16"/>
        <v>0</v>
      </c>
    </row>
    <row r="36" spans="1:15">
      <c r="A36" s="67"/>
      <c r="B36" s="67" t="s">
        <v>123</v>
      </c>
      <c r="C36" s="67"/>
      <c r="D36" s="68"/>
      <c r="E36" s="68"/>
      <c r="F36" s="68"/>
      <c r="G36" s="68"/>
      <c r="H36" s="68"/>
      <c r="I36" s="1"/>
      <c r="J36" s="1"/>
      <c r="K36" s="1"/>
      <c r="L36" s="1"/>
      <c r="M36" s="1"/>
      <c r="N36" s="1"/>
      <c r="O36" s="1">
        <f>SUM(E36:N36)</f>
        <v>0</v>
      </c>
    </row>
    <row r="37" spans="1:15">
      <c r="A37" s="67"/>
      <c r="B37" s="69" t="s">
        <v>124</v>
      </c>
      <c r="C37" s="67"/>
      <c r="D37" s="68"/>
      <c r="E37" s="70">
        <f>E33+E34-E35-E36</f>
        <v>0</v>
      </c>
      <c r="F37" s="70">
        <f>F33+F34-F35-F36</f>
        <v>0</v>
      </c>
      <c r="G37" s="70">
        <f t="shared" ref="G37:M37" si="17">G33+G34-G35-G36</f>
        <v>0</v>
      </c>
      <c r="H37" s="70">
        <f t="shared" si="17"/>
        <v>0</v>
      </c>
      <c r="I37" s="70">
        <f t="shared" si="17"/>
        <v>0</v>
      </c>
      <c r="J37" s="70">
        <f t="shared" si="17"/>
        <v>0</v>
      </c>
      <c r="K37" s="70">
        <f t="shared" si="17"/>
        <v>0</v>
      </c>
      <c r="L37" s="70">
        <f t="shared" si="17"/>
        <v>0</v>
      </c>
      <c r="M37" s="70">
        <f t="shared" si="17"/>
        <v>0</v>
      </c>
      <c r="N37" s="70">
        <f>N33+N34-N35-N36</f>
        <v>40580.469396083616</v>
      </c>
      <c r="O37" s="1">
        <f>N37</f>
        <v>40580.469396083616</v>
      </c>
    </row>
    <row r="38" spans="1:15">
      <c r="A38" s="7"/>
      <c r="B38" s="71"/>
      <c r="C38" s="71"/>
      <c r="D38" s="71"/>
      <c r="E38" s="72"/>
      <c r="F38" s="7"/>
      <c r="G38" s="7"/>
      <c r="H38" s="7"/>
      <c r="I38" s="7"/>
      <c r="J38" s="7"/>
      <c r="K38" s="7"/>
      <c r="L38" s="7"/>
      <c r="M38" s="73"/>
      <c r="N38" s="73"/>
      <c r="O38" s="7"/>
    </row>
  </sheetData>
  <mergeCells count="18">
    <mergeCell ref="B5:C5"/>
    <mergeCell ref="B6:C6"/>
    <mergeCell ref="B7:C7"/>
    <mergeCell ref="B8:C9"/>
    <mergeCell ref="D8:D9"/>
    <mergeCell ref="N8:N9"/>
    <mergeCell ref="O8:O9"/>
    <mergeCell ref="B10:C10"/>
    <mergeCell ref="D29:M29"/>
    <mergeCell ref="F8:F9"/>
    <mergeCell ref="G8:G9"/>
    <mergeCell ref="H8:H9"/>
    <mergeCell ref="I8:I9"/>
    <mergeCell ref="J8:J9"/>
    <mergeCell ref="K8:K9"/>
    <mergeCell ref="E8:E9"/>
    <mergeCell ref="L8:L9"/>
    <mergeCell ref="M8:M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BV855"/>
  <sheetViews>
    <sheetView tabSelected="1" workbookViewId="0">
      <pane xSplit="3" ySplit="8" topLeftCell="I38" activePane="bottomRight" state="frozen"/>
      <selection pane="topRight" activeCell="D1" sqref="D1"/>
      <selection pane="bottomLeft" activeCell="A4" sqref="A4"/>
      <selection pane="bottomRight" activeCell="A120" sqref="A1:P120"/>
    </sheetView>
  </sheetViews>
  <sheetFormatPr defaultRowHeight="15"/>
  <cols>
    <col min="1" max="1" width="2.140625" style="135" customWidth="1"/>
    <col min="2" max="2" width="6.28515625" style="135" customWidth="1"/>
    <col min="3" max="3" width="31.7109375" style="135" customWidth="1"/>
    <col min="4" max="10" width="15.42578125" style="136" customWidth="1"/>
    <col min="11" max="12" width="14.140625" style="136" customWidth="1"/>
    <col min="13" max="13" width="13.85546875" style="136" customWidth="1"/>
    <col min="14" max="14" width="14" style="136" customWidth="1"/>
    <col min="15" max="15" width="14.28515625" style="136" customWidth="1"/>
    <col min="16" max="16" width="15" style="136" customWidth="1"/>
    <col min="17" max="36" width="16.28515625" style="136" customWidth="1"/>
    <col min="37" max="37" width="18" style="136" bestFit="1" customWidth="1"/>
    <col min="38" max="55" width="16.28515625" style="136" customWidth="1"/>
    <col min="56" max="56" width="16" style="125" bestFit="1" customWidth="1"/>
    <col min="57" max="58" width="15" style="125" customWidth="1"/>
    <col min="59" max="59" width="16.85546875" style="125" bestFit="1" customWidth="1"/>
    <col min="60" max="60" width="16" style="125" bestFit="1" customWidth="1"/>
    <col min="61" max="61" width="16.85546875" style="125" bestFit="1" customWidth="1"/>
    <col min="62" max="62" width="15" style="125" customWidth="1"/>
    <col min="63" max="72" width="15" style="74" customWidth="1"/>
    <col min="73" max="73" width="9.85546875" customWidth="1"/>
    <col min="74" max="74" width="12.5703125" bestFit="1" customWidth="1"/>
  </cols>
  <sheetData>
    <row r="1" spans="1:72" ht="15.75">
      <c r="A1" s="237" t="s">
        <v>537</v>
      </c>
      <c r="B1" s="364"/>
      <c r="C1" s="364"/>
      <c r="D1" s="364"/>
      <c r="E1" s="364"/>
      <c r="F1" s="364"/>
      <c r="G1" s="364"/>
      <c r="H1" s="364"/>
      <c r="I1" s="364"/>
      <c r="J1" s="128" t="s">
        <v>271</v>
      </c>
    </row>
    <row r="2" spans="1:72">
      <c r="A2" s="261" t="s">
        <v>226</v>
      </c>
      <c r="B2" s="262"/>
      <c r="C2" s="262"/>
      <c r="D2" s="315"/>
      <c r="E2" s="283"/>
      <c r="F2" s="313"/>
      <c r="G2" s="313"/>
      <c r="H2" s="313"/>
      <c r="I2" s="128"/>
      <c r="J2" s="128"/>
      <c r="BF2" s="125">
        <v>2139828425</v>
      </c>
    </row>
    <row r="3" spans="1:72">
      <c r="A3" s="261" t="s">
        <v>228</v>
      </c>
      <c r="B3" s="262"/>
      <c r="C3" s="262"/>
      <c r="D3" s="313" t="s">
        <v>277</v>
      </c>
      <c r="E3" s="313"/>
      <c r="F3" s="313"/>
      <c r="G3" s="356"/>
      <c r="H3" s="313"/>
      <c r="I3" s="128"/>
    </row>
    <row r="4" spans="1:72">
      <c r="A4" s="261"/>
      <c r="B4" s="262"/>
      <c r="C4" s="262"/>
      <c r="D4" s="313"/>
      <c r="E4" s="313"/>
      <c r="F4" s="313"/>
      <c r="G4" s="356"/>
      <c r="H4" s="313"/>
      <c r="I4" s="128"/>
    </row>
    <row r="5" spans="1:72">
      <c r="A5" s="261"/>
      <c r="B5" s="262"/>
      <c r="C5" s="262"/>
      <c r="D5" s="313"/>
      <c r="E5" s="313"/>
      <c r="F5" s="313"/>
      <c r="G5" s="356"/>
      <c r="H5" s="313"/>
      <c r="I5" s="128"/>
    </row>
    <row r="6" spans="1:72">
      <c r="A6" s="602" t="s">
        <v>1</v>
      </c>
      <c r="B6" s="603"/>
      <c r="C6" s="603"/>
      <c r="D6" s="588" t="s">
        <v>3</v>
      </c>
      <c r="E6" s="589"/>
      <c r="F6" s="589"/>
      <c r="G6" s="589"/>
      <c r="H6" s="589"/>
      <c r="I6" s="589"/>
      <c r="J6" s="589"/>
      <c r="K6" s="589"/>
      <c r="L6" s="589"/>
      <c r="M6" s="589"/>
      <c r="N6" s="589"/>
      <c r="O6" s="590"/>
      <c r="P6" s="600" t="s">
        <v>235</v>
      </c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210" t="s">
        <v>355</v>
      </c>
      <c r="AK6" s="210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</row>
    <row r="7" spans="1:72">
      <c r="A7" s="604"/>
      <c r="B7" s="605"/>
      <c r="C7" s="605"/>
      <c r="D7" s="591" t="s">
        <v>126</v>
      </c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3"/>
      <c r="P7" s="601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210" t="s">
        <v>356</v>
      </c>
      <c r="AK7" s="210">
        <v>7000000000</v>
      </c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78"/>
      <c r="BE7" s="78"/>
      <c r="BF7" s="78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</row>
    <row r="8" spans="1:72">
      <c r="A8" s="604"/>
      <c r="B8" s="605"/>
      <c r="C8" s="605"/>
      <c r="D8" s="264" t="s">
        <v>4</v>
      </c>
      <c r="E8" s="264" t="s">
        <v>5</v>
      </c>
      <c r="F8" s="264" t="s">
        <v>6</v>
      </c>
      <c r="G8" s="264" t="s">
        <v>7</v>
      </c>
      <c r="H8" s="264" t="s">
        <v>8</v>
      </c>
      <c r="I8" s="360" t="s">
        <v>9</v>
      </c>
      <c r="J8" s="143" t="s">
        <v>127</v>
      </c>
      <c r="K8" s="143" t="s">
        <v>129</v>
      </c>
      <c r="L8" s="143" t="s">
        <v>142</v>
      </c>
      <c r="M8" s="143" t="s">
        <v>131</v>
      </c>
      <c r="N8" s="143" t="s">
        <v>132</v>
      </c>
      <c r="O8" s="143" t="s">
        <v>133</v>
      </c>
      <c r="P8" s="601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210">
        <v>2020</v>
      </c>
      <c r="AK8" s="210">
        <v>12000000000</v>
      </c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</row>
    <row r="9" spans="1:72" hidden="1">
      <c r="A9" s="503"/>
      <c r="B9" s="605" t="s">
        <v>215</v>
      </c>
      <c r="C9" s="605"/>
      <c r="D9" s="264">
        <v>-2</v>
      </c>
      <c r="E9" s="359">
        <f>E10-D10</f>
        <v>1.6200000000000045</v>
      </c>
      <c r="F9" s="359">
        <f t="shared" ref="F9" si="0">F10-E10</f>
        <v>3.8399999999999892</v>
      </c>
      <c r="G9" s="359">
        <f>G10-F10</f>
        <v>-0.45999999999999375</v>
      </c>
      <c r="H9" s="359">
        <f t="shared" ref="H9:J9" si="1">H10-G10</f>
        <v>-1</v>
      </c>
      <c r="I9" s="157">
        <f t="shared" si="1"/>
        <v>-12</v>
      </c>
      <c r="J9" s="157">
        <f t="shared" si="1"/>
        <v>0</v>
      </c>
      <c r="K9" s="157">
        <f t="shared" ref="K9" si="2">K10-J10</f>
        <v>9</v>
      </c>
      <c r="L9" s="157">
        <f>L10-K10</f>
        <v>0</v>
      </c>
      <c r="M9" s="157">
        <f t="shared" ref="M9" si="3">M10-L10</f>
        <v>1</v>
      </c>
      <c r="N9" s="157">
        <f t="shared" ref="N9" si="4">N10-M10</f>
        <v>0</v>
      </c>
      <c r="O9" s="157">
        <f t="shared" ref="O9" si="5">O10-N10</f>
        <v>0</v>
      </c>
      <c r="P9" s="158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>
        <f>SUM(AK7:AK8)</f>
        <v>19000000000</v>
      </c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23"/>
      <c r="BE9" s="123"/>
      <c r="BF9" s="123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</row>
    <row r="10" spans="1:72" hidden="1">
      <c r="A10" s="606" t="s">
        <v>134</v>
      </c>
      <c r="B10" s="607"/>
      <c r="C10" s="607"/>
      <c r="D10" s="275">
        <v>84</v>
      </c>
      <c r="E10" s="275">
        <v>85.62</v>
      </c>
      <c r="F10" s="275">
        <v>89.46</v>
      </c>
      <c r="G10" s="275">
        <v>89</v>
      </c>
      <c r="H10" s="275">
        <v>88</v>
      </c>
      <c r="I10" s="142">
        <v>76</v>
      </c>
      <c r="J10" s="142">
        <v>76</v>
      </c>
      <c r="K10" s="143">
        <v>85</v>
      </c>
      <c r="L10" s="143">
        <v>85</v>
      </c>
      <c r="M10" s="143">
        <v>86</v>
      </c>
      <c r="N10" s="143">
        <v>86</v>
      </c>
      <c r="O10" s="143">
        <f>N10</f>
        <v>86</v>
      </c>
      <c r="P10" s="145">
        <f>SUM(D10:O10)/12</f>
        <v>84.673333333333332</v>
      </c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80"/>
      <c r="BE10" s="80"/>
      <c r="BF10" s="80"/>
      <c r="BG10" s="80"/>
      <c r="BH10" s="80"/>
      <c r="BI10" s="80"/>
      <c r="BJ10" s="80"/>
      <c r="BK10" s="81"/>
      <c r="BL10" s="81"/>
      <c r="BM10" s="81"/>
      <c r="BN10" s="81"/>
      <c r="BO10" s="81"/>
      <c r="BP10" s="81"/>
      <c r="BQ10" s="81"/>
      <c r="BR10" s="81"/>
      <c r="BS10" s="81"/>
      <c r="BT10" s="81"/>
    </row>
    <row r="11" spans="1:72" s="124" customFormat="1" hidden="1">
      <c r="A11" s="265" t="s">
        <v>10</v>
      </c>
      <c r="B11" s="594" t="s">
        <v>11</v>
      </c>
      <c r="C11" s="594"/>
      <c r="D11" s="264">
        <f>+'CF 2016'!O133</f>
        <v>158455851.49250126</v>
      </c>
      <c r="E11" s="264">
        <f>+D120</f>
        <v>376471444.1562233</v>
      </c>
      <c r="F11" s="264">
        <f t="shared" ref="F11:O11" si="6">+E120</f>
        <v>1185644003.1455593</v>
      </c>
      <c r="G11" s="264">
        <f t="shared" si="6"/>
        <v>1179074708.1265373</v>
      </c>
      <c r="H11" s="264">
        <f t="shared" si="6"/>
        <v>1693305898.3851328</v>
      </c>
      <c r="I11" s="143">
        <f t="shared" si="6"/>
        <v>867503155.76181984</v>
      </c>
      <c r="J11" s="143">
        <f t="shared" si="6"/>
        <v>617978948.06452751</v>
      </c>
      <c r="K11" s="143">
        <f t="shared" si="6"/>
        <v>582020378.80739307</v>
      </c>
      <c r="L11" s="143">
        <f t="shared" si="6"/>
        <v>892205148.28591442</v>
      </c>
      <c r="M11" s="143">
        <f t="shared" si="6"/>
        <v>769905229.90505123</v>
      </c>
      <c r="N11" s="143">
        <f t="shared" si="6"/>
        <v>283204545.78125477</v>
      </c>
      <c r="O11" s="143">
        <f t="shared" si="6"/>
        <v>118395310.27275848</v>
      </c>
      <c r="P11" s="145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80"/>
      <c r="BE11" s="80"/>
      <c r="BF11" s="80"/>
      <c r="BG11" s="118">
        <v>-684592114.15999985</v>
      </c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</row>
    <row r="12" spans="1:72" s="124" customFormat="1" hidden="1">
      <c r="A12" s="265"/>
      <c r="B12" s="504"/>
      <c r="C12" s="504"/>
      <c r="D12" s="264"/>
      <c r="E12" s="264"/>
      <c r="F12" s="264"/>
      <c r="G12" s="264"/>
      <c r="H12" s="264"/>
      <c r="I12" s="143"/>
      <c r="J12" s="143"/>
      <c r="K12" s="143"/>
      <c r="L12" s="143"/>
      <c r="M12" s="143"/>
      <c r="N12" s="143"/>
      <c r="O12" s="143"/>
      <c r="P12" s="145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80"/>
      <c r="BE12" s="80"/>
      <c r="BF12" s="80"/>
      <c r="BG12" s="118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</row>
    <row r="13" spans="1:72" s="124" customFormat="1" ht="15" hidden="1" customHeight="1">
      <c r="A13" s="265" t="s">
        <v>12</v>
      </c>
      <c r="B13" s="594" t="s">
        <v>159</v>
      </c>
      <c r="C13" s="594"/>
      <c r="D13" s="264"/>
      <c r="E13" s="264"/>
      <c r="F13" s="264"/>
      <c r="G13" s="264"/>
      <c r="H13" s="264"/>
      <c r="I13" s="143"/>
      <c r="J13" s="143"/>
      <c r="K13" s="143"/>
      <c r="L13" s="143"/>
      <c r="M13" s="143"/>
      <c r="N13" s="143"/>
      <c r="O13" s="143"/>
      <c r="P13" s="145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80"/>
      <c r="BE13" s="80"/>
      <c r="BF13" s="80"/>
      <c r="BG13" s="118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</row>
    <row r="14" spans="1:72" s="124" customFormat="1" ht="15" hidden="1" customHeight="1">
      <c r="A14" s="265"/>
      <c r="B14" s="587" t="s">
        <v>13</v>
      </c>
      <c r="C14" s="587"/>
      <c r="D14" s="264">
        <f>D203</f>
        <v>1173264032.2505348</v>
      </c>
      <c r="E14" s="264">
        <f t="shared" ref="E14:O14" si="7">E203</f>
        <v>1192270909.5729935</v>
      </c>
      <c r="F14" s="264">
        <f t="shared" si="7"/>
        <v>1238054112.5005963</v>
      </c>
      <c r="G14" s="264">
        <f t="shared" si="7"/>
        <v>1232359063.5830936</v>
      </c>
      <c r="H14" s="264">
        <f t="shared" si="7"/>
        <v>1220035472.9472628</v>
      </c>
      <c r="I14" s="143">
        <f t="shared" si="7"/>
        <v>1293977016.7622483</v>
      </c>
      <c r="J14" s="143">
        <f t="shared" si="7"/>
        <v>1293977016.7622483</v>
      </c>
      <c r="K14" s="143">
        <f t="shared" si="7"/>
        <v>1420139775.8965676</v>
      </c>
      <c r="L14" s="143">
        <f t="shared" si="7"/>
        <v>1420139775.8965676</v>
      </c>
      <c r="M14" s="143">
        <f t="shared" si="7"/>
        <v>1434341173.6555333</v>
      </c>
      <c r="N14" s="143">
        <f t="shared" si="7"/>
        <v>1434341173.6555333</v>
      </c>
      <c r="O14" s="143">
        <f t="shared" si="7"/>
        <v>1434341173.6555333</v>
      </c>
      <c r="P14" s="145">
        <f>SUM(D14:O14)</f>
        <v>15787240697.138712</v>
      </c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53"/>
      <c r="BA14" s="163"/>
      <c r="BB14" s="163"/>
      <c r="BC14" s="163"/>
      <c r="BD14" s="80">
        <f>+'CF 2016'!O14+('CF 2016'!O14*5%)</f>
        <v>1197208196.174015</v>
      </c>
      <c r="BE14" s="80"/>
      <c r="BF14" s="80"/>
      <c r="BG14" s="118">
        <v>1250000000</v>
      </c>
      <c r="BH14" s="80"/>
      <c r="BI14" s="118">
        <v>1250000000</v>
      </c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</row>
    <row r="15" spans="1:72" s="124" customFormat="1" ht="15" hidden="1" customHeight="1">
      <c r="A15" s="265"/>
      <c r="B15" s="587" t="s">
        <v>14</v>
      </c>
      <c r="C15" s="587"/>
      <c r="D15" s="264">
        <f>D204</f>
        <v>320950760.92486006</v>
      </c>
      <c r="E15" s="264">
        <f t="shared" ref="E15:O15" si="8">E204</f>
        <v>326150163.2518428</v>
      </c>
      <c r="F15" s="264">
        <f t="shared" si="8"/>
        <v>338674329.52071351</v>
      </c>
      <c r="G15" s="264">
        <f t="shared" si="8"/>
        <v>337116427.60491824</v>
      </c>
      <c r="H15" s="264">
        <f t="shared" si="8"/>
        <v>333745263.32886904</v>
      </c>
      <c r="I15" s="143">
        <f t="shared" si="8"/>
        <v>353972248.98516417</v>
      </c>
      <c r="J15" s="143">
        <f t="shared" si="8"/>
        <v>353972248.98516417</v>
      </c>
      <c r="K15" s="143">
        <f t="shared" si="8"/>
        <v>657503452.48994243</v>
      </c>
      <c r="L15" s="143">
        <f t="shared" si="8"/>
        <v>657503452.48994243</v>
      </c>
      <c r="M15" s="143">
        <f t="shared" si="8"/>
        <v>664078487.01484191</v>
      </c>
      <c r="N15" s="143">
        <f t="shared" si="8"/>
        <v>664078487.01484191</v>
      </c>
      <c r="O15" s="143">
        <f t="shared" si="8"/>
        <v>664078487.01484191</v>
      </c>
      <c r="P15" s="145">
        <f t="shared" ref="P15:P80" si="9">SUM(D15:O15)</f>
        <v>5671823808.6259432</v>
      </c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53">
        <f>+'[5]CF 2017'!P12</f>
        <v>14457807806.722359</v>
      </c>
      <c r="BA15" s="163"/>
      <c r="BB15" s="163"/>
      <c r="BC15" s="163"/>
      <c r="BD15" s="80">
        <f>+'CF 2016'!O15+('CF 2016'!O15*5%)</f>
        <v>327500776.45393884</v>
      </c>
      <c r="BE15" s="80"/>
      <c r="BF15" s="80"/>
      <c r="BG15" s="118">
        <v>350000000</v>
      </c>
      <c r="BH15" s="80"/>
      <c r="BI15" s="118">
        <v>350000000</v>
      </c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</row>
    <row r="16" spans="1:72" s="182" customFormat="1" ht="15" hidden="1" customHeight="1">
      <c r="A16" s="265"/>
      <c r="B16" s="595" t="s">
        <v>252</v>
      </c>
      <c r="C16" s="596"/>
      <c r="D16" s="264">
        <f>'CF 2016'!O16</f>
        <v>40000000</v>
      </c>
      <c r="E16" s="264">
        <f>10*5000000</f>
        <v>50000000</v>
      </c>
      <c r="F16" s="264">
        <f>E16</f>
        <v>50000000</v>
      </c>
      <c r="G16" s="264">
        <f t="shared" ref="G16:O16" si="10">F16</f>
        <v>50000000</v>
      </c>
      <c r="H16" s="264">
        <f t="shared" si="10"/>
        <v>50000000</v>
      </c>
      <c r="I16" s="143">
        <f>20*6500000</f>
        <v>130000000</v>
      </c>
      <c r="J16" s="143">
        <f t="shared" si="10"/>
        <v>130000000</v>
      </c>
      <c r="K16" s="143">
        <f t="shared" si="10"/>
        <v>130000000</v>
      </c>
      <c r="L16" s="143">
        <f t="shared" si="10"/>
        <v>130000000</v>
      </c>
      <c r="M16" s="143">
        <f>30*7500000</f>
        <v>225000000</v>
      </c>
      <c r="N16" s="143">
        <f t="shared" si="10"/>
        <v>225000000</v>
      </c>
      <c r="O16" s="143">
        <f t="shared" si="10"/>
        <v>225000000</v>
      </c>
      <c r="P16" s="145">
        <f t="shared" si="9"/>
        <v>1435000000</v>
      </c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93">
        <f>+'[5]CF 2017'!P13</f>
        <v>3807771308.1421647</v>
      </c>
      <c r="BA16" s="190"/>
      <c r="BB16" s="190"/>
      <c r="BC16" s="190"/>
      <c r="BD16" s="80"/>
      <c r="BE16" s="181"/>
      <c r="BF16" s="181"/>
      <c r="BG16" s="188"/>
      <c r="BH16" s="181"/>
      <c r="BI16" s="188"/>
      <c r="BJ16" s="181"/>
      <c r="BK16" s="181"/>
      <c r="BL16" s="181"/>
      <c r="BM16" s="181"/>
      <c r="BN16" s="181"/>
      <c r="BO16" s="181"/>
      <c r="BP16" s="181"/>
      <c r="BQ16" s="181"/>
      <c r="BR16" s="181"/>
      <c r="BS16" s="181"/>
      <c r="BT16" s="181"/>
    </row>
    <row r="17" spans="1:72" s="124" customFormat="1" ht="28.5" hidden="1" customHeight="1">
      <c r="A17" s="265"/>
      <c r="B17" s="587" t="str">
        <f>'CF 2016'!B17</f>
        <v>Penerimaan dari Pembayaran Piutang (BPJS)</v>
      </c>
      <c r="C17" s="587"/>
      <c r="D17" s="264">
        <f>'CF 2016'!N211</f>
        <v>2352225720.5612855</v>
      </c>
      <c r="E17" s="264">
        <f>'CF 2016'!O211</f>
        <v>2352225720.5612855</v>
      </c>
      <c r="F17" s="264">
        <f>D206</f>
        <v>2396475511.344121</v>
      </c>
      <c r="G17" s="264">
        <f t="shared" ref="G17:H17" si="11">E206</f>
        <v>2435298414.6278958</v>
      </c>
      <c r="H17" s="264">
        <f t="shared" si="11"/>
        <v>2528813873.7496066</v>
      </c>
      <c r="I17" s="143">
        <f>G206</f>
        <v>2517181329.9303584</v>
      </c>
      <c r="J17" s="143">
        <f>H206</f>
        <v>2492009516.6310549</v>
      </c>
      <c r="K17" s="143">
        <f>I206</f>
        <v>2643040396.4268765</v>
      </c>
      <c r="L17" s="143">
        <f>J206</f>
        <v>2643040396.4268765</v>
      </c>
      <c r="M17" s="143">
        <f t="shared" ref="M17" si="12">K206</f>
        <v>2662863199.4000783</v>
      </c>
      <c r="N17" s="143">
        <f t="shared" ref="N17" si="13">L206</f>
        <v>2662863199.4000783</v>
      </c>
      <c r="O17" s="143">
        <f>M206</f>
        <v>2689491831.3940792</v>
      </c>
      <c r="P17" s="145">
        <f t="shared" si="9"/>
        <v>30375529110.453598</v>
      </c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53"/>
      <c r="BA17" s="163"/>
      <c r="BB17" s="163"/>
      <c r="BC17" s="163"/>
      <c r="BD17" s="80">
        <f>+'CF 2016'!O17+('CF 2016'!O17*5%)</f>
        <v>2445383174.84094</v>
      </c>
      <c r="BE17" s="80"/>
      <c r="BF17" s="80"/>
      <c r="BG17" s="118"/>
      <c r="BH17" s="80"/>
      <c r="BI17" s="118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</row>
    <row r="18" spans="1:72" s="124" customFormat="1" ht="28.5" hidden="1" customHeight="1">
      <c r="A18" s="265"/>
      <c r="B18" s="587" t="str">
        <f>'CF 2016'!B18</f>
        <v>Penerimaan dari Pembayaran Piutang (Asuransi)</v>
      </c>
      <c r="C18" s="587"/>
      <c r="D18" s="264">
        <f>'CF 2016'!O212</f>
        <v>347391996.62678683</v>
      </c>
      <c r="E18" s="264">
        <f>D207</f>
        <v>357466364.52896369</v>
      </c>
      <c r="F18" s="264">
        <f>E207</f>
        <v>363257319.6343329</v>
      </c>
      <c r="G18" s="264">
        <f t="shared" ref="G18:H18" si="14">F207</f>
        <v>377206400.70829123</v>
      </c>
      <c r="H18" s="264">
        <f t="shared" si="14"/>
        <v>375471251.26503313</v>
      </c>
      <c r="I18" s="143">
        <f>H207</f>
        <v>371716538.75238281</v>
      </c>
      <c r="J18" s="143">
        <f>I207</f>
        <v>394244813.8282848</v>
      </c>
      <c r="K18" s="143">
        <f>J207</f>
        <v>394244813.8282848</v>
      </c>
      <c r="L18" s="143">
        <f>K207</f>
        <v>397201649.93199694</v>
      </c>
      <c r="M18" s="143">
        <f t="shared" ref="M18:N18" si="15">L207</f>
        <v>397201649.93199694</v>
      </c>
      <c r="N18" s="143">
        <f t="shared" si="15"/>
        <v>401173666.43131691</v>
      </c>
      <c r="O18" s="143">
        <f>N207</f>
        <v>401173666.43131691</v>
      </c>
      <c r="P18" s="145">
        <f t="shared" si="9"/>
        <v>4577750131.8989878</v>
      </c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53">
        <f>+'[5]CF 2017'!P15</f>
        <v>26151432617.744949</v>
      </c>
      <c r="BA18" s="163"/>
      <c r="BB18" s="163"/>
      <c r="BC18" s="163"/>
      <c r="BD18" s="80">
        <f>+'CF 2016'!O18+('CF 2016'!O18*5%)</f>
        <v>364761596.45812619</v>
      </c>
      <c r="BE18" s="80"/>
      <c r="BF18" s="80"/>
      <c r="BG18" s="118">
        <v>2450000000</v>
      </c>
      <c r="BH18" s="80"/>
      <c r="BI18" s="118">
        <v>2450000000</v>
      </c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</row>
    <row r="19" spans="1:72" s="124" customFormat="1" ht="15.75" hidden="1" customHeight="1">
      <c r="A19" s="265"/>
      <c r="B19" s="502" t="s">
        <v>15</v>
      </c>
      <c r="C19" s="502"/>
      <c r="D19" s="264">
        <v>0</v>
      </c>
      <c r="E19" s="264">
        <v>0</v>
      </c>
      <c r="F19" s="264">
        <v>0</v>
      </c>
      <c r="G19" s="264">
        <v>0</v>
      </c>
      <c r="H19" s="264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5">
        <f t="shared" si="9"/>
        <v>0</v>
      </c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53">
        <f>+'[5]CF 2017'!P16</f>
        <v>4189051802.4953437</v>
      </c>
      <c r="BA19" s="163"/>
      <c r="BB19" s="163"/>
      <c r="BC19" s="163"/>
      <c r="BD19" s="80"/>
      <c r="BE19" s="80"/>
      <c r="BF19" s="80"/>
      <c r="BG19" s="118"/>
      <c r="BH19" s="80"/>
      <c r="BI19" s="118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</row>
    <row r="20" spans="1:72" s="124" customFormat="1" ht="31.5" hidden="1" customHeight="1">
      <c r="A20" s="265"/>
      <c r="B20" s="587" t="s">
        <v>218</v>
      </c>
      <c r="C20" s="587"/>
      <c r="D20" s="264">
        <v>0</v>
      </c>
      <c r="E20" s="264">
        <v>0</v>
      </c>
      <c r="F20" s="264">
        <v>0</v>
      </c>
      <c r="G20" s="264">
        <v>0</v>
      </c>
      <c r="H20" s="264">
        <v>0</v>
      </c>
      <c r="I20" s="143">
        <v>0</v>
      </c>
      <c r="J20" s="143">
        <v>0</v>
      </c>
      <c r="K20" s="143">
        <v>0</v>
      </c>
      <c r="L20" s="143">
        <v>0</v>
      </c>
      <c r="M20" s="143">
        <v>0</v>
      </c>
      <c r="N20" s="143">
        <v>0</v>
      </c>
      <c r="O20" s="143">
        <v>0</v>
      </c>
      <c r="P20" s="145">
        <f t="shared" si="9"/>
        <v>0</v>
      </c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53">
        <f>+'[5]CF 2017'!P17</f>
        <v>0</v>
      </c>
      <c r="BA20" s="163"/>
      <c r="BB20" s="163"/>
      <c r="BC20" s="163"/>
      <c r="BD20" s="80"/>
      <c r="BE20" s="80"/>
      <c r="BF20" s="80"/>
      <c r="BG20" s="118"/>
      <c r="BH20" s="80"/>
      <c r="BI20" s="118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</row>
    <row r="21" spans="1:72" s="124" customFormat="1" ht="15" hidden="1" customHeight="1">
      <c r="A21" s="265"/>
      <c r="B21" s="587" t="s">
        <v>16</v>
      </c>
      <c r="C21" s="587"/>
      <c r="D21" s="264">
        <v>0</v>
      </c>
      <c r="E21" s="264">
        <v>0</v>
      </c>
      <c r="F21" s="264">
        <v>0</v>
      </c>
      <c r="G21" s="264">
        <v>0</v>
      </c>
      <c r="H21" s="264">
        <v>0</v>
      </c>
      <c r="I21" s="143">
        <v>0</v>
      </c>
      <c r="J21" s="143">
        <v>0</v>
      </c>
      <c r="K21" s="143">
        <v>0</v>
      </c>
      <c r="L21" s="143">
        <v>0</v>
      </c>
      <c r="M21" s="143">
        <v>0</v>
      </c>
      <c r="N21" s="143">
        <v>0</v>
      </c>
      <c r="O21" s="143">
        <v>0</v>
      </c>
      <c r="P21" s="145">
        <f t="shared" si="9"/>
        <v>0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53">
        <f>+'[5]CF 2017'!P18</f>
        <v>0</v>
      </c>
      <c r="BA21" s="163"/>
      <c r="BB21" s="163"/>
      <c r="BC21" s="163"/>
      <c r="BD21" s="80"/>
      <c r="BE21" s="80"/>
      <c r="BF21" s="80"/>
      <c r="BG21" s="118"/>
      <c r="BH21" s="80"/>
      <c r="BI21" s="118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</row>
    <row r="22" spans="1:72" s="124" customFormat="1" ht="15" hidden="1" customHeight="1">
      <c r="A22" s="265"/>
      <c r="B22" s="587" t="s">
        <v>17</v>
      </c>
      <c r="C22" s="587"/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143">
        <v>0</v>
      </c>
      <c r="J22" s="143">
        <v>0</v>
      </c>
      <c r="K22" s="143">
        <v>0</v>
      </c>
      <c r="L22" s="143">
        <v>0</v>
      </c>
      <c r="M22" s="143">
        <v>0</v>
      </c>
      <c r="N22" s="143">
        <v>0</v>
      </c>
      <c r="O22" s="143">
        <v>0</v>
      </c>
      <c r="P22" s="145">
        <f t="shared" si="9"/>
        <v>0</v>
      </c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53">
        <f>+'[5]CF 2017'!P19</f>
        <v>0</v>
      </c>
      <c r="BA22" s="163"/>
      <c r="BB22" s="163"/>
      <c r="BC22" s="163"/>
      <c r="BD22" s="80"/>
      <c r="BE22" s="80"/>
      <c r="BF22" s="80"/>
      <c r="BG22" s="118"/>
      <c r="BH22" s="80"/>
      <c r="BI22" s="118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</row>
    <row r="23" spans="1:72" s="124" customFormat="1" ht="15" hidden="1" customHeight="1">
      <c r="A23" s="265"/>
      <c r="B23" s="587" t="s">
        <v>18</v>
      </c>
      <c r="C23" s="587"/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143">
        <v>0</v>
      </c>
      <c r="J23" s="143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  <c r="P23" s="145">
        <f t="shared" si="9"/>
        <v>0</v>
      </c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53">
        <f>+'[5]CF 2017'!P20</f>
        <v>0</v>
      </c>
      <c r="BA23" s="163"/>
      <c r="BB23" s="163"/>
      <c r="BC23" s="163"/>
      <c r="BD23" s="80"/>
      <c r="BE23" s="80"/>
      <c r="BF23" s="80"/>
      <c r="BG23" s="118"/>
      <c r="BH23" s="80"/>
      <c r="BI23" s="118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</row>
    <row r="24" spans="1:72" s="124" customFormat="1" ht="15" hidden="1" customHeight="1">
      <c r="A24" s="265"/>
      <c r="B24" s="595" t="str">
        <f>+'CF 2016'!B19:C19</f>
        <v>Penerimaan Pinjaman Dari Pihak Ke 3</v>
      </c>
      <c r="C24" s="596"/>
      <c r="D24" s="264">
        <v>1500000000</v>
      </c>
      <c r="E24" s="264">
        <f>+D24</f>
        <v>1500000000</v>
      </c>
      <c r="F24" s="264">
        <v>1000000000</v>
      </c>
      <c r="G24" s="264">
        <v>1500000000</v>
      </c>
      <c r="H24" s="264"/>
      <c r="I24" s="143"/>
      <c r="J24" s="143">
        <v>1000000000</v>
      </c>
      <c r="K24" s="143">
        <v>2000000000</v>
      </c>
      <c r="L24" s="143">
        <v>1500000000</v>
      </c>
      <c r="M24" s="143">
        <v>1000000000</v>
      </c>
      <c r="N24" s="143">
        <v>1500000000</v>
      </c>
      <c r="O24" s="143">
        <v>1500000000</v>
      </c>
      <c r="P24" s="145">
        <f>SUM(D24:O24)</f>
        <v>14000000000</v>
      </c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>
        <f>+P24+'CF 2016'!P19+'CF 2018'!P20-'CF 2018'!I20</f>
        <v>28000000000</v>
      </c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53">
        <f>+'[5]CF 2017'!P21</f>
        <v>0</v>
      </c>
      <c r="BA24" s="163"/>
      <c r="BB24" s="163"/>
      <c r="BC24" s="163"/>
      <c r="BD24" s="80"/>
      <c r="BE24" s="80">
        <v>25000000000</v>
      </c>
      <c r="BF24" s="80"/>
      <c r="BG24" s="118"/>
      <c r="BH24" s="80"/>
      <c r="BI24" s="118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</row>
    <row r="25" spans="1:72" s="124" customFormat="1" ht="15" hidden="1" customHeight="1">
      <c r="A25" s="265"/>
      <c r="B25" s="587" t="s">
        <v>219</v>
      </c>
      <c r="C25" s="587"/>
      <c r="D25" s="264">
        <f>'CF 2016'!O25+('CF 2016'!O25*'CF 2016'!O9)</f>
        <v>262168301.30025598</v>
      </c>
      <c r="E25" s="264">
        <f>D25+(D25*D9%)</f>
        <v>256924935.27425086</v>
      </c>
      <c r="F25" s="264">
        <f t="shared" ref="F25:O25" si="16">E25+(E25*E9%)</f>
        <v>261087119.22569373</v>
      </c>
      <c r="G25" s="264">
        <f t="shared" si="16"/>
        <v>271112864.60396034</v>
      </c>
      <c r="H25" s="264">
        <f t="shared" si="16"/>
        <v>269865745.42678213</v>
      </c>
      <c r="I25" s="143">
        <f>H25+(H25*H9%)</f>
        <v>267167087.9725143</v>
      </c>
      <c r="J25" s="143">
        <f t="shared" si="16"/>
        <v>235107037.41581258</v>
      </c>
      <c r="K25" s="143">
        <f t="shared" si="16"/>
        <v>235107037.41581258</v>
      </c>
      <c r="L25" s="143">
        <f t="shared" si="16"/>
        <v>256266670.78323573</v>
      </c>
      <c r="M25" s="143">
        <f>L25+(L25*L9%)</f>
        <v>256266670.78323573</v>
      </c>
      <c r="N25" s="143">
        <f t="shared" si="16"/>
        <v>258829337.49106809</v>
      </c>
      <c r="O25" s="143">
        <f t="shared" si="16"/>
        <v>258829337.49106809</v>
      </c>
      <c r="P25" s="145">
        <f t="shared" si="9"/>
        <v>3088732145.1836896</v>
      </c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53">
        <f>+'[5]CF 2017'!P22</f>
        <v>3076896600.0209379</v>
      </c>
      <c r="BA25" s="163"/>
      <c r="BB25" s="163"/>
      <c r="BC25" s="163"/>
      <c r="BD25" s="80"/>
      <c r="BE25" s="80"/>
      <c r="BF25" s="80"/>
      <c r="BG25" s="118">
        <v>280000000</v>
      </c>
      <c r="BH25" s="80"/>
      <c r="BI25" s="118">
        <v>280000000</v>
      </c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</row>
    <row r="26" spans="1:72" s="124" customFormat="1" ht="15" hidden="1" customHeight="1">
      <c r="A26" s="265"/>
      <c r="B26" s="587" t="s">
        <v>220</v>
      </c>
      <c r="C26" s="587"/>
      <c r="D26" s="264">
        <v>0</v>
      </c>
      <c r="E26" s="264">
        <f t="shared" ref="E26" si="17">D26+(D26*E20%)</f>
        <v>0</v>
      </c>
      <c r="F26" s="264">
        <f t="shared" ref="F26:G26" si="18">E26+(E26*$E$9%)</f>
        <v>0</v>
      </c>
      <c r="G26" s="264">
        <f t="shared" si="18"/>
        <v>0</v>
      </c>
      <c r="H26" s="264"/>
      <c r="I26" s="143"/>
      <c r="J26" s="143"/>
      <c r="K26" s="143"/>
      <c r="L26" s="143"/>
      <c r="M26" s="143"/>
      <c r="N26" s="143"/>
      <c r="O26" s="143"/>
      <c r="P26" s="145">
        <f t="shared" si="9"/>
        <v>0</v>
      </c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53">
        <f>+'[5]CF 2017'!P23</f>
        <v>0</v>
      </c>
      <c r="BA26" s="163"/>
      <c r="BB26" s="163"/>
      <c r="BC26" s="163"/>
      <c r="BD26" s="80"/>
      <c r="BE26" s="80"/>
      <c r="BF26" s="80"/>
      <c r="BG26" s="118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</row>
    <row r="27" spans="1:72" s="124" customFormat="1" ht="15" hidden="1" customHeight="1">
      <c r="A27" s="265"/>
      <c r="B27" s="594" t="s">
        <v>216</v>
      </c>
      <c r="C27" s="594"/>
      <c r="D27" s="267">
        <f>SUM(D14:D26)</f>
        <v>5996000811.663722</v>
      </c>
      <c r="E27" s="267">
        <f t="shared" ref="E27:O27" si="19">SUM(E14:E26)</f>
        <v>6035038093.1893358</v>
      </c>
      <c r="F27" s="267">
        <f t="shared" si="19"/>
        <v>5647548392.2254572</v>
      </c>
      <c r="G27" s="267">
        <f t="shared" si="19"/>
        <v>6203093171.1281586</v>
      </c>
      <c r="H27" s="267">
        <f t="shared" si="19"/>
        <v>4777931606.7175541</v>
      </c>
      <c r="I27" s="147">
        <f t="shared" si="19"/>
        <v>4934014222.402668</v>
      </c>
      <c r="J27" s="147">
        <f t="shared" si="19"/>
        <v>5899310633.6225653</v>
      </c>
      <c r="K27" s="147">
        <f t="shared" si="19"/>
        <v>7480035476.0574846</v>
      </c>
      <c r="L27" s="147">
        <f t="shared" si="19"/>
        <v>7004151945.5286198</v>
      </c>
      <c r="M27" s="147">
        <f t="shared" si="19"/>
        <v>6639751180.7856865</v>
      </c>
      <c r="N27" s="147">
        <f t="shared" si="19"/>
        <v>7146285863.9928389</v>
      </c>
      <c r="O27" s="147">
        <f t="shared" si="19"/>
        <v>7172914495.9868402</v>
      </c>
      <c r="P27" s="149">
        <f t="shared" si="9"/>
        <v>74936075893.300919</v>
      </c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>
        <f>SUM(AZ15:AZ26)</f>
        <v>51682960135.125755</v>
      </c>
      <c r="BA27" s="153">
        <f>+AZ27-P27</f>
        <v>-23253115758.175163</v>
      </c>
      <c r="BB27" s="153"/>
      <c r="BC27" s="153"/>
      <c r="BD27" s="82">
        <f>+P27-P24</f>
        <v>60936075893.300919</v>
      </c>
      <c r="BE27" s="82"/>
      <c r="BF27" s="82"/>
      <c r="BG27" s="119">
        <v>4330000000</v>
      </c>
      <c r="BH27" s="82">
        <f>SUM(D27:O27)</f>
        <v>74936075893.300919</v>
      </c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</row>
    <row r="28" spans="1:72" s="124" customFormat="1" hidden="1">
      <c r="A28" s="265"/>
      <c r="B28" s="505"/>
      <c r="C28" s="505"/>
      <c r="D28" s="267"/>
      <c r="E28" s="267"/>
      <c r="F28" s="267"/>
      <c r="G28" s="267"/>
      <c r="H28" s="267"/>
      <c r="I28" s="147"/>
      <c r="J28" s="147"/>
      <c r="K28" s="147"/>
      <c r="L28" s="147"/>
      <c r="M28" s="147"/>
      <c r="N28" s="147"/>
      <c r="O28" s="147"/>
      <c r="P28" s="149">
        <f t="shared" si="9"/>
        <v>0</v>
      </c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82"/>
      <c r="BE28" s="82"/>
      <c r="BF28" s="82"/>
      <c r="BG28" s="119"/>
      <c r="BH28" s="82">
        <v>53079394528.563904</v>
      </c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</row>
    <row r="29" spans="1:72" s="124" customFormat="1" ht="28.5" hidden="1" customHeight="1">
      <c r="A29" s="265" t="s">
        <v>19</v>
      </c>
      <c r="B29" s="594" t="s">
        <v>217</v>
      </c>
      <c r="C29" s="594"/>
      <c r="D29" s="267">
        <f>+D27+D11</f>
        <v>6154456663.1562233</v>
      </c>
      <c r="E29" s="267">
        <f t="shared" ref="E29:O29" si="20">+E27+E11</f>
        <v>6411509537.3455591</v>
      </c>
      <c r="F29" s="267">
        <f t="shared" si="20"/>
        <v>6833192395.3710165</v>
      </c>
      <c r="G29" s="267">
        <f t="shared" si="20"/>
        <v>7382167879.2546959</v>
      </c>
      <c r="H29" s="267">
        <f t="shared" si="20"/>
        <v>6471237505.1026869</v>
      </c>
      <c r="I29" s="147">
        <f t="shared" si="20"/>
        <v>5801517378.1644878</v>
      </c>
      <c r="J29" s="147">
        <f t="shared" si="20"/>
        <v>6517289581.6870928</v>
      </c>
      <c r="K29" s="147">
        <f t="shared" si="20"/>
        <v>8062055854.8648777</v>
      </c>
      <c r="L29" s="147">
        <f t="shared" si="20"/>
        <v>7896357093.8145342</v>
      </c>
      <c r="M29" s="147">
        <f t="shared" si="20"/>
        <v>7409656410.6907377</v>
      </c>
      <c r="N29" s="147">
        <f t="shared" si="20"/>
        <v>7429490409.7740936</v>
      </c>
      <c r="O29" s="147">
        <f t="shared" si="20"/>
        <v>7291309806.2595987</v>
      </c>
      <c r="P29" s="149">
        <f>P27+D11</f>
        <v>75094531744.793427</v>
      </c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82"/>
      <c r="BE29" s="82"/>
      <c r="BF29" s="82"/>
      <c r="BG29" s="119">
        <v>3645407885.8400002</v>
      </c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</row>
    <row r="30" spans="1:72" s="124" customFormat="1">
      <c r="A30" s="265"/>
      <c r="B30" s="504"/>
      <c r="C30" s="505"/>
      <c r="D30" s="264"/>
      <c r="E30" s="264"/>
      <c r="F30" s="264"/>
      <c r="G30" s="264"/>
      <c r="H30" s="264"/>
      <c r="I30" s="143"/>
      <c r="J30" s="143"/>
      <c r="K30" s="143"/>
      <c r="L30" s="143"/>
      <c r="M30" s="143"/>
      <c r="N30" s="143"/>
      <c r="O30" s="143"/>
      <c r="P30" s="145">
        <f t="shared" si="9"/>
        <v>0</v>
      </c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80"/>
      <c r="BE30" s="80"/>
      <c r="BF30" s="80"/>
      <c r="BG30" s="118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</row>
    <row r="31" spans="1:72" s="124" customFormat="1">
      <c r="A31" s="265"/>
      <c r="B31" s="594" t="s">
        <v>20</v>
      </c>
      <c r="C31" s="594"/>
      <c r="D31" s="594"/>
      <c r="E31" s="264"/>
      <c r="F31" s="264"/>
      <c r="G31" s="264"/>
      <c r="H31" s="264"/>
      <c r="I31" s="143"/>
      <c r="J31" s="143"/>
      <c r="K31" s="143"/>
      <c r="L31" s="143"/>
      <c r="M31" s="143"/>
      <c r="N31" s="143"/>
      <c r="O31" s="143"/>
      <c r="P31" s="145">
        <f t="shared" si="9"/>
        <v>0</v>
      </c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80"/>
      <c r="BE31" s="80"/>
      <c r="BF31" s="80"/>
      <c r="BG31" s="118"/>
      <c r="BH31" s="80">
        <f>+BH28-BH27</f>
        <v>-21856681364.737015</v>
      </c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</row>
    <row r="32" spans="1:72" s="124" customFormat="1">
      <c r="A32" s="265"/>
      <c r="B32" s="269" t="s">
        <v>21</v>
      </c>
      <c r="C32" s="270"/>
      <c r="D32" s="264"/>
      <c r="E32" s="264"/>
      <c r="F32" s="264"/>
      <c r="G32" s="264"/>
      <c r="H32" s="264"/>
      <c r="I32" s="143"/>
      <c r="J32" s="143"/>
      <c r="K32" s="143"/>
      <c r="L32" s="143"/>
      <c r="M32" s="143"/>
      <c r="N32" s="143"/>
      <c r="O32" s="143"/>
      <c r="P32" s="145">
        <f t="shared" si="9"/>
        <v>0</v>
      </c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80"/>
      <c r="BE32" s="80"/>
      <c r="BF32" s="80"/>
      <c r="BG32" s="118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</row>
    <row r="33" spans="1:74" s="124" customFormat="1">
      <c r="A33" s="265"/>
      <c r="B33" s="269"/>
      <c r="C33" s="270"/>
      <c r="D33" s="264"/>
      <c r="E33" s="264"/>
      <c r="F33" s="264"/>
      <c r="G33" s="264"/>
      <c r="H33" s="264"/>
      <c r="I33" s="143"/>
      <c r="J33" s="143"/>
      <c r="K33" s="143"/>
      <c r="L33" s="143"/>
      <c r="M33" s="143"/>
      <c r="N33" s="143"/>
      <c r="O33" s="143"/>
      <c r="P33" s="145">
        <f t="shared" si="9"/>
        <v>0</v>
      </c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80"/>
      <c r="BE33" s="80"/>
      <c r="BF33" s="80"/>
      <c r="BG33" s="118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</row>
    <row r="34" spans="1:74" s="124" customFormat="1">
      <c r="A34" s="265"/>
      <c r="B34" s="270">
        <v>6400</v>
      </c>
      <c r="C34" s="270" t="s">
        <v>22</v>
      </c>
      <c r="D34" s="264">
        <f>'CF 2016'!O34+('CF 2016'!O34*7.5%)</f>
        <v>677250000</v>
      </c>
      <c r="E34" s="264">
        <f>D34</f>
        <v>677250000</v>
      </c>
      <c r="F34" s="264">
        <f>E34</f>
        <v>677250000</v>
      </c>
      <c r="G34" s="264">
        <f>F34</f>
        <v>677250000</v>
      </c>
      <c r="H34" s="264">
        <f>G34</f>
        <v>677250000</v>
      </c>
      <c r="I34" s="143">
        <f t="shared" ref="I34:O34" si="21">H34</f>
        <v>677250000</v>
      </c>
      <c r="J34" s="143">
        <f t="shared" si="21"/>
        <v>677250000</v>
      </c>
      <c r="K34" s="143">
        <f t="shared" si="21"/>
        <v>677250000</v>
      </c>
      <c r="L34" s="143">
        <f t="shared" si="21"/>
        <v>677250000</v>
      </c>
      <c r="M34" s="143">
        <f t="shared" si="21"/>
        <v>677250000</v>
      </c>
      <c r="N34" s="143">
        <f t="shared" si="21"/>
        <v>677250000</v>
      </c>
      <c r="O34" s="143">
        <f t="shared" si="21"/>
        <v>677250000</v>
      </c>
      <c r="P34" s="145">
        <f t="shared" si="9"/>
        <v>8127000000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80"/>
      <c r="BE34" s="80"/>
      <c r="BF34" s="80"/>
      <c r="BG34" s="118">
        <v>630000000</v>
      </c>
      <c r="BH34" s="80">
        <v>630000000</v>
      </c>
      <c r="BI34" s="80">
        <f t="shared" ref="BI34:BI65" si="22">+D34</f>
        <v>677250000</v>
      </c>
      <c r="BJ34" s="80">
        <f t="shared" ref="BJ34:BJ97" si="23">+BH34/BI34</f>
        <v>0.93023255813953487</v>
      </c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V34" s="129">
        <v>500</v>
      </c>
    </row>
    <row r="35" spans="1:74" s="124" customFormat="1">
      <c r="A35" s="265"/>
      <c r="B35" s="270">
        <v>6401</v>
      </c>
      <c r="C35" s="270" t="s">
        <v>23</v>
      </c>
      <c r="D35" s="264">
        <f>'CF 2016'!O35*1.05</f>
        <v>5775000</v>
      </c>
      <c r="E35" s="264">
        <f>D35+(D35*$E$9%)</f>
        <v>5868555</v>
      </c>
      <c r="F35" s="264">
        <f>E35+(E35*$F$9%)</f>
        <v>6093907.5119999992</v>
      </c>
      <c r="G35" s="264">
        <f>F35+(F35*$G$9%)</f>
        <v>6065875.5374447992</v>
      </c>
      <c r="H35" s="264">
        <f>G35+(G35*$H$9%)</f>
        <v>6005216.7820703508</v>
      </c>
      <c r="I35" s="143">
        <f>H35+(H35*$I$9%)</f>
        <v>5284590.7682219092</v>
      </c>
      <c r="J35" s="143">
        <f>I35+(I35*$J$9%)</f>
        <v>5284590.7682219092</v>
      </c>
      <c r="K35" s="143">
        <f t="shared" ref="K35:K97" si="24">J35+(J35*$K$9%)</f>
        <v>5760203.9373618811</v>
      </c>
      <c r="L35" s="143">
        <f>K35+(K35*$I$9%)</f>
        <v>5068979.4648784557</v>
      </c>
      <c r="M35" s="143">
        <f>L35+(L35*$J$9%)</f>
        <v>5068979.4648784557</v>
      </c>
      <c r="N35" s="143">
        <f t="shared" ref="N35:N97" si="25">M35+(M35*$K$9%)</f>
        <v>5525187.6167175164</v>
      </c>
      <c r="O35" s="143">
        <f>N35+(N35*$O$9%)</f>
        <v>5525187.6167175164</v>
      </c>
      <c r="P35" s="145">
        <f t="shared" si="9"/>
        <v>67326274.468512788</v>
      </c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80"/>
      <c r="BE35" s="80"/>
      <c r="BF35" s="80"/>
      <c r="BG35" s="118">
        <v>5500000</v>
      </c>
      <c r="BH35" s="80">
        <v>5500000</v>
      </c>
      <c r="BI35" s="80">
        <f t="shared" si="22"/>
        <v>5775000</v>
      </c>
      <c r="BJ35" s="80">
        <f t="shared" si="23"/>
        <v>0.95238095238095233</v>
      </c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V35" s="129">
        <v>5.5</v>
      </c>
    </row>
    <row r="36" spans="1:74" s="182" customFormat="1">
      <c r="A36" s="265"/>
      <c r="B36" s="270">
        <v>6402</v>
      </c>
      <c r="C36" s="270" t="s">
        <v>751</v>
      </c>
      <c r="D36" s="264">
        <f>'CF 2016'!O36*1.05</f>
        <v>2100000</v>
      </c>
      <c r="E36" s="264">
        <f>D36+(D36*$E$9%)</f>
        <v>2134020</v>
      </c>
      <c r="F36" s="264">
        <f t="shared" ref="F36:F99" si="26">E36+(E36*$F$9%)</f>
        <v>2215966.3679999998</v>
      </c>
      <c r="G36" s="264">
        <f t="shared" ref="G36:G99" si="27">F36+(F36*$G$9%)</f>
        <v>2205772.9227072001</v>
      </c>
      <c r="H36" s="264">
        <f t="shared" ref="H36:H99" si="28">G36+(G36*$H$9%)</f>
        <v>2183715.193480128</v>
      </c>
      <c r="I36" s="143">
        <f>H36+(H36*$I$9%)</f>
        <v>1921669.3702625127</v>
      </c>
      <c r="J36" s="143">
        <f>69456766.5*1.1</f>
        <v>76402443.150000006</v>
      </c>
      <c r="K36" s="143">
        <f>I36+(I36*$K$9%)</f>
        <v>2094619.6135861389</v>
      </c>
      <c r="L36" s="143">
        <f t="shared" ref="L36:L99" si="29">K36+(K36*$I$9%)</f>
        <v>1843265.2599558022</v>
      </c>
      <c r="M36" s="143">
        <f>L36+(L36*$J$9%)</f>
        <v>1843265.2599558022</v>
      </c>
      <c r="N36" s="143">
        <f t="shared" si="25"/>
        <v>2009159.1333518245</v>
      </c>
      <c r="O36" s="143">
        <f t="shared" ref="O36:O99" si="30">N36+(N36*$O$9%)</f>
        <v>2009159.1333518245</v>
      </c>
      <c r="P36" s="145">
        <f t="shared" si="9"/>
        <v>98963055.40465124</v>
      </c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81"/>
      <c r="BE36" s="181"/>
      <c r="BF36" s="181"/>
      <c r="BG36" s="188">
        <v>2000000</v>
      </c>
      <c r="BH36" s="181">
        <v>2000000</v>
      </c>
      <c r="BI36" s="181">
        <f t="shared" si="22"/>
        <v>2100000</v>
      </c>
      <c r="BJ36" s="181">
        <f t="shared" si="23"/>
        <v>0.95238095238095233</v>
      </c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V36" s="183">
        <v>29.582894249999995</v>
      </c>
    </row>
    <row r="37" spans="1:74" s="124" customFormat="1">
      <c r="A37" s="265"/>
      <c r="B37" s="270">
        <v>6403</v>
      </c>
      <c r="C37" s="270" t="s">
        <v>25</v>
      </c>
      <c r="D37" s="264">
        <f>'CF 2016'!O37*1.05</f>
        <v>0</v>
      </c>
      <c r="E37" s="264">
        <f t="shared" ref="E37:E100" si="31">D37+(D37*$E$9%)</f>
        <v>0</v>
      </c>
      <c r="F37" s="264">
        <f t="shared" si="26"/>
        <v>0</v>
      </c>
      <c r="G37" s="264">
        <f t="shared" si="27"/>
        <v>0</v>
      </c>
      <c r="H37" s="264">
        <f t="shared" si="28"/>
        <v>0</v>
      </c>
      <c r="I37" s="143">
        <f t="shared" ref="I37:I100" si="32">H37+(H37*$I$9%)</f>
        <v>0</v>
      </c>
      <c r="J37" s="143">
        <f>J34</f>
        <v>677250000</v>
      </c>
      <c r="K37" s="143"/>
      <c r="L37" s="143"/>
      <c r="M37" s="143">
        <f t="shared" ref="M37:M100" si="33">L37+(L37*$J$9%)</f>
        <v>0</v>
      </c>
      <c r="N37" s="143"/>
      <c r="O37" s="143"/>
      <c r="P37" s="145">
        <f t="shared" si="9"/>
        <v>677250000</v>
      </c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80"/>
      <c r="BE37" s="80"/>
      <c r="BF37" s="80"/>
      <c r="BG37" s="118">
        <v>0</v>
      </c>
      <c r="BH37" s="80">
        <v>0</v>
      </c>
      <c r="BI37" s="80">
        <f t="shared" si="22"/>
        <v>0</v>
      </c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V37" s="129"/>
    </row>
    <row r="38" spans="1:74" s="124" customFormat="1">
      <c r="A38" s="265"/>
      <c r="B38" s="270">
        <v>6404</v>
      </c>
      <c r="C38" s="270" t="s">
        <v>26</v>
      </c>
      <c r="D38" s="264">
        <f>'CF 2016'!O38*1.05</f>
        <v>0</v>
      </c>
      <c r="E38" s="264">
        <f t="shared" si="31"/>
        <v>0</v>
      </c>
      <c r="F38" s="264">
        <f t="shared" si="26"/>
        <v>0</v>
      </c>
      <c r="G38" s="264">
        <f t="shared" si="27"/>
        <v>0</v>
      </c>
      <c r="H38" s="264">
        <f t="shared" si="28"/>
        <v>0</v>
      </c>
      <c r="I38" s="143">
        <f t="shared" si="32"/>
        <v>0</v>
      </c>
      <c r="J38" s="143">
        <f t="shared" ref="J38:J99" si="34">I38+(I38*$J$9%)</f>
        <v>0</v>
      </c>
      <c r="K38" s="143">
        <f t="shared" si="24"/>
        <v>0</v>
      </c>
      <c r="L38" s="143">
        <f t="shared" si="29"/>
        <v>0</v>
      </c>
      <c r="M38" s="143">
        <f t="shared" si="33"/>
        <v>0</v>
      </c>
      <c r="N38" s="143">
        <f t="shared" si="25"/>
        <v>0</v>
      </c>
      <c r="O38" s="143">
        <f t="shared" si="30"/>
        <v>0</v>
      </c>
      <c r="P38" s="145">
        <f t="shared" si="9"/>
        <v>0</v>
      </c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80"/>
      <c r="BE38" s="80"/>
      <c r="BF38" s="80"/>
      <c r="BG38" s="118"/>
      <c r="BH38" s="80"/>
      <c r="BI38" s="80">
        <f t="shared" si="22"/>
        <v>0</v>
      </c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V38" s="129">
        <v>120</v>
      </c>
    </row>
    <row r="39" spans="1:74" s="124" customFormat="1">
      <c r="A39" s="265"/>
      <c r="B39" s="270">
        <v>6405</v>
      </c>
      <c r="C39" s="270" t="s">
        <v>27</v>
      </c>
      <c r="D39" s="264">
        <f>'CF 2016'!O39*1.05</f>
        <v>367500</v>
      </c>
      <c r="E39" s="264">
        <f t="shared" si="31"/>
        <v>373453.5</v>
      </c>
      <c r="F39" s="264">
        <f t="shared" si="26"/>
        <v>387794.11439999996</v>
      </c>
      <c r="G39" s="264">
        <f t="shared" si="27"/>
        <v>386010.26147376001</v>
      </c>
      <c r="H39" s="264">
        <f t="shared" si="28"/>
        <v>382150.15885902243</v>
      </c>
      <c r="I39" s="143">
        <f t="shared" si="32"/>
        <v>336292.13979593973</v>
      </c>
      <c r="J39" s="143">
        <f t="shared" si="34"/>
        <v>336292.13979593973</v>
      </c>
      <c r="K39" s="143">
        <f t="shared" si="24"/>
        <v>366558.43237757433</v>
      </c>
      <c r="L39" s="143">
        <f t="shared" si="29"/>
        <v>322571.42049226543</v>
      </c>
      <c r="M39" s="143">
        <f t="shared" si="33"/>
        <v>322571.42049226543</v>
      </c>
      <c r="N39" s="143">
        <f t="shared" si="25"/>
        <v>351602.84833656932</v>
      </c>
      <c r="O39" s="143">
        <f t="shared" si="30"/>
        <v>351602.84833656932</v>
      </c>
      <c r="P39" s="145">
        <f t="shared" si="9"/>
        <v>4284399.2843599059</v>
      </c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80"/>
      <c r="BE39" s="80"/>
      <c r="BF39" s="80"/>
      <c r="BG39" s="118">
        <v>250000</v>
      </c>
      <c r="BH39" s="80">
        <v>350000</v>
      </c>
      <c r="BI39" s="80">
        <f t="shared" si="22"/>
        <v>367500</v>
      </c>
      <c r="BJ39" s="80">
        <f t="shared" si="23"/>
        <v>0.95238095238095233</v>
      </c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V39" s="129">
        <v>0.25</v>
      </c>
    </row>
    <row r="40" spans="1:74" s="124" customFormat="1">
      <c r="A40" s="265"/>
      <c r="B40" s="270">
        <v>6406</v>
      </c>
      <c r="C40" s="270" t="s">
        <v>28</v>
      </c>
      <c r="D40" s="264">
        <f>'CF 2016'!O40*1.05</f>
        <v>0</v>
      </c>
      <c r="E40" s="264">
        <f t="shared" si="31"/>
        <v>0</v>
      </c>
      <c r="F40" s="264">
        <f t="shared" si="26"/>
        <v>0</v>
      </c>
      <c r="G40" s="264">
        <f t="shared" si="27"/>
        <v>0</v>
      </c>
      <c r="H40" s="264">
        <f t="shared" si="28"/>
        <v>0</v>
      </c>
      <c r="I40" s="143">
        <f t="shared" si="32"/>
        <v>0</v>
      </c>
      <c r="J40" s="143">
        <f t="shared" si="34"/>
        <v>0</v>
      </c>
      <c r="K40" s="143">
        <f t="shared" si="24"/>
        <v>0</v>
      </c>
      <c r="L40" s="143">
        <f t="shared" si="29"/>
        <v>0</v>
      </c>
      <c r="M40" s="143">
        <f t="shared" si="33"/>
        <v>0</v>
      </c>
      <c r="N40" s="143">
        <f t="shared" si="25"/>
        <v>0</v>
      </c>
      <c r="O40" s="143">
        <f t="shared" si="30"/>
        <v>0</v>
      </c>
      <c r="P40" s="145">
        <f t="shared" si="9"/>
        <v>0</v>
      </c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80"/>
      <c r="BE40" s="80"/>
      <c r="BF40" s="80"/>
      <c r="BG40" s="118">
        <v>0</v>
      </c>
      <c r="BH40" s="80">
        <v>0</v>
      </c>
      <c r="BI40" s="80">
        <f t="shared" si="22"/>
        <v>0</v>
      </c>
      <c r="BJ40" s="80" t="e">
        <f t="shared" si="23"/>
        <v>#DIV/0!</v>
      </c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V40" s="129"/>
    </row>
    <row r="41" spans="1:74" s="124" customFormat="1">
      <c r="A41" s="265"/>
      <c r="B41" s="270">
        <v>6407</v>
      </c>
      <c r="C41" s="270" t="s">
        <v>29</v>
      </c>
      <c r="D41" s="264">
        <f>'CF 2016'!O41*1.05</f>
        <v>1050000</v>
      </c>
      <c r="E41" s="264">
        <f t="shared" si="31"/>
        <v>1067010</v>
      </c>
      <c r="F41" s="264">
        <f t="shared" si="26"/>
        <v>1107983.1839999999</v>
      </c>
      <c r="G41" s="264">
        <f t="shared" si="27"/>
        <v>1102886.4613536</v>
      </c>
      <c r="H41" s="264">
        <f t="shared" si="28"/>
        <v>1091857.596740064</v>
      </c>
      <c r="I41" s="143">
        <f t="shared" si="32"/>
        <v>960834.68513125635</v>
      </c>
      <c r="J41" s="143">
        <f t="shared" si="34"/>
        <v>960834.68513125635</v>
      </c>
      <c r="K41" s="143">
        <f t="shared" si="24"/>
        <v>1047309.8067930695</v>
      </c>
      <c r="L41" s="143">
        <f t="shared" si="29"/>
        <v>921632.62997790112</v>
      </c>
      <c r="M41" s="143">
        <f t="shared" si="33"/>
        <v>921632.62997790112</v>
      </c>
      <c r="N41" s="143">
        <f t="shared" si="25"/>
        <v>1004579.5666759122</v>
      </c>
      <c r="O41" s="143">
        <f t="shared" si="30"/>
        <v>1004579.5666759122</v>
      </c>
      <c r="P41" s="145">
        <f t="shared" si="9"/>
        <v>12241140.812456872</v>
      </c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80"/>
      <c r="BE41" s="80"/>
      <c r="BF41" s="80"/>
      <c r="BG41" s="118">
        <v>1000000</v>
      </c>
      <c r="BH41" s="80">
        <v>1000000</v>
      </c>
      <c r="BI41" s="80">
        <f t="shared" si="22"/>
        <v>1050000</v>
      </c>
      <c r="BJ41" s="80">
        <f t="shared" si="23"/>
        <v>0.95238095238095233</v>
      </c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V41" s="129">
        <v>1</v>
      </c>
    </row>
    <row r="42" spans="1:74" s="124" customFormat="1" ht="30">
      <c r="A42" s="265"/>
      <c r="B42" s="270">
        <v>6408</v>
      </c>
      <c r="C42" s="272" t="s">
        <v>711</v>
      </c>
      <c r="D42" s="264">
        <f>'CF 2016'!O42*1.05</f>
        <v>17850000</v>
      </c>
      <c r="E42" s="264">
        <f t="shared" si="31"/>
        <v>18139170</v>
      </c>
      <c r="F42" s="264">
        <f t="shared" si="26"/>
        <v>18835714.127999999</v>
      </c>
      <c r="G42" s="264">
        <f t="shared" si="27"/>
        <v>18749069.8430112</v>
      </c>
      <c r="H42" s="264">
        <f t="shared" si="28"/>
        <v>18561579.144581087</v>
      </c>
      <c r="I42" s="143">
        <f t="shared" si="32"/>
        <v>16334189.647231357</v>
      </c>
      <c r="J42" s="143">
        <f t="shared" si="34"/>
        <v>16334189.647231357</v>
      </c>
      <c r="K42" s="143">
        <f t="shared" si="24"/>
        <v>17804266.715482179</v>
      </c>
      <c r="L42" s="143">
        <f t="shared" si="29"/>
        <v>15667754.709624317</v>
      </c>
      <c r="M42" s="143">
        <f t="shared" si="33"/>
        <v>15667754.709624317</v>
      </c>
      <c r="N42" s="143">
        <f t="shared" si="25"/>
        <v>17077852.633490507</v>
      </c>
      <c r="O42" s="143">
        <f t="shared" si="30"/>
        <v>17077852.633490507</v>
      </c>
      <c r="P42" s="145">
        <f t="shared" si="9"/>
        <v>208099393.8117668</v>
      </c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80"/>
      <c r="BE42" s="80"/>
      <c r="BF42" s="80"/>
      <c r="BG42" s="118">
        <v>17000000</v>
      </c>
      <c r="BH42" s="80">
        <v>17000000</v>
      </c>
      <c r="BI42" s="80">
        <f t="shared" si="22"/>
        <v>17850000</v>
      </c>
      <c r="BJ42" s="80">
        <f t="shared" si="23"/>
        <v>0.95238095238095233</v>
      </c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V42" s="129">
        <v>17</v>
      </c>
    </row>
    <row r="43" spans="1:74" s="124" customFormat="1">
      <c r="A43" s="265"/>
      <c r="B43" s="270">
        <v>6409</v>
      </c>
      <c r="C43" s="270" t="s">
        <v>31</v>
      </c>
      <c r="D43" s="264">
        <f>'CF 2016'!O43*1.05</f>
        <v>525000</v>
      </c>
      <c r="E43" s="264">
        <f t="shared" si="31"/>
        <v>533505</v>
      </c>
      <c r="F43" s="264">
        <f t="shared" si="26"/>
        <v>553991.59199999995</v>
      </c>
      <c r="G43" s="264">
        <f t="shared" si="27"/>
        <v>551443.23067680001</v>
      </c>
      <c r="H43" s="264">
        <f t="shared" si="28"/>
        <v>545928.79837003199</v>
      </c>
      <c r="I43" s="143">
        <f t="shared" si="32"/>
        <v>480417.34256562818</v>
      </c>
      <c r="J43" s="143">
        <f t="shared" si="34"/>
        <v>480417.34256562818</v>
      </c>
      <c r="K43" s="143">
        <f t="shared" si="24"/>
        <v>523654.90339653473</v>
      </c>
      <c r="L43" s="143">
        <f t="shared" si="29"/>
        <v>460816.31498895056</v>
      </c>
      <c r="M43" s="143">
        <f t="shared" si="33"/>
        <v>460816.31498895056</v>
      </c>
      <c r="N43" s="143">
        <f t="shared" si="25"/>
        <v>502289.78333795612</v>
      </c>
      <c r="O43" s="143">
        <f t="shared" si="30"/>
        <v>502289.78333795612</v>
      </c>
      <c r="P43" s="145">
        <f t="shared" si="9"/>
        <v>6120570.4062284362</v>
      </c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80"/>
      <c r="BE43" s="80"/>
      <c r="BF43" s="80"/>
      <c r="BG43" s="118">
        <v>500000</v>
      </c>
      <c r="BH43" s="80">
        <v>500000</v>
      </c>
      <c r="BI43" s="80">
        <f t="shared" si="22"/>
        <v>525000</v>
      </c>
      <c r="BJ43" s="80">
        <f t="shared" si="23"/>
        <v>0.95238095238095233</v>
      </c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V43" s="129">
        <v>0.5</v>
      </c>
    </row>
    <row r="44" spans="1:74" s="124" customFormat="1">
      <c r="A44" s="265"/>
      <c r="B44" s="270">
        <v>6410</v>
      </c>
      <c r="C44" s="270" t="s">
        <v>32</v>
      </c>
      <c r="D44" s="264">
        <f>'CF 2016'!O44*1.05</f>
        <v>52500000</v>
      </c>
      <c r="E44" s="264">
        <f t="shared" si="31"/>
        <v>53350500</v>
      </c>
      <c r="F44" s="264">
        <f t="shared" si="26"/>
        <v>55399159.199999996</v>
      </c>
      <c r="G44" s="264">
        <f t="shared" si="27"/>
        <v>55144323.067680001</v>
      </c>
      <c r="H44" s="264">
        <f t="shared" si="28"/>
        <v>54592879.837003201</v>
      </c>
      <c r="I44" s="143">
        <f t="shared" si="32"/>
        <v>48041734.256562814</v>
      </c>
      <c r="J44" s="143">
        <f t="shared" si="34"/>
        <v>48041734.256562814</v>
      </c>
      <c r="K44" s="143">
        <f t="shared" si="24"/>
        <v>52365490.33965347</v>
      </c>
      <c r="L44" s="143">
        <f t="shared" si="29"/>
        <v>46081631.498895057</v>
      </c>
      <c r="M44" s="143">
        <f t="shared" si="33"/>
        <v>46081631.498895057</v>
      </c>
      <c r="N44" s="143">
        <f t="shared" si="25"/>
        <v>50228978.333795615</v>
      </c>
      <c r="O44" s="143">
        <f t="shared" si="30"/>
        <v>50228978.333795615</v>
      </c>
      <c r="P44" s="145">
        <f t="shared" si="9"/>
        <v>612057040.62284374</v>
      </c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80"/>
      <c r="BE44" s="80"/>
      <c r="BF44" s="80"/>
      <c r="BG44" s="118">
        <v>50000000</v>
      </c>
      <c r="BH44" s="80">
        <v>50000000</v>
      </c>
      <c r="BI44" s="80">
        <f t="shared" si="22"/>
        <v>52500000</v>
      </c>
      <c r="BJ44" s="80">
        <f t="shared" si="23"/>
        <v>0.95238095238095233</v>
      </c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V44" s="129">
        <v>24.756499999999999</v>
      </c>
    </row>
    <row r="45" spans="1:74" s="124" customFormat="1">
      <c r="A45" s="265"/>
      <c r="B45" s="270">
        <v>6411</v>
      </c>
      <c r="C45" s="270" t="s">
        <v>33</v>
      </c>
      <c r="D45" s="264">
        <f>'CF 2016'!O45*1.05</f>
        <v>1575000</v>
      </c>
      <c r="E45" s="264">
        <f t="shared" si="31"/>
        <v>1600515</v>
      </c>
      <c r="F45" s="264">
        <f t="shared" si="26"/>
        <v>1661974.7759999998</v>
      </c>
      <c r="G45" s="264">
        <f t="shared" si="27"/>
        <v>1654329.6920304</v>
      </c>
      <c r="H45" s="264">
        <f t="shared" si="28"/>
        <v>1637786.3951100961</v>
      </c>
      <c r="I45" s="143">
        <f t="shared" si="32"/>
        <v>1441252.0276968845</v>
      </c>
      <c r="J45" s="143">
        <f t="shared" si="34"/>
        <v>1441252.0276968845</v>
      </c>
      <c r="K45" s="143">
        <f t="shared" si="24"/>
        <v>1570964.710189604</v>
      </c>
      <c r="L45" s="143">
        <f t="shared" si="29"/>
        <v>1382448.9449668515</v>
      </c>
      <c r="M45" s="143">
        <f t="shared" si="33"/>
        <v>1382448.9449668515</v>
      </c>
      <c r="N45" s="143">
        <f t="shared" si="25"/>
        <v>1506869.3500138682</v>
      </c>
      <c r="O45" s="143">
        <f t="shared" si="30"/>
        <v>1506869.3500138682</v>
      </c>
      <c r="P45" s="145">
        <f t="shared" si="9"/>
        <v>18361711.218685307</v>
      </c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80"/>
      <c r="BE45" s="80"/>
      <c r="BF45" s="80"/>
      <c r="BG45" s="118">
        <v>1500000</v>
      </c>
      <c r="BH45" s="80">
        <v>1500000</v>
      </c>
      <c r="BI45" s="80">
        <f t="shared" si="22"/>
        <v>1575000</v>
      </c>
      <c r="BJ45" s="80">
        <f t="shared" si="23"/>
        <v>0.95238095238095233</v>
      </c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V45" s="129">
        <v>1.5</v>
      </c>
    </row>
    <row r="46" spans="1:74" s="124" customFormat="1">
      <c r="A46" s="265"/>
      <c r="B46" s="270">
        <v>6412</v>
      </c>
      <c r="C46" s="270" t="s">
        <v>34</v>
      </c>
      <c r="D46" s="264">
        <f>'CF 2016'!O46*1.05</f>
        <v>63000000</v>
      </c>
      <c r="E46" s="264">
        <f t="shared" si="31"/>
        <v>64020600</v>
      </c>
      <c r="F46" s="264">
        <f t="shared" si="26"/>
        <v>66478991.039999992</v>
      </c>
      <c r="G46" s="264">
        <f t="shared" si="27"/>
        <v>66173187.681215994</v>
      </c>
      <c r="H46" s="264">
        <f t="shared" si="28"/>
        <v>65511455.804403834</v>
      </c>
      <c r="I46" s="143">
        <f t="shared" si="32"/>
        <v>57650081.107875377</v>
      </c>
      <c r="J46" s="143">
        <f t="shared" si="34"/>
        <v>57650081.107875377</v>
      </c>
      <c r="K46" s="143">
        <f t="shared" si="24"/>
        <v>62838588.407584161</v>
      </c>
      <c r="L46" s="143">
        <f t="shared" si="29"/>
        <v>55297957.798674062</v>
      </c>
      <c r="M46" s="143">
        <f t="shared" si="33"/>
        <v>55297957.798674062</v>
      </c>
      <c r="N46" s="143">
        <f t="shared" si="25"/>
        <v>60274774.000554726</v>
      </c>
      <c r="O46" s="143">
        <f t="shared" si="30"/>
        <v>60274774.000554726</v>
      </c>
      <c r="P46" s="145">
        <f t="shared" si="9"/>
        <v>734468448.74741232</v>
      </c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80"/>
      <c r="BE46" s="80"/>
      <c r="BF46" s="80"/>
      <c r="BG46" s="118">
        <v>60000000</v>
      </c>
      <c r="BH46" s="80">
        <v>60000000</v>
      </c>
      <c r="BI46" s="80">
        <f t="shared" si="22"/>
        <v>63000000</v>
      </c>
      <c r="BJ46" s="80">
        <f t="shared" si="23"/>
        <v>0.95238095238095233</v>
      </c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V46" s="129">
        <v>60</v>
      </c>
    </row>
    <row r="47" spans="1:74" s="124" customFormat="1">
      <c r="A47" s="265"/>
      <c r="B47" s="270">
        <v>6413</v>
      </c>
      <c r="C47" s="270" t="s">
        <v>35</v>
      </c>
      <c r="D47" s="264">
        <f>'CF 2016'!O47*1.07</f>
        <v>12840000</v>
      </c>
      <c r="E47" s="264">
        <f t="shared" si="31"/>
        <v>13048008</v>
      </c>
      <c r="F47" s="264">
        <f t="shared" si="26"/>
        <v>13549051.507199999</v>
      </c>
      <c r="G47" s="264">
        <f t="shared" si="27"/>
        <v>13486725.870266879</v>
      </c>
      <c r="H47" s="264">
        <f t="shared" si="28"/>
        <v>13351858.61156421</v>
      </c>
      <c r="I47" s="143">
        <f t="shared" si="32"/>
        <v>11749635.578176504</v>
      </c>
      <c r="J47" s="143">
        <f t="shared" si="34"/>
        <v>11749635.578176504</v>
      </c>
      <c r="K47" s="143">
        <f t="shared" si="24"/>
        <v>12807102.780212389</v>
      </c>
      <c r="L47" s="143">
        <f t="shared" si="29"/>
        <v>11270250.446586903</v>
      </c>
      <c r="M47" s="143">
        <f t="shared" si="33"/>
        <v>11270250.446586903</v>
      </c>
      <c r="N47" s="143">
        <f t="shared" si="25"/>
        <v>12284572.986779725</v>
      </c>
      <c r="O47" s="143">
        <f t="shared" si="30"/>
        <v>12284572.986779725</v>
      </c>
      <c r="P47" s="145">
        <f t="shared" si="9"/>
        <v>149691664.79232973</v>
      </c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80"/>
      <c r="BE47" s="80"/>
      <c r="BF47" s="80"/>
      <c r="BG47" s="118">
        <v>8500000</v>
      </c>
      <c r="BH47" s="80">
        <v>8500000</v>
      </c>
      <c r="BI47" s="80">
        <f t="shared" si="22"/>
        <v>12840000</v>
      </c>
      <c r="BJ47" s="80">
        <f t="shared" si="23"/>
        <v>0.661993769470405</v>
      </c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V47" s="129">
        <v>8.5</v>
      </c>
    </row>
    <row r="48" spans="1:74" s="124" customFormat="1">
      <c r="A48" s="265"/>
      <c r="B48" s="270">
        <v>6414</v>
      </c>
      <c r="C48" s="270" t="s">
        <v>36</v>
      </c>
      <c r="D48" s="264">
        <f>'CF 2016'!O48*1.05</f>
        <v>0</v>
      </c>
      <c r="E48" s="264">
        <f t="shared" si="31"/>
        <v>0</v>
      </c>
      <c r="F48" s="264">
        <f t="shared" si="26"/>
        <v>0</v>
      </c>
      <c r="G48" s="264">
        <f t="shared" si="27"/>
        <v>0</v>
      </c>
      <c r="H48" s="264">
        <f t="shared" si="28"/>
        <v>0</v>
      </c>
      <c r="I48" s="143">
        <f t="shared" si="32"/>
        <v>0</v>
      </c>
      <c r="J48" s="143">
        <f t="shared" si="34"/>
        <v>0</v>
      </c>
      <c r="K48" s="143">
        <f t="shared" si="24"/>
        <v>0</v>
      </c>
      <c r="L48" s="143">
        <f t="shared" si="29"/>
        <v>0</v>
      </c>
      <c r="M48" s="143">
        <f t="shared" si="33"/>
        <v>0</v>
      </c>
      <c r="N48" s="143">
        <f t="shared" si="25"/>
        <v>0</v>
      </c>
      <c r="O48" s="143">
        <f t="shared" si="30"/>
        <v>0</v>
      </c>
      <c r="P48" s="145">
        <f t="shared" si="9"/>
        <v>0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80"/>
      <c r="BE48" s="80"/>
      <c r="BF48" s="80"/>
      <c r="BG48" s="118">
        <v>0</v>
      </c>
      <c r="BH48" s="80">
        <v>0</v>
      </c>
      <c r="BI48" s="80">
        <f t="shared" si="22"/>
        <v>0</v>
      </c>
      <c r="BJ48" s="80" t="e">
        <f t="shared" si="23"/>
        <v>#DIV/0!</v>
      </c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V48" s="129"/>
    </row>
    <row r="49" spans="1:74" s="124" customFormat="1">
      <c r="A49" s="265"/>
      <c r="B49" s="270">
        <v>6415</v>
      </c>
      <c r="C49" s="270" t="s">
        <v>37</v>
      </c>
      <c r="D49" s="264">
        <f>'CF 2016'!O49*1.05</f>
        <v>0</v>
      </c>
      <c r="E49" s="264">
        <f t="shared" si="31"/>
        <v>0</v>
      </c>
      <c r="F49" s="264">
        <f t="shared" si="26"/>
        <v>0</v>
      </c>
      <c r="G49" s="264">
        <f t="shared" si="27"/>
        <v>0</v>
      </c>
      <c r="H49" s="264">
        <f t="shared" si="28"/>
        <v>0</v>
      </c>
      <c r="I49" s="143">
        <f t="shared" si="32"/>
        <v>0</v>
      </c>
      <c r="J49" s="143">
        <f t="shared" si="34"/>
        <v>0</v>
      </c>
      <c r="K49" s="143">
        <f t="shared" si="24"/>
        <v>0</v>
      </c>
      <c r="L49" s="143">
        <f t="shared" si="29"/>
        <v>0</v>
      </c>
      <c r="M49" s="143">
        <f t="shared" si="33"/>
        <v>0</v>
      </c>
      <c r="N49" s="143">
        <f t="shared" si="25"/>
        <v>0</v>
      </c>
      <c r="O49" s="143">
        <f t="shared" si="30"/>
        <v>0</v>
      </c>
      <c r="P49" s="145">
        <f t="shared" si="9"/>
        <v>0</v>
      </c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80"/>
      <c r="BE49" s="80"/>
      <c r="BF49" s="80"/>
      <c r="BG49" s="118"/>
      <c r="BH49" s="80"/>
      <c r="BI49" s="80">
        <f t="shared" si="22"/>
        <v>0</v>
      </c>
      <c r="BJ49" s="80" t="e">
        <f t="shared" si="23"/>
        <v>#DIV/0!</v>
      </c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V49" s="129">
        <v>2.5</v>
      </c>
    </row>
    <row r="50" spans="1:74" s="124" customFormat="1">
      <c r="A50" s="265"/>
      <c r="B50" s="270">
        <v>6416</v>
      </c>
      <c r="C50" s="270" t="s">
        <v>38</v>
      </c>
      <c r="D50" s="264">
        <f>'CF 2016'!O50*1.05</f>
        <v>13650000</v>
      </c>
      <c r="E50" s="264">
        <f t="shared" si="31"/>
        <v>13871130</v>
      </c>
      <c r="F50" s="264">
        <f t="shared" si="26"/>
        <v>14403781.391999999</v>
      </c>
      <c r="G50" s="264">
        <f t="shared" si="27"/>
        <v>14337523.9975968</v>
      </c>
      <c r="H50" s="264">
        <f t="shared" si="28"/>
        <v>14194148.757620832</v>
      </c>
      <c r="I50" s="143">
        <f t="shared" si="32"/>
        <v>12490850.906706333</v>
      </c>
      <c r="J50" s="143">
        <f t="shared" si="34"/>
        <v>12490850.906706333</v>
      </c>
      <c r="K50" s="143">
        <f t="shared" si="24"/>
        <v>13615027.488309903</v>
      </c>
      <c r="L50" s="143">
        <f t="shared" si="29"/>
        <v>11981224.189712714</v>
      </c>
      <c r="M50" s="143">
        <f t="shared" si="33"/>
        <v>11981224.189712714</v>
      </c>
      <c r="N50" s="143">
        <f t="shared" si="25"/>
        <v>13059534.366786858</v>
      </c>
      <c r="O50" s="143">
        <f t="shared" si="30"/>
        <v>13059534.366786858</v>
      </c>
      <c r="P50" s="145">
        <f t="shared" si="9"/>
        <v>159134830.56193936</v>
      </c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80"/>
      <c r="BE50" s="80"/>
      <c r="BF50" s="80"/>
      <c r="BG50" s="118">
        <v>13000000</v>
      </c>
      <c r="BH50" s="80">
        <v>13000000</v>
      </c>
      <c r="BI50" s="80">
        <f t="shared" si="22"/>
        <v>13650000</v>
      </c>
      <c r="BJ50" s="80">
        <f t="shared" si="23"/>
        <v>0.95238095238095233</v>
      </c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V50" s="129">
        <v>13</v>
      </c>
    </row>
    <row r="51" spans="1:74" s="124" customFormat="1">
      <c r="A51" s="265"/>
      <c r="B51" s="270">
        <v>6417</v>
      </c>
      <c r="C51" s="270" t="s">
        <v>39</v>
      </c>
      <c r="D51" s="264">
        <f>'CF 2016'!O51*1.05</f>
        <v>4200000</v>
      </c>
      <c r="E51" s="264">
        <f t="shared" si="31"/>
        <v>4268040</v>
      </c>
      <c r="F51" s="264">
        <f t="shared" si="26"/>
        <v>4431932.7359999996</v>
      </c>
      <c r="G51" s="264">
        <f t="shared" si="27"/>
        <v>4411545.8454144001</v>
      </c>
      <c r="H51" s="264">
        <f t="shared" si="28"/>
        <v>4367430.3869602559</v>
      </c>
      <c r="I51" s="143">
        <f t="shared" si="32"/>
        <v>3843338.7405250254</v>
      </c>
      <c r="J51" s="143">
        <f t="shared" si="34"/>
        <v>3843338.7405250254</v>
      </c>
      <c r="K51" s="143">
        <f t="shared" si="24"/>
        <v>4189239.2271722779</v>
      </c>
      <c r="L51" s="143">
        <f t="shared" si="29"/>
        <v>3686530.5199116045</v>
      </c>
      <c r="M51" s="143">
        <f t="shared" si="33"/>
        <v>3686530.5199116045</v>
      </c>
      <c r="N51" s="143">
        <f t="shared" si="25"/>
        <v>4018318.266703649</v>
      </c>
      <c r="O51" s="143">
        <f t="shared" si="30"/>
        <v>4018318.266703649</v>
      </c>
      <c r="P51" s="145">
        <f t="shared" si="9"/>
        <v>48964563.249827489</v>
      </c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80"/>
      <c r="BE51" s="80"/>
      <c r="BF51" s="80"/>
      <c r="BG51" s="118">
        <v>4000000</v>
      </c>
      <c r="BH51" s="80">
        <v>4000000</v>
      </c>
      <c r="BI51" s="80">
        <f t="shared" si="22"/>
        <v>4200000</v>
      </c>
      <c r="BJ51" s="80">
        <f t="shared" si="23"/>
        <v>0.95238095238095233</v>
      </c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V51" s="129">
        <v>4</v>
      </c>
    </row>
    <row r="52" spans="1:74" s="124" customFormat="1">
      <c r="A52" s="265"/>
      <c r="B52" s="270">
        <v>6418</v>
      </c>
      <c r="C52" s="270" t="s">
        <v>40</v>
      </c>
      <c r="D52" s="264">
        <f>'CF 2016'!O52*1.05</f>
        <v>6930000</v>
      </c>
      <c r="E52" s="264">
        <f t="shared" si="31"/>
        <v>7042266</v>
      </c>
      <c r="F52" s="264">
        <f t="shared" si="26"/>
        <v>7312689.0143999988</v>
      </c>
      <c r="G52" s="264">
        <f t="shared" si="27"/>
        <v>7279050.6449337592</v>
      </c>
      <c r="H52" s="264">
        <f t="shared" si="28"/>
        <v>7206260.1384844212</v>
      </c>
      <c r="I52" s="143">
        <f t="shared" si="32"/>
        <v>6341508.9218662903</v>
      </c>
      <c r="J52" s="143">
        <f t="shared" si="34"/>
        <v>6341508.9218662903</v>
      </c>
      <c r="K52" s="143">
        <f t="shared" si="24"/>
        <v>6912244.7248342559</v>
      </c>
      <c r="L52" s="143">
        <f t="shared" si="29"/>
        <v>6082775.3578541456</v>
      </c>
      <c r="M52" s="143">
        <f t="shared" si="33"/>
        <v>6082775.3578541456</v>
      </c>
      <c r="N52" s="143">
        <f t="shared" si="25"/>
        <v>6630225.140061019</v>
      </c>
      <c r="O52" s="143">
        <f t="shared" si="30"/>
        <v>6630225.140061019</v>
      </c>
      <c r="P52" s="145">
        <f t="shared" si="9"/>
        <v>80791529.36221534</v>
      </c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80"/>
      <c r="BE52" s="80"/>
      <c r="BF52" s="80"/>
      <c r="BG52" s="118">
        <v>6600000</v>
      </c>
      <c r="BH52" s="80">
        <v>6600000</v>
      </c>
      <c r="BI52" s="80">
        <f t="shared" si="22"/>
        <v>6930000</v>
      </c>
      <c r="BJ52" s="80">
        <f t="shared" si="23"/>
        <v>0.95238095238095233</v>
      </c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V52" s="129">
        <v>6.6</v>
      </c>
    </row>
    <row r="53" spans="1:74" s="124" customFormat="1">
      <c r="A53" s="265"/>
      <c r="B53" s="270">
        <v>6419</v>
      </c>
      <c r="C53" s="270" t="s">
        <v>41</v>
      </c>
      <c r="D53" s="264">
        <f>'CF 2016'!O53*1.05</f>
        <v>6300000</v>
      </c>
      <c r="E53" s="264">
        <f t="shared" si="31"/>
        <v>6402060</v>
      </c>
      <c r="F53" s="264">
        <f t="shared" si="26"/>
        <v>6647899.1039999994</v>
      </c>
      <c r="G53" s="264">
        <f t="shared" si="27"/>
        <v>6617318.7681216002</v>
      </c>
      <c r="H53" s="264">
        <f t="shared" si="28"/>
        <v>6551145.5804403843</v>
      </c>
      <c r="I53" s="143">
        <f t="shared" si="32"/>
        <v>5765008.1107875379</v>
      </c>
      <c r="J53" s="143">
        <f t="shared" si="34"/>
        <v>5765008.1107875379</v>
      </c>
      <c r="K53" s="143">
        <f t="shared" si="24"/>
        <v>6283858.8407584159</v>
      </c>
      <c r="L53" s="143">
        <f t="shared" si="29"/>
        <v>5529795.779867406</v>
      </c>
      <c r="M53" s="143">
        <f t="shared" si="33"/>
        <v>5529795.779867406</v>
      </c>
      <c r="N53" s="143">
        <f t="shared" si="25"/>
        <v>6027477.4000554727</v>
      </c>
      <c r="O53" s="143">
        <f t="shared" si="30"/>
        <v>6027477.4000554727</v>
      </c>
      <c r="P53" s="145">
        <f t="shared" si="9"/>
        <v>73446844.874741226</v>
      </c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80"/>
      <c r="BE53" s="80"/>
      <c r="BF53" s="80"/>
      <c r="BG53" s="118">
        <v>6000000</v>
      </c>
      <c r="BH53" s="80">
        <v>6000000</v>
      </c>
      <c r="BI53" s="80">
        <f t="shared" si="22"/>
        <v>6300000</v>
      </c>
      <c r="BJ53" s="80">
        <f t="shared" si="23"/>
        <v>0.95238095238095233</v>
      </c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V53" s="129">
        <v>6</v>
      </c>
    </row>
    <row r="54" spans="1:74" s="124" customFormat="1">
      <c r="A54" s="265"/>
      <c r="B54" s="270">
        <v>6420</v>
      </c>
      <c r="C54" s="270" t="s">
        <v>42</v>
      </c>
      <c r="D54" s="264">
        <f>'CF 2016'!O54*1.05</f>
        <v>2625000</v>
      </c>
      <c r="E54" s="264">
        <f t="shared" si="31"/>
        <v>2667525</v>
      </c>
      <c r="F54" s="264">
        <f t="shared" si="26"/>
        <v>2769957.9599999995</v>
      </c>
      <c r="G54" s="264">
        <f t="shared" si="27"/>
        <v>2757216.1533839996</v>
      </c>
      <c r="H54" s="264">
        <f t="shared" si="28"/>
        <v>2729643.9918501596</v>
      </c>
      <c r="I54" s="143">
        <f t="shared" si="32"/>
        <v>2402086.7128281407</v>
      </c>
      <c r="J54" s="143">
        <f t="shared" si="34"/>
        <v>2402086.7128281407</v>
      </c>
      <c r="K54" s="143">
        <f t="shared" si="24"/>
        <v>2618274.5169826732</v>
      </c>
      <c r="L54" s="143">
        <f t="shared" si="29"/>
        <v>2304081.5749447523</v>
      </c>
      <c r="M54" s="143">
        <f t="shared" si="33"/>
        <v>2304081.5749447523</v>
      </c>
      <c r="N54" s="143">
        <f t="shared" si="25"/>
        <v>2511448.9166897801</v>
      </c>
      <c r="O54" s="143">
        <f t="shared" si="30"/>
        <v>2511448.9166897801</v>
      </c>
      <c r="P54" s="145">
        <f t="shared" si="9"/>
        <v>30602852.031142183</v>
      </c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80"/>
      <c r="BE54" s="80"/>
      <c r="BF54" s="80"/>
      <c r="BG54" s="118">
        <v>2500000</v>
      </c>
      <c r="BH54" s="80">
        <v>2500000</v>
      </c>
      <c r="BI54" s="80">
        <f t="shared" si="22"/>
        <v>2625000</v>
      </c>
      <c r="BJ54" s="80">
        <f t="shared" si="23"/>
        <v>0.95238095238095233</v>
      </c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V54" s="129">
        <v>2.5</v>
      </c>
    </row>
    <row r="55" spans="1:74" s="124" customFormat="1">
      <c r="A55" s="265"/>
      <c r="B55" s="270">
        <v>6421</v>
      </c>
      <c r="C55" s="270" t="s">
        <v>570</v>
      </c>
      <c r="D55" s="264">
        <f>+PKRS!C22</f>
        <v>2595000</v>
      </c>
      <c r="E55" s="264">
        <f>+PKRS!D22</f>
        <v>2595000</v>
      </c>
      <c r="F55" s="264">
        <f>+PKRS!E22</f>
        <v>2595000</v>
      </c>
      <c r="G55" s="264">
        <f>+PKRS!F22</f>
        <v>3695000</v>
      </c>
      <c r="H55" s="264">
        <f>+PKRS!G22</f>
        <v>3695000</v>
      </c>
      <c r="I55" s="264">
        <f>+PKRS!H22</f>
        <v>32544987</v>
      </c>
      <c r="J55" s="264">
        <f>+PKRS!I22</f>
        <v>18212000</v>
      </c>
      <c r="K55" s="264">
        <f>+PKRS!J22</f>
        <v>3695000</v>
      </c>
      <c r="L55" s="264">
        <f>+PKRS!K22</f>
        <v>3845000</v>
      </c>
      <c r="M55" s="264">
        <f>+PKRS!L22</f>
        <v>21695000</v>
      </c>
      <c r="N55" s="264">
        <f>+PKRS!M22</f>
        <v>23695000</v>
      </c>
      <c r="O55" s="264">
        <f>+PKRS!N22</f>
        <v>3695000</v>
      </c>
      <c r="P55" s="145">
        <f t="shared" si="9"/>
        <v>122556987</v>
      </c>
      <c r="Q55" s="163">
        <v>30253105.150786258</v>
      </c>
      <c r="R55" s="163">
        <f>+P55-Q55</f>
        <v>92303881.849213749</v>
      </c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80"/>
      <c r="BE55" s="80"/>
      <c r="BF55" s="80"/>
      <c r="BG55" s="118">
        <v>0</v>
      </c>
      <c r="BH55" s="80">
        <v>0</v>
      </c>
      <c r="BI55" s="80">
        <f t="shared" si="22"/>
        <v>2595000</v>
      </c>
      <c r="BJ55" s="80">
        <f t="shared" si="23"/>
        <v>0</v>
      </c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V55" s="129"/>
    </row>
    <row r="56" spans="1:74" s="124" customFormat="1">
      <c r="A56" s="265"/>
      <c r="B56" s="270">
        <v>6422</v>
      </c>
      <c r="C56" s="270" t="s">
        <v>44</v>
      </c>
      <c r="D56" s="264">
        <f>'CF 2016'!O56*1.05</f>
        <v>15750000</v>
      </c>
      <c r="E56" s="264">
        <f t="shared" si="31"/>
        <v>16005150</v>
      </c>
      <c r="F56" s="264">
        <f t="shared" si="26"/>
        <v>16619747.759999998</v>
      </c>
      <c r="G56" s="264">
        <f t="shared" si="27"/>
        <v>16543296.920303999</v>
      </c>
      <c r="H56" s="264">
        <f t="shared" si="28"/>
        <v>16377863.951100959</v>
      </c>
      <c r="I56" s="143">
        <f t="shared" si="32"/>
        <v>14412520.276968844</v>
      </c>
      <c r="J56" s="143">
        <f t="shared" si="34"/>
        <v>14412520.276968844</v>
      </c>
      <c r="K56" s="143">
        <f t="shared" si="24"/>
        <v>15709647.10189604</v>
      </c>
      <c r="L56" s="143">
        <f t="shared" si="29"/>
        <v>13824489.449668515</v>
      </c>
      <c r="M56" s="143">
        <f t="shared" si="33"/>
        <v>13824489.449668515</v>
      </c>
      <c r="N56" s="143">
        <f t="shared" si="25"/>
        <v>15068693.500138681</v>
      </c>
      <c r="O56" s="143">
        <f t="shared" si="30"/>
        <v>15068693.500138681</v>
      </c>
      <c r="P56" s="145">
        <f t="shared" si="9"/>
        <v>183617112.18685308</v>
      </c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80"/>
      <c r="BE56" s="80"/>
      <c r="BF56" s="80"/>
      <c r="BG56" s="118">
        <v>15000000</v>
      </c>
      <c r="BH56" s="80">
        <v>15000000</v>
      </c>
      <c r="BI56" s="80">
        <f t="shared" si="22"/>
        <v>15750000</v>
      </c>
      <c r="BJ56" s="80">
        <f t="shared" si="23"/>
        <v>0.95238095238095233</v>
      </c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V56" s="129">
        <v>11</v>
      </c>
    </row>
    <row r="57" spans="1:74" s="124" customFormat="1">
      <c r="A57" s="265"/>
      <c r="B57" s="270">
        <v>6423</v>
      </c>
      <c r="C57" s="270" t="s">
        <v>45</v>
      </c>
      <c r="D57" s="264">
        <f>'CF 2016'!O57*1.05</f>
        <v>13650000</v>
      </c>
      <c r="E57" s="264">
        <f t="shared" si="31"/>
        <v>13871130</v>
      </c>
      <c r="F57" s="264">
        <f t="shared" si="26"/>
        <v>14403781.391999999</v>
      </c>
      <c r="G57" s="264">
        <f t="shared" si="27"/>
        <v>14337523.9975968</v>
      </c>
      <c r="H57" s="264">
        <f t="shared" si="28"/>
        <v>14194148.757620832</v>
      </c>
      <c r="I57" s="143">
        <f t="shared" si="32"/>
        <v>12490850.906706333</v>
      </c>
      <c r="J57" s="143">
        <f t="shared" si="34"/>
        <v>12490850.906706333</v>
      </c>
      <c r="K57" s="143">
        <f t="shared" si="24"/>
        <v>13615027.488309903</v>
      </c>
      <c r="L57" s="143">
        <f t="shared" si="29"/>
        <v>11981224.189712714</v>
      </c>
      <c r="M57" s="143">
        <f t="shared" si="33"/>
        <v>11981224.189712714</v>
      </c>
      <c r="N57" s="143">
        <f t="shared" si="25"/>
        <v>13059534.366786858</v>
      </c>
      <c r="O57" s="143">
        <f t="shared" si="30"/>
        <v>13059534.366786858</v>
      </c>
      <c r="P57" s="145">
        <f t="shared" si="9"/>
        <v>159134830.56193936</v>
      </c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80"/>
      <c r="BE57" s="80"/>
      <c r="BF57" s="80"/>
      <c r="BG57" s="118">
        <v>13000000</v>
      </c>
      <c r="BH57" s="80">
        <v>13000000</v>
      </c>
      <c r="BI57" s="80">
        <f t="shared" si="22"/>
        <v>13650000</v>
      </c>
      <c r="BJ57" s="80">
        <f t="shared" si="23"/>
        <v>0.95238095238095233</v>
      </c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V57" s="129">
        <v>11</v>
      </c>
    </row>
    <row r="58" spans="1:74" s="182" customFormat="1">
      <c r="A58" s="704"/>
      <c r="B58" s="705">
        <v>6424</v>
      </c>
      <c r="C58" s="705" t="s">
        <v>46</v>
      </c>
      <c r="D58" s="706">
        <v>30000000</v>
      </c>
      <c r="E58" s="706">
        <f t="shared" si="31"/>
        <v>30486000</v>
      </c>
      <c r="F58" s="706">
        <f>+E58</f>
        <v>30486000</v>
      </c>
      <c r="G58" s="706">
        <f t="shared" ref="G58:O58" si="35">+F58</f>
        <v>30486000</v>
      </c>
      <c r="H58" s="706">
        <f t="shared" si="35"/>
        <v>30486000</v>
      </c>
      <c r="I58" s="486">
        <f t="shared" si="32"/>
        <v>26827680</v>
      </c>
      <c r="J58" s="486">
        <f t="shared" si="35"/>
        <v>26827680</v>
      </c>
      <c r="K58" s="486">
        <f t="shared" si="35"/>
        <v>26827680</v>
      </c>
      <c r="L58" s="486">
        <f t="shared" si="35"/>
        <v>26827680</v>
      </c>
      <c r="M58" s="486">
        <f t="shared" si="33"/>
        <v>26827680</v>
      </c>
      <c r="N58" s="486">
        <f t="shared" si="35"/>
        <v>26827680</v>
      </c>
      <c r="O58" s="486">
        <f t="shared" si="35"/>
        <v>26827680</v>
      </c>
      <c r="P58" s="707">
        <f t="shared" si="9"/>
        <v>339737760</v>
      </c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  <c r="AY58" s="190"/>
      <c r="AZ58" s="190"/>
      <c r="BA58" s="190"/>
      <c r="BB58" s="190"/>
      <c r="BC58" s="190"/>
      <c r="BD58" s="181"/>
      <c r="BE58" s="181"/>
      <c r="BF58" s="181"/>
      <c r="BG58" s="188">
        <v>0</v>
      </c>
      <c r="BH58" s="181">
        <v>0</v>
      </c>
      <c r="BI58" s="181">
        <f t="shared" si="22"/>
        <v>30000000</v>
      </c>
      <c r="BJ58" s="181">
        <f t="shared" si="23"/>
        <v>0</v>
      </c>
      <c r="BK58" s="181"/>
      <c r="BL58" s="181"/>
      <c r="BM58" s="181"/>
      <c r="BN58" s="181"/>
      <c r="BO58" s="181"/>
      <c r="BP58" s="181"/>
      <c r="BQ58" s="181"/>
      <c r="BR58" s="181"/>
      <c r="BS58" s="181"/>
      <c r="BT58" s="181"/>
      <c r="BV58" s="183"/>
    </row>
    <row r="59" spans="1:74" s="124" customFormat="1">
      <c r="A59" s="265"/>
      <c r="B59" s="269" t="s">
        <v>47</v>
      </c>
      <c r="C59" s="270"/>
      <c r="D59" s="264">
        <f>'CF 2016'!O59*1.05</f>
        <v>0</v>
      </c>
      <c r="E59" s="264">
        <f t="shared" si="31"/>
        <v>0</v>
      </c>
      <c r="F59" s="264">
        <f t="shared" si="26"/>
        <v>0</v>
      </c>
      <c r="G59" s="264">
        <f t="shared" si="27"/>
        <v>0</v>
      </c>
      <c r="H59" s="264">
        <f t="shared" si="28"/>
        <v>0</v>
      </c>
      <c r="I59" s="143">
        <f t="shared" si="32"/>
        <v>0</v>
      </c>
      <c r="J59" s="143">
        <f t="shared" si="34"/>
        <v>0</v>
      </c>
      <c r="K59" s="143">
        <f t="shared" si="24"/>
        <v>0</v>
      </c>
      <c r="L59" s="143">
        <f t="shared" si="29"/>
        <v>0</v>
      </c>
      <c r="M59" s="143">
        <f t="shared" si="33"/>
        <v>0</v>
      </c>
      <c r="N59" s="143">
        <f t="shared" si="25"/>
        <v>0</v>
      </c>
      <c r="O59" s="143">
        <f t="shared" si="30"/>
        <v>0</v>
      </c>
      <c r="P59" s="145">
        <f t="shared" si="9"/>
        <v>0</v>
      </c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80"/>
      <c r="BE59" s="80"/>
      <c r="BF59" s="80"/>
      <c r="BG59" s="118">
        <v>0</v>
      </c>
      <c r="BH59" s="80">
        <v>0</v>
      </c>
      <c r="BI59" s="80">
        <f t="shared" si="22"/>
        <v>0</v>
      </c>
      <c r="BJ59" s="80" t="e">
        <f t="shared" si="23"/>
        <v>#DIV/0!</v>
      </c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V59" s="129"/>
    </row>
    <row r="60" spans="1:74" s="182" customFormat="1">
      <c r="A60" s="265"/>
      <c r="B60" s="270">
        <v>6300</v>
      </c>
      <c r="C60" s="270" t="s">
        <v>643</v>
      </c>
      <c r="D60" s="264">
        <f>'CF 2016'!F60*1.05</f>
        <v>3990000</v>
      </c>
      <c r="E60" s="264">
        <f t="shared" si="31"/>
        <v>4054638</v>
      </c>
      <c r="F60" s="264">
        <f t="shared" si="26"/>
        <v>4210336.0991999991</v>
      </c>
      <c r="G60" s="264">
        <f t="shared" si="27"/>
        <v>4190968.5531436792</v>
      </c>
      <c r="H60" s="264">
        <f t="shared" si="28"/>
        <v>4149058.8676122422</v>
      </c>
      <c r="I60" s="143">
        <f t="shared" si="32"/>
        <v>3651171.8034987734</v>
      </c>
      <c r="J60" s="143">
        <f t="shared" si="34"/>
        <v>3651171.8034987734</v>
      </c>
      <c r="K60" s="143">
        <f t="shared" si="24"/>
        <v>3979777.2658136631</v>
      </c>
      <c r="L60" s="143">
        <f t="shared" si="29"/>
        <v>3502203.9939160235</v>
      </c>
      <c r="M60" s="143">
        <f t="shared" si="33"/>
        <v>3502203.9939160235</v>
      </c>
      <c r="N60" s="143">
        <f t="shared" si="25"/>
        <v>3817402.3533684658</v>
      </c>
      <c r="O60" s="143">
        <f t="shared" si="30"/>
        <v>3817402.3533684658</v>
      </c>
      <c r="P60" s="145">
        <f t="shared" si="9"/>
        <v>46516335.087336123</v>
      </c>
      <c r="Q60" s="163"/>
      <c r="R60" s="163"/>
      <c r="S60" s="163"/>
      <c r="T60" s="163"/>
      <c r="U60" s="163"/>
      <c r="V60" s="163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90"/>
      <c r="AW60" s="190"/>
      <c r="AX60" s="190"/>
      <c r="AY60" s="190"/>
      <c r="AZ60" s="190"/>
      <c r="BA60" s="190"/>
      <c r="BB60" s="190"/>
      <c r="BC60" s="190"/>
      <c r="BD60" s="181"/>
      <c r="BE60" s="181"/>
      <c r="BF60" s="181"/>
      <c r="BG60" s="188">
        <v>0</v>
      </c>
      <c r="BH60" s="181">
        <v>0</v>
      </c>
      <c r="BI60" s="181">
        <f t="shared" si="22"/>
        <v>3990000</v>
      </c>
      <c r="BJ60" s="181">
        <f t="shared" si="23"/>
        <v>0</v>
      </c>
      <c r="BK60" s="181"/>
      <c r="BL60" s="181"/>
      <c r="BM60" s="181"/>
      <c r="BN60" s="181"/>
      <c r="BO60" s="181"/>
      <c r="BP60" s="181"/>
      <c r="BQ60" s="181"/>
      <c r="BR60" s="181"/>
      <c r="BS60" s="181"/>
      <c r="BT60" s="181"/>
      <c r="BV60" s="183">
        <v>0</v>
      </c>
    </row>
    <row r="61" spans="1:74" s="124" customFormat="1">
      <c r="A61" s="265"/>
      <c r="B61" s="270">
        <v>6301</v>
      </c>
      <c r="C61" s="270" t="s">
        <v>49</v>
      </c>
      <c r="D61" s="264">
        <v>500000</v>
      </c>
      <c r="E61" s="264">
        <f t="shared" si="31"/>
        <v>508100</v>
      </c>
      <c r="F61" s="264">
        <f t="shared" si="26"/>
        <v>527611.03999999992</v>
      </c>
      <c r="G61" s="264">
        <f t="shared" si="27"/>
        <v>525184.029216</v>
      </c>
      <c r="H61" s="264">
        <f t="shared" si="28"/>
        <v>519932.18892384</v>
      </c>
      <c r="I61" s="143">
        <f t="shared" si="32"/>
        <v>457540.32625297923</v>
      </c>
      <c r="J61" s="143">
        <f t="shared" si="34"/>
        <v>457540.32625297923</v>
      </c>
      <c r="K61" s="143">
        <f t="shared" si="24"/>
        <v>498718.95561574737</v>
      </c>
      <c r="L61" s="143">
        <f t="shared" si="29"/>
        <v>438872.68094185769</v>
      </c>
      <c r="M61" s="143">
        <f t="shared" si="33"/>
        <v>438872.68094185769</v>
      </c>
      <c r="N61" s="143">
        <f t="shared" si="25"/>
        <v>478371.2222266249</v>
      </c>
      <c r="O61" s="143">
        <f t="shared" si="30"/>
        <v>478371.2222266249</v>
      </c>
      <c r="P61" s="145">
        <f t="shared" si="9"/>
        <v>5829114.672598511</v>
      </c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80"/>
      <c r="BE61" s="80"/>
      <c r="BF61" s="80"/>
      <c r="BG61" s="118">
        <v>0</v>
      </c>
      <c r="BH61" s="80">
        <v>0</v>
      </c>
      <c r="BI61" s="80">
        <f t="shared" si="22"/>
        <v>500000</v>
      </c>
      <c r="BJ61" s="80">
        <f t="shared" si="23"/>
        <v>0</v>
      </c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V61" s="129"/>
    </row>
    <row r="62" spans="1:74" s="182" customFormat="1">
      <c r="A62" s="265"/>
      <c r="B62" s="270">
        <v>6302</v>
      </c>
      <c r="C62" s="270" t="s">
        <v>642</v>
      </c>
      <c r="D62" s="264">
        <f>'CF 2016'!O62*1.05</f>
        <v>42000000</v>
      </c>
      <c r="E62" s="264">
        <f t="shared" si="31"/>
        <v>42680400</v>
      </c>
      <c r="F62" s="264">
        <f t="shared" si="26"/>
        <v>44319327.359999992</v>
      </c>
      <c r="G62" s="264">
        <f t="shared" si="27"/>
        <v>44115458.454143994</v>
      </c>
      <c r="H62" s="264">
        <f t="shared" si="28"/>
        <v>43674303.869602554</v>
      </c>
      <c r="I62" s="143">
        <f t="shared" si="32"/>
        <v>38433387.405250251</v>
      </c>
      <c r="J62" s="143">
        <f t="shared" si="34"/>
        <v>38433387.405250251</v>
      </c>
      <c r="K62" s="143">
        <f t="shared" si="24"/>
        <v>41892392.271722771</v>
      </c>
      <c r="L62" s="143">
        <f t="shared" si="29"/>
        <v>36865305.199116036</v>
      </c>
      <c r="M62" s="143">
        <f t="shared" si="33"/>
        <v>36865305.199116036</v>
      </c>
      <c r="N62" s="143">
        <f t="shared" si="25"/>
        <v>40183182.667036481</v>
      </c>
      <c r="O62" s="143">
        <f t="shared" si="30"/>
        <v>40183182.667036481</v>
      </c>
      <c r="P62" s="145">
        <f t="shared" si="9"/>
        <v>489645632.49827492</v>
      </c>
      <c r="Q62" s="163"/>
      <c r="R62" s="163"/>
      <c r="S62" s="163"/>
      <c r="T62" s="163"/>
      <c r="U62" s="163"/>
      <c r="V62" s="163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81"/>
      <c r="BE62" s="181"/>
      <c r="BF62" s="181"/>
      <c r="BG62" s="188">
        <v>40000000</v>
      </c>
      <c r="BH62" s="181">
        <v>40000000</v>
      </c>
      <c r="BI62" s="181">
        <f t="shared" si="22"/>
        <v>42000000</v>
      </c>
      <c r="BJ62" s="181">
        <f t="shared" si="23"/>
        <v>0.95238095238095233</v>
      </c>
      <c r="BK62" s="181"/>
      <c r="BL62" s="181"/>
      <c r="BM62" s="181"/>
      <c r="BN62" s="181"/>
      <c r="BO62" s="181"/>
      <c r="BP62" s="181"/>
      <c r="BQ62" s="181"/>
      <c r="BR62" s="181"/>
      <c r="BS62" s="181"/>
      <c r="BT62" s="181"/>
      <c r="BV62" s="183">
        <v>17.661297916666669</v>
      </c>
    </row>
    <row r="63" spans="1:74" s="124" customFormat="1">
      <c r="A63" s="265"/>
      <c r="B63" s="270">
        <v>6303</v>
      </c>
      <c r="C63" s="270" t="s">
        <v>51</v>
      </c>
      <c r="D63" s="264">
        <f>'CF 2016'!O63*1.05</f>
        <v>5250000</v>
      </c>
      <c r="E63" s="264">
        <f t="shared" si="31"/>
        <v>5335050</v>
      </c>
      <c r="F63" s="264">
        <f t="shared" si="26"/>
        <v>5539915.919999999</v>
      </c>
      <c r="G63" s="264">
        <f t="shared" si="27"/>
        <v>5514432.3067679992</v>
      </c>
      <c r="H63" s="264">
        <f t="shared" si="28"/>
        <v>5459287.9837003192</v>
      </c>
      <c r="I63" s="143">
        <f t="shared" si="32"/>
        <v>4804173.4256562814</v>
      </c>
      <c r="J63" s="143">
        <f t="shared" si="34"/>
        <v>4804173.4256562814</v>
      </c>
      <c r="K63" s="143">
        <f t="shared" si="24"/>
        <v>5236549.0339653464</v>
      </c>
      <c r="L63" s="143">
        <f t="shared" si="29"/>
        <v>4608163.1498895045</v>
      </c>
      <c r="M63" s="143">
        <f t="shared" si="33"/>
        <v>4608163.1498895045</v>
      </c>
      <c r="N63" s="143">
        <f t="shared" si="25"/>
        <v>5022897.8333795602</v>
      </c>
      <c r="O63" s="143">
        <f t="shared" si="30"/>
        <v>5022897.8333795602</v>
      </c>
      <c r="P63" s="145">
        <f t="shared" si="9"/>
        <v>61205704.062284365</v>
      </c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80"/>
      <c r="BE63" s="80"/>
      <c r="BF63" s="80"/>
      <c r="BG63" s="118">
        <v>5000000</v>
      </c>
      <c r="BH63" s="80">
        <v>5000000</v>
      </c>
      <c r="BI63" s="80">
        <f t="shared" si="22"/>
        <v>5250000</v>
      </c>
      <c r="BJ63" s="80">
        <f t="shared" si="23"/>
        <v>0.95238095238095233</v>
      </c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V63" s="129">
        <v>5</v>
      </c>
    </row>
    <row r="64" spans="1:74" s="182" customFormat="1">
      <c r="A64" s="265"/>
      <c r="B64" s="270">
        <v>6304</v>
      </c>
      <c r="C64" s="270" t="s">
        <v>749</v>
      </c>
      <c r="D64" s="264">
        <f>'CF 2016'!O64*1.05</f>
        <v>10500000</v>
      </c>
      <c r="E64" s="264">
        <f t="shared" si="31"/>
        <v>10670100</v>
      </c>
      <c r="F64" s="264">
        <f t="shared" si="26"/>
        <v>11079831.839999998</v>
      </c>
      <c r="G64" s="264">
        <f t="shared" si="27"/>
        <v>11028864.613535998</v>
      </c>
      <c r="H64" s="264">
        <f t="shared" si="28"/>
        <v>10918575.967400638</v>
      </c>
      <c r="I64" s="143">
        <f t="shared" si="32"/>
        <v>9608346.8513125628</v>
      </c>
      <c r="J64" s="143">
        <f t="shared" si="34"/>
        <v>9608346.8513125628</v>
      </c>
      <c r="K64" s="143">
        <f t="shared" si="24"/>
        <v>10473098.067930693</v>
      </c>
      <c r="L64" s="143">
        <f t="shared" si="29"/>
        <v>9216326.2997790091</v>
      </c>
      <c r="M64" s="143">
        <f t="shared" si="33"/>
        <v>9216326.2997790091</v>
      </c>
      <c r="N64" s="143">
        <f t="shared" si="25"/>
        <v>10045795.66675912</v>
      </c>
      <c r="O64" s="143">
        <f t="shared" si="30"/>
        <v>10045795.66675912</v>
      </c>
      <c r="P64" s="145">
        <f t="shared" si="9"/>
        <v>122411408.12456873</v>
      </c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0"/>
      <c r="BA64" s="190"/>
      <c r="BB64" s="190"/>
      <c r="BC64" s="190"/>
      <c r="BD64" s="181"/>
      <c r="BE64" s="181"/>
      <c r="BF64" s="181"/>
      <c r="BG64" s="188">
        <v>10000000</v>
      </c>
      <c r="BH64" s="181">
        <v>10000000</v>
      </c>
      <c r="BI64" s="181">
        <f t="shared" si="22"/>
        <v>10500000</v>
      </c>
      <c r="BJ64" s="181">
        <f t="shared" si="23"/>
        <v>0.95238095238095233</v>
      </c>
      <c r="BK64" s="181"/>
      <c r="BL64" s="181"/>
      <c r="BM64" s="181"/>
      <c r="BN64" s="181"/>
      <c r="BO64" s="181"/>
      <c r="BP64" s="181"/>
      <c r="BQ64" s="181"/>
      <c r="BR64" s="181"/>
      <c r="BS64" s="181"/>
      <c r="BT64" s="181"/>
      <c r="BV64" s="183">
        <v>10</v>
      </c>
    </row>
    <row r="65" spans="1:74" s="124" customFormat="1">
      <c r="A65" s="265"/>
      <c r="B65" s="270">
        <v>6306</v>
      </c>
      <c r="C65" s="270" t="s">
        <v>53</v>
      </c>
      <c r="D65" s="264">
        <f>'CF 2016'!O65*1.05</f>
        <v>4483500</v>
      </c>
      <c r="E65" s="264">
        <f t="shared" si="31"/>
        <v>4556132.7</v>
      </c>
      <c r="F65" s="264">
        <f t="shared" si="26"/>
        <v>4731088.1956799999</v>
      </c>
      <c r="G65" s="264">
        <f t="shared" si="27"/>
        <v>4709325.1899798717</v>
      </c>
      <c r="H65" s="264">
        <f t="shared" si="28"/>
        <v>4662231.9380800733</v>
      </c>
      <c r="I65" s="143">
        <f t="shared" si="32"/>
        <v>4102764.1055104644</v>
      </c>
      <c r="J65" s="143">
        <f t="shared" si="34"/>
        <v>4102764.1055104644</v>
      </c>
      <c r="K65" s="143">
        <f t="shared" si="24"/>
        <v>4472012.8750064066</v>
      </c>
      <c r="L65" s="143">
        <f t="shared" si="29"/>
        <v>3935371.3300056378</v>
      </c>
      <c r="M65" s="143">
        <f t="shared" si="33"/>
        <v>3935371.3300056378</v>
      </c>
      <c r="N65" s="143">
        <f t="shared" si="25"/>
        <v>4289554.7497061454</v>
      </c>
      <c r="O65" s="143">
        <f t="shared" si="30"/>
        <v>4289554.7497061454</v>
      </c>
      <c r="P65" s="145">
        <f t="shared" si="9"/>
        <v>52269671.269190848</v>
      </c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80"/>
      <c r="BE65" s="80"/>
      <c r="BF65" s="80"/>
      <c r="BG65" s="118">
        <v>4270000</v>
      </c>
      <c r="BH65" s="80">
        <v>4270000</v>
      </c>
      <c r="BI65" s="80">
        <f t="shared" si="22"/>
        <v>4483500</v>
      </c>
      <c r="BJ65" s="80">
        <f t="shared" si="23"/>
        <v>0.95238095238095233</v>
      </c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V65" s="129">
        <v>4.2699999999999996</v>
      </c>
    </row>
    <row r="66" spans="1:74" s="182" customFormat="1" ht="30">
      <c r="A66" s="265"/>
      <c r="B66" s="270">
        <v>6307</v>
      </c>
      <c r="C66" s="271" t="s">
        <v>750</v>
      </c>
      <c r="D66" s="264">
        <f>'CF 2016'!O66*1.05</f>
        <v>70350000</v>
      </c>
      <c r="E66" s="264">
        <f t="shared" si="31"/>
        <v>71489670</v>
      </c>
      <c r="F66" s="264">
        <f t="shared" si="26"/>
        <v>74234873.327999994</v>
      </c>
      <c r="G66" s="264">
        <f t="shared" si="27"/>
        <v>73893392.910691202</v>
      </c>
      <c r="H66" s="264">
        <f t="shared" si="28"/>
        <v>73154458.981584296</v>
      </c>
      <c r="I66" s="143">
        <f t="shared" si="32"/>
        <v>64375923.903794184</v>
      </c>
      <c r="J66" s="143">
        <f t="shared" si="34"/>
        <v>64375923.903794184</v>
      </c>
      <c r="K66" s="143">
        <f t="shared" si="24"/>
        <v>70169757.055135667</v>
      </c>
      <c r="L66" s="143">
        <f t="shared" si="29"/>
        <v>61749386.208519384</v>
      </c>
      <c r="M66" s="143">
        <f t="shared" si="33"/>
        <v>61749386.208519384</v>
      </c>
      <c r="N66" s="143">
        <f t="shared" si="25"/>
        <v>67306830.967286125</v>
      </c>
      <c r="O66" s="143">
        <f t="shared" si="30"/>
        <v>67306830.967286125</v>
      </c>
      <c r="P66" s="145">
        <f t="shared" si="9"/>
        <v>820156434.43461037</v>
      </c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190"/>
      <c r="BA66" s="190"/>
      <c r="BB66" s="190"/>
      <c r="BC66" s="190"/>
      <c r="BD66" s="181"/>
      <c r="BE66" s="181"/>
      <c r="BF66" s="181"/>
      <c r="BG66" s="188">
        <v>67000000</v>
      </c>
      <c r="BH66" s="181">
        <v>67000000</v>
      </c>
      <c r="BI66" s="181">
        <f t="shared" ref="BI66:BI102" si="36">+D66</f>
        <v>70350000</v>
      </c>
      <c r="BJ66" s="181">
        <f t="shared" si="23"/>
        <v>0.95238095238095233</v>
      </c>
      <c r="BK66" s="181"/>
      <c r="BL66" s="181"/>
      <c r="BM66" s="181"/>
      <c r="BN66" s="181"/>
      <c r="BO66" s="181"/>
      <c r="BP66" s="181"/>
      <c r="BQ66" s="181"/>
      <c r="BR66" s="181"/>
      <c r="BS66" s="181"/>
      <c r="BT66" s="181"/>
      <c r="BV66" s="183">
        <v>67.479608333333331</v>
      </c>
    </row>
    <row r="67" spans="1:74" s="124" customFormat="1">
      <c r="A67" s="265"/>
      <c r="B67" s="270"/>
      <c r="C67" s="270"/>
      <c r="D67" s="264">
        <f>'CF 2016'!O67*1.05</f>
        <v>0</v>
      </c>
      <c r="E67" s="264">
        <f t="shared" si="31"/>
        <v>0</v>
      </c>
      <c r="F67" s="264">
        <f t="shared" si="26"/>
        <v>0</v>
      </c>
      <c r="G67" s="264">
        <f t="shared" si="27"/>
        <v>0</v>
      </c>
      <c r="H67" s="264">
        <f t="shared" si="28"/>
        <v>0</v>
      </c>
      <c r="I67" s="143">
        <f t="shared" si="32"/>
        <v>0</v>
      </c>
      <c r="J67" s="143">
        <f t="shared" si="34"/>
        <v>0</v>
      </c>
      <c r="K67" s="143">
        <f t="shared" si="24"/>
        <v>0</v>
      </c>
      <c r="L67" s="143">
        <f t="shared" si="29"/>
        <v>0</v>
      </c>
      <c r="M67" s="143">
        <f t="shared" si="33"/>
        <v>0</v>
      </c>
      <c r="N67" s="143">
        <f t="shared" si="25"/>
        <v>0</v>
      </c>
      <c r="O67" s="143">
        <f t="shared" si="30"/>
        <v>0</v>
      </c>
      <c r="P67" s="145">
        <f t="shared" si="9"/>
        <v>0</v>
      </c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80"/>
      <c r="BE67" s="80"/>
      <c r="BF67" s="80"/>
      <c r="BG67" s="118">
        <v>0</v>
      </c>
      <c r="BH67" s="80">
        <v>0</v>
      </c>
      <c r="BI67" s="80">
        <f t="shared" si="36"/>
        <v>0</v>
      </c>
      <c r="BJ67" s="80" t="e">
        <f t="shared" si="23"/>
        <v>#DIV/0!</v>
      </c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V67" s="129"/>
    </row>
    <row r="68" spans="1:74" s="124" customFormat="1">
      <c r="A68" s="265"/>
      <c r="B68" s="269" t="s">
        <v>55</v>
      </c>
      <c r="C68" s="270"/>
      <c r="D68" s="264">
        <f>'CF 2016'!O68*1.05</f>
        <v>0</v>
      </c>
      <c r="E68" s="264">
        <f t="shared" si="31"/>
        <v>0</v>
      </c>
      <c r="F68" s="264">
        <f t="shared" si="26"/>
        <v>0</v>
      </c>
      <c r="G68" s="264">
        <f t="shared" si="27"/>
        <v>0</v>
      </c>
      <c r="H68" s="264">
        <f t="shared" si="28"/>
        <v>0</v>
      </c>
      <c r="I68" s="143">
        <f t="shared" si="32"/>
        <v>0</v>
      </c>
      <c r="J68" s="143">
        <f t="shared" si="34"/>
        <v>0</v>
      </c>
      <c r="K68" s="143">
        <f t="shared" si="24"/>
        <v>0</v>
      </c>
      <c r="L68" s="143">
        <f t="shared" si="29"/>
        <v>0</v>
      </c>
      <c r="M68" s="143">
        <f t="shared" si="33"/>
        <v>0</v>
      </c>
      <c r="N68" s="143">
        <f t="shared" si="25"/>
        <v>0</v>
      </c>
      <c r="O68" s="143">
        <f t="shared" si="30"/>
        <v>0</v>
      </c>
      <c r="P68" s="145">
        <f t="shared" si="9"/>
        <v>0</v>
      </c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80"/>
      <c r="BE68" s="80"/>
      <c r="BF68" s="80"/>
      <c r="BG68" s="118">
        <v>0</v>
      </c>
      <c r="BH68" s="80">
        <v>0</v>
      </c>
      <c r="BI68" s="80">
        <f t="shared" si="36"/>
        <v>0</v>
      </c>
      <c r="BJ68" s="80" t="e">
        <f t="shared" si="23"/>
        <v>#DIV/0!</v>
      </c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V68" s="129"/>
    </row>
    <row r="69" spans="1:74" s="124" customFormat="1">
      <c r="A69" s="265"/>
      <c r="B69" s="270">
        <v>6500</v>
      </c>
      <c r="C69" s="270" t="s">
        <v>56</v>
      </c>
      <c r="D69" s="264">
        <f>'CF 2016'!O69*1.05</f>
        <v>1575000</v>
      </c>
      <c r="E69" s="264">
        <f t="shared" si="31"/>
        <v>1600515</v>
      </c>
      <c r="F69" s="264">
        <f t="shared" si="26"/>
        <v>1661974.7759999998</v>
      </c>
      <c r="G69" s="264">
        <f t="shared" si="27"/>
        <v>1654329.6920304</v>
      </c>
      <c r="H69" s="264">
        <f t="shared" si="28"/>
        <v>1637786.3951100961</v>
      </c>
      <c r="I69" s="143">
        <f t="shared" si="32"/>
        <v>1441252.0276968845</v>
      </c>
      <c r="J69" s="143">
        <f t="shared" si="34"/>
        <v>1441252.0276968845</v>
      </c>
      <c r="K69" s="143">
        <f t="shared" si="24"/>
        <v>1570964.710189604</v>
      </c>
      <c r="L69" s="143">
        <f t="shared" si="29"/>
        <v>1382448.9449668515</v>
      </c>
      <c r="M69" s="143">
        <f t="shared" si="33"/>
        <v>1382448.9449668515</v>
      </c>
      <c r="N69" s="143">
        <f t="shared" si="25"/>
        <v>1506869.3500138682</v>
      </c>
      <c r="O69" s="143">
        <f t="shared" si="30"/>
        <v>1506869.3500138682</v>
      </c>
      <c r="P69" s="145">
        <f t="shared" si="9"/>
        <v>18361711.218685307</v>
      </c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80"/>
      <c r="BE69" s="80"/>
      <c r="BF69" s="80"/>
      <c r="BG69" s="118">
        <v>1500000</v>
      </c>
      <c r="BH69" s="80">
        <v>1500000</v>
      </c>
      <c r="BI69" s="80">
        <f t="shared" si="36"/>
        <v>1575000</v>
      </c>
      <c r="BJ69" s="80">
        <f t="shared" si="23"/>
        <v>0.95238095238095233</v>
      </c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V69" s="129">
        <v>1.5</v>
      </c>
    </row>
    <row r="70" spans="1:74" s="124" customFormat="1">
      <c r="A70" s="265"/>
      <c r="B70" s="270">
        <v>6501</v>
      </c>
      <c r="C70" s="270" t="s">
        <v>57</v>
      </c>
      <c r="D70" s="264">
        <f>'CF 2016'!O70*1.05</f>
        <v>0</v>
      </c>
      <c r="E70" s="264">
        <f t="shared" si="31"/>
        <v>0</v>
      </c>
      <c r="F70" s="264">
        <f t="shared" si="26"/>
        <v>0</v>
      </c>
      <c r="G70" s="264">
        <f t="shared" si="27"/>
        <v>0</v>
      </c>
      <c r="H70" s="264">
        <f t="shared" si="28"/>
        <v>0</v>
      </c>
      <c r="I70" s="143">
        <f t="shared" si="32"/>
        <v>0</v>
      </c>
      <c r="J70" s="143">
        <f t="shared" si="34"/>
        <v>0</v>
      </c>
      <c r="K70" s="143">
        <f t="shared" si="24"/>
        <v>0</v>
      </c>
      <c r="L70" s="143">
        <f t="shared" si="29"/>
        <v>0</v>
      </c>
      <c r="M70" s="143">
        <f t="shared" si="33"/>
        <v>0</v>
      </c>
      <c r="N70" s="143">
        <f t="shared" si="25"/>
        <v>0</v>
      </c>
      <c r="O70" s="143">
        <f t="shared" si="30"/>
        <v>0</v>
      </c>
      <c r="P70" s="145">
        <f t="shared" si="9"/>
        <v>0</v>
      </c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80"/>
      <c r="BE70" s="80"/>
      <c r="BF70" s="80"/>
      <c r="BG70" s="118">
        <v>0</v>
      </c>
      <c r="BH70" s="80">
        <v>0</v>
      </c>
      <c r="BI70" s="80">
        <f t="shared" si="36"/>
        <v>0</v>
      </c>
      <c r="BJ70" s="80" t="e">
        <f t="shared" si="23"/>
        <v>#DIV/0!</v>
      </c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V70" s="129"/>
    </row>
    <row r="71" spans="1:74" s="124" customFormat="1">
      <c r="A71" s="265"/>
      <c r="B71" s="270"/>
      <c r="C71" s="270"/>
      <c r="D71" s="264">
        <f>'CF 2016'!O71*1.05</f>
        <v>0</v>
      </c>
      <c r="E71" s="264">
        <f t="shared" si="31"/>
        <v>0</v>
      </c>
      <c r="F71" s="264">
        <f t="shared" si="26"/>
        <v>0</v>
      </c>
      <c r="G71" s="264">
        <f t="shared" si="27"/>
        <v>0</v>
      </c>
      <c r="H71" s="264">
        <f t="shared" si="28"/>
        <v>0</v>
      </c>
      <c r="I71" s="143">
        <f t="shared" si="32"/>
        <v>0</v>
      </c>
      <c r="J71" s="143">
        <f t="shared" si="34"/>
        <v>0</v>
      </c>
      <c r="K71" s="143">
        <f t="shared" si="24"/>
        <v>0</v>
      </c>
      <c r="L71" s="143">
        <f t="shared" si="29"/>
        <v>0</v>
      </c>
      <c r="M71" s="143">
        <f t="shared" si="33"/>
        <v>0</v>
      </c>
      <c r="N71" s="143">
        <f t="shared" si="25"/>
        <v>0</v>
      </c>
      <c r="O71" s="143">
        <f t="shared" si="30"/>
        <v>0</v>
      </c>
      <c r="P71" s="145">
        <f t="shared" si="9"/>
        <v>0</v>
      </c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80"/>
      <c r="BE71" s="80"/>
      <c r="BF71" s="80"/>
      <c r="BG71" s="118">
        <v>0</v>
      </c>
      <c r="BH71" s="80">
        <v>0</v>
      </c>
      <c r="BI71" s="80">
        <f t="shared" si="36"/>
        <v>0</v>
      </c>
      <c r="BJ71" s="80" t="e">
        <f t="shared" si="23"/>
        <v>#DIV/0!</v>
      </c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V71" s="129"/>
    </row>
    <row r="72" spans="1:74" s="124" customFormat="1">
      <c r="A72" s="265"/>
      <c r="B72" s="269" t="s">
        <v>58</v>
      </c>
      <c r="C72" s="270"/>
      <c r="D72" s="264">
        <f>'CF 2016'!O72*1.05</f>
        <v>0</v>
      </c>
      <c r="E72" s="264">
        <f t="shared" si="31"/>
        <v>0</v>
      </c>
      <c r="F72" s="264">
        <f t="shared" si="26"/>
        <v>0</v>
      </c>
      <c r="G72" s="264">
        <f t="shared" si="27"/>
        <v>0</v>
      </c>
      <c r="H72" s="264">
        <f t="shared" si="28"/>
        <v>0</v>
      </c>
      <c r="I72" s="143">
        <f t="shared" si="32"/>
        <v>0</v>
      </c>
      <c r="J72" s="143">
        <f t="shared" si="34"/>
        <v>0</v>
      </c>
      <c r="K72" s="143">
        <f t="shared" si="24"/>
        <v>0</v>
      </c>
      <c r="L72" s="143">
        <f t="shared" si="29"/>
        <v>0</v>
      </c>
      <c r="M72" s="143">
        <f t="shared" si="33"/>
        <v>0</v>
      </c>
      <c r="N72" s="143">
        <f t="shared" si="25"/>
        <v>0</v>
      </c>
      <c r="O72" s="143">
        <f t="shared" si="30"/>
        <v>0</v>
      </c>
      <c r="P72" s="145">
        <f t="shared" si="9"/>
        <v>0</v>
      </c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80"/>
      <c r="BE72" s="80"/>
      <c r="BF72" s="80"/>
      <c r="BG72" s="118">
        <v>0</v>
      </c>
      <c r="BH72" s="80">
        <v>0</v>
      </c>
      <c r="BI72" s="80">
        <f t="shared" si="36"/>
        <v>0</v>
      </c>
      <c r="BJ72" s="80" t="e">
        <f t="shared" si="23"/>
        <v>#DIV/0!</v>
      </c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V72" s="129"/>
    </row>
    <row r="73" spans="1:74" s="124" customFormat="1">
      <c r="A73" s="265"/>
      <c r="B73" s="270">
        <v>6600</v>
      </c>
      <c r="C73" s="270" t="s">
        <v>59</v>
      </c>
      <c r="D73" s="264">
        <f>'CF 2016'!O73*1.5</f>
        <v>6000000</v>
      </c>
      <c r="E73" s="264">
        <f t="shared" si="31"/>
        <v>6097200</v>
      </c>
      <c r="F73" s="264">
        <f t="shared" si="26"/>
        <v>6331332.4799999995</v>
      </c>
      <c r="G73" s="264">
        <v>40000000</v>
      </c>
      <c r="H73" s="264">
        <f>F73</f>
        <v>6331332.4799999995</v>
      </c>
      <c r="I73" s="143">
        <f t="shared" si="32"/>
        <v>5571572.5823999997</v>
      </c>
      <c r="J73" s="143">
        <f t="shared" si="34"/>
        <v>5571572.5823999997</v>
      </c>
      <c r="K73" s="143">
        <f t="shared" si="24"/>
        <v>6073014.1148159998</v>
      </c>
      <c r="L73" s="143">
        <f t="shared" si="29"/>
        <v>5344252.42103808</v>
      </c>
      <c r="M73" s="143">
        <f t="shared" si="33"/>
        <v>5344252.42103808</v>
      </c>
      <c r="N73" s="143">
        <f t="shared" si="25"/>
        <v>5825235.1389315072</v>
      </c>
      <c r="O73" s="143">
        <f t="shared" si="30"/>
        <v>5825235.1389315072</v>
      </c>
      <c r="P73" s="145">
        <f t="shared" si="9"/>
        <v>104314999.35955517</v>
      </c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80"/>
      <c r="BE73" s="80"/>
      <c r="BF73" s="80"/>
      <c r="BG73" s="118">
        <v>4000000</v>
      </c>
      <c r="BH73" s="80">
        <v>4000000</v>
      </c>
      <c r="BI73" s="80">
        <f t="shared" si="36"/>
        <v>6000000</v>
      </c>
      <c r="BJ73" s="80">
        <f t="shared" si="23"/>
        <v>0.66666666666666663</v>
      </c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V73" s="129">
        <v>4</v>
      </c>
    </row>
    <row r="74" spans="1:74" s="124" customFormat="1">
      <c r="A74" s="265"/>
      <c r="B74" s="270">
        <v>6600</v>
      </c>
      <c r="C74" s="270" t="s">
        <v>60</v>
      </c>
      <c r="D74" s="264">
        <f>'CF 2016'!O74*1.05</f>
        <v>0</v>
      </c>
      <c r="E74" s="264">
        <f t="shared" si="31"/>
        <v>0</v>
      </c>
      <c r="F74" s="264">
        <f t="shared" si="26"/>
        <v>0</v>
      </c>
      <c r="G74" s="264">
        <v>17000000</v>
      </c>
      <c r="H74" s="264"/>
      <c r="I74" s="143">
        <f t="shared" si="32"/>
        <v>0</v>
      </c>
      <c r="J74" s="143">
        <f t="shared" si="34"/>
        <v>0</v>
      </c>
      <c r="K74" s="143">
        <f t="shared" si="24"/>
        <v>0</v>
      </c>
      <c r="L74" s="143">
        <f t="shared" si="29"/>
        <v>0</v>
      </c>
      <c r="M74" s="143">
        <f t="shared" si="33"/>
        <v>0</v>
      </c>
      <c r="N74" s="143">
        <f t="shared" si="25"/>
        <v>0</v>
      </c>
      <c r="O74" s="143">
        <f t="shared" si="30"/>
        <v>0</v>
      </c>
      <c r="P74" s="145">
        <f t="shared" si="9"/>
        <v>17000000</v>
      </c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80"/>
      <c r="BE74" s="80"/>
      <c r="BF74" s="80"/>
      <c r="BG74" s="118">
        <v>0</v>
      </c>
      <c r="BH74" s="80">
        <v>0</v>
      </c>
      <c r="BI74" s="80">
        <f t="shared" si="36"/>
        <v>0</v>
      </c>
      <c r="BJ74" s="80" t="e">
        <f t="shared" si="23"/>
        <v>#DIV/0!</v>
      </c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V74" s="129"/>
    </row>
    <row r="75" spans="1:74" s="124" customFormat="1">
      <c r="A75" s="265"/>
      <c r="B75" s="270"/>
      <c r="C75" s="270"/>
      <c r="D75" s="264">
        <f>'CF 2016'!O75*1.05</f>
        <v>0</v>
      </c>
      <c r="E75" s="264">
        <f t="shared" si="31"/>
        <v>0</v>
      </c>
      <c r="F75" s="264">
        <f t="shared" si="26"/>
        <v>0</v>
      </c>
      <c r="G75" s="264">
        <f t="shared" si="27"/>
        <v>0</v>
      </c>
      <c r="H75" s="264">
        <f t="shared" si="28"/>
        <v>0</v>
      </c>
      <c r="I75" s="143">
        <f t="shared" si="32"/>
        <v>0</v>
      </c>
      <c r="J75" s="143">
        <f t="shared" si="34"/>
        <v>0</v>
      </c>
      <c r="K75" s="143">
        <f t="shared" si="24"/>
        <v>0</v>
      </c>
      <c r="L75" s="143">
        <f t="shared" si="29"/>
        <v>0</v>
      </c>
      <c r="M75" s="143">
        <f t="shared" si="33"/>
        <v>0</v>
      </c>
      <c r="N75" s="143">
        <f t="shared" si="25"/>
        <v>0</v>
      </c>
      <c r="O75" s="143">
        <f t="shared" si="30"/>
        <v>0</v>
      </c>
      <c r="P75" s="145">
        <f t="shared" si="9"/>
        <v>0</v>
      </c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80"/>
      <c r="BE75" s="80"/>
      <c r="BF75" s="80"/>
      <c r="BG75" s="118">
        <v>0</v>
      </c>
      <c r="BH75" s="80">
        <v>0</v>
      </c>
      <c r="BI75" s="80">
        <f t="shared" si="36"/>
        <v>0</v>
      </c>
      <c r="BJ75" s="80" t="e">
        <f t="shared" si="23"/>
        <v>#DIV/0!</v>
      </c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V75" s="129"/>
    </row>
    <row r="76" spans="1:74" s="124" customFormat="1">
      <c r="A76" s="265"/>
      <c r="B76" s="269" t="s">
        <v>61</v>
      </c>
      <c r="C76" s="270"/>
      <c r="D76" s="264">
        <f>'CF 2016'!O76*1.05</f>
        <v>0</v>
      </c>
      <c r="E76" s="264">
        <f t="shared" si="31"/>
        <v>0</v>
      </c>
      <c r="F76" s="264">
        <f t="shared" si="26"/>
        <v>0</v>
      </c>
      <c r="G76" s="264">
        <f t="shared" si="27"/>
        <v>0</v>
      </c>
      <c r="H76" s="264">
        <f t="shared" si="28"/>
        <v>0</v>
      </c>
      <c r="I76" s="143">
        <f t="shared" si="32"/>
        <v>0</v>
      </c>
      <c r="J76" s="143">
        <f t="shared" si="34"/>
        <v>0</v>
      </c>
      <c r="K76" s="143">
        <f t="shared" si="24"/>
        <v>0</v>
      </c>
      <c r="L76" s="143">
        <f t="shared" si="29"/>
        <v>0</v>
      </c>
      <c r="M76" s="143">
        <f t="shared" si="33"/>
        <v>0</v>
      </c>
      <c r="N76" s="143">
        <f t="shared" si="25"/>
        <v>0</v>
      </c>
      <c r="O76" s="143">
        <f t="shared" si="30"/>
        <v>0</v>
      </c>
      <c r="P76" s="145">
        <f t="shared" si="9"/>
        <v>0</v>
      </c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80"/>
      <c r="BE76" s="80"/>
      <c r="BF76" s="80"/>
      <c r="BG76" s="118">
        <v>0</v>
      </c>
      <c r="BH76" s="80">
        <v>0</v>
      </c>
      <c r="BI76" s="80">
        <f t="shared" si="36"/>
        <v>0</v>
      </c>
      <c r="BJ76" s="80" t="e">
        <f t="shared" si="23"/>
        <v>#DIV/0!</v>
      </c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V76" s="129"/>
    </row>
    <row r="77" spans="1:74" s="182" customFormat="1" ht="30">
      <c r="A77" s="265"/>
      <c r="B77" s="270">
        <v>6200</v>
      </c>
      <c r="C77" s="272" t="s">
        <v>747</v>
      </c>
      <c r="D77" s="264">
        <f>'CF 2016'!O77*1.05</f>
        <v>9450000</v>
      </c>
      <c r="E77" s="264">
        <f t="shared" si="31"/>
        <v>9603090</v>
      </c>
      <c r="F77" s="264">
        <f t="shared" si="26"/>
        <v>9971848.6559999995</v>
      </c>
      <c r="G77" s="264">
        <f t="shared" si="27"/>
        <v>9925978.1521824002</v>
      </c>
      <c r="H77" s="264">
        <f t="shared" si="28"/>
        <v>9826718.370660577</v>
      </c>
      <c r="I77" s="143">
        <f t="shared" si="32"/>
        <v>8647512.1661813073</v>
      </c>
      <c r="J77" s="143">
        <f t="shared" si="34"/>
        <v>8647512.1661813073</v>
      </c>
      <c r="K77" s="143">
        <f t="shared" si="24"/>
        <v>9425788.2611376252</v>
      </c>
      <c r="L77" s="143">
        <f t="shared" si="29"/>
        <v>8294693.6698011104</v>
      </c>
      <c r="M77" s="143">
        <f t="shared" si="33"/>
        <v>8294693.6698011104</v>
      </c>
      <c r="N77" s="143">
        <f t="shared" si="25"/>
        <v>9041216.1000832096</v>
      </c>
      <c r="O77" s="143">
        <f t="shared" si="30"/>
        <v>9041216.1000832096</v>
      </c>
      <c r="P77" s="145">
        <f t="shared" si="9"/>
        <v>110170267.31211185</v>
      </c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  <c r="BA77" s="190"/>
      <c r="BB77" s="190"/>
      <c r="BC77" s="190"/>
      <c r="BD77" s="181"/>
      <c r="BE77" s="181"/>
      <c r="BF77" s="181"/>
      <c r="BG77" s="188">
        <v>9000000</v>
      </c>
      <c r="BH77" s="181">
        <v>9000000</v>
      </c>
      <c r="BI77" s="181">
        <f t="shared" si="36"/>
        <v>9450000</v>
      </c>
      <c r="BJ77" s="181">
        <f t="shared" si="23"/>
        <v>0.95238095238095233</v>
      </c>
      <c r="BK77" s="181"/>
      <c r="BL77" s="181"/>
      <c r="BM77" s="181"/>
      <c r="BN77" s="181"/>
      <c r="BO77" s="181"/>
      <c r="BP77" s="181"/>
      <c r="BQ77" s="181"/>
      <c r="BR77" s="181"/>
      <c r="BS77" s="181"/>
      <c r="BT77" s="181"/>
      <c r="BV77" s="183">
        <v>9</v>
      </c>
    </row>
    <row r="78" spans="1:74" s="124" customFormat="1">
      <c r="A78" s="265"/>
      <c r="B78" s="270">
        <v>6201</v>
      </c>
      <c r="C78" s="270" t="s">
        <v>544</v>
      </c>
      <c r="D78" s="264">
        <f>'CF 2016'!O78*1.05</f>
        <v>4200000</v>
      </c>
      <c r="E78" s="264">
        <f t="shared" si="31"/>
        <v>4268040</v>
      </c>
      <c r="F78" s="264">
        <f t="shared" si="26"/>
        <v>4431932.7359999996</v>
      </c>
      <c r="G78" s="264">
        <f t="shared" si="27"/>
        <v>4411545.8454144001</v>
      </c>
      <c r="H78" s="264">
        <f t="shared" si="28"/>
        <v>4367430.3869602559</v>
      </c>
      <c r="I78" s="143">
        <f t="shared" si="32"/>
        <v>3843338.7405250254</v>
      </c>
      <c r="J78" s="143">
        <f t="shared" si="34"/>
        <v>3843338.7405250254</v>
      </c>
      <c r="K78" s="143">
        <f t="shared" si="24"/>
        <v>4189239.2271722779</v>
      </c>
      <c r="L78" s="143">
        <f t="shared" si="29"/>
        <v>3686530.5199116045</v>
      </c>
      <c r="M78" s="143">
        <f t="shared" si="33"/>
        <v>3686530.5199116045</v>
      </c>
      <c r="N78" s="143">
        <f t="shared" si="25"/>
        <v>4018318.266703649</v>
      </c>
      <c r="O78" s="143">
        <f t="shared" si="30"/>
        <v>4018318.266703649</v>
      </c>
      <c r="P78" s="145">
        <f t="shared" si="9"/>
        <v>48964563.249827489</v>
      </c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80"/>
      <c r="BE78" s="80"/>
      <c r="BF78" s="80"/>
      <c r="BG78" s="118">
        <v>4000000</v>
      </c>
      <c r="BH78" s="80">
        <v>4000000</v>
      </c>
      <c r="BI78" s="80">
        <f t="shared" si="36"/>
        <v>4200000</v>
      </c>
      <c r="BJ78" s="80">
        <f t="shared" si="23"/>
        <v>0.95238095238095233</v>
      </c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V78" s="129">
        <v>4</v>
      </c>
    </row>
    <row r="79" spans="1:74" s="124" customFormat="1">
      <c r="A79" s="265"/>
      <c r="B79" s="270">
        <v>6210</v>
      </c>
      <c r="C79" s="270" t="s">
        <v>545</v>
      </c>
      <c r="D79" s="264">
        <f>'CF 2016'!O79*1.05</f>
        <v>1575000</v>
      </c>
      <c r="E79" s="264">
        <f t="shared" si="31"/>
        <v>1600515</v>
      </c>
      <c r="F79" s="264">
        <f t="shared" si="26"/>
        <v>1661974.7759999998</v>
      </c>
      <c r="G79" s="264">
        <f t="shared" si="27"/>
        <v>1654329.6920304</v>
      </c>
      <c r="H79" s="264">
        <f t="shared" si="28"/>
        <v>1637786.3951100961</v>
      </c>
      <c r="I79" s="143">
        <f t="shared" si="32"/>
        <v>1441252.0276968845</v>
      </c>
      <c r="J79" s="143">
        <f t="shared" si="34"/>
        <v>1441252.0276968845</v>
      </c>
      <c r="K79" s="143">
        <f t="shared" si="24"/>
        <v>1570964.710189604</v>
      </c>
      <c r="L79" s="143">
        <f t="shared" si="29"/>
        <v>1382448.9449668515</v>
      </c>
      <c r="M79" s="143">
        <f t="shared" si="33"/>
        <v>1382448.9449668515</v>
      </c>
      <c r="N79" s="143">
        <f t="shared" si="25"/>
        <v>1506869.3500138682</v>
      </c>
      <c r="O79" s="143">
        <f t="shared" si="30"/>
        <v>1506869.3500138682</v>
      </c>
      <c r="P79" s="145">
        <f t="shared" si="9"/>
        <v>18361711.218685307</v>
      </c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80"/>
      <c r="BE79" s="80"/>
      <c r="BF79" s="80"/>
      <c r="BG79" s="118">
        <v>1500000</v>
      </c>
      <c r="BH79" s="80">
        <v>1500000</v>
      </c>
      <c r="BI79" s="80">
        <f t="shared" si="36"/>
        <v>1575000</v>
      </c>
      <c r="BJ79" s="80">
        <f t="shared" si="23"/>
        <v>0.95238095238095233</v>
      </c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V79" s="129">
        <v>1.5</v>
      </c>
    </row>
    <row r="80" spans="1:74" s="124" customFormat="1">
      <c r="A80" s="265"/>
      <c r="B80" s="270">
        <v>6211</v>
      </c>
      <c r="C80" s="270" t="s">
        <v>546</v>
      </c>
      <c r="D80" s="264">
        <f>'CF 2016'!O80*1.05</f>
        <v>525000</v>
      </c>
      <c r="E80" s="264">
        <f t="shared" si="31"/>
        <v>533505</v>
      </c>
      <c r="F80" s="264">
        <f t="shared" si="26"/>
        <v>553991.59199999995</v>
      </c>
      <c r="G80" s="264">
        <f t="shared" si="27"/>
        <v>551443.23067680001</v>
      </c>
      <c r="H80" s="264">
        <f t="shared" si="28"/>
        <v>545928.79837003199</v>
      </c>
      <c r="I80" s="143">
        <f t="shared" si="32"/>
        <v>480417.34256562818</v>
      </c>
      <c r="J80" s="143">
        <f t="shared" si="34"/>
        <v>480417.34256562818</v>
      </c>
      <c r="K80" s="143">
        <f t="shared" si="24"/>
        <v>523654.90339653473</v>
      </c>
      <c r="L80" s="143">
        <f t="shared" si="29"/>
        <v>460816.31498895056</v>
      </c>
      <c r="M80" s="143">
        <f t="shared" si="33"/>
        <v>460816.31498895056</v>
      </c>
      <c r="N80" s="143">
        <f t="shared" si="25"/>
        <v>502289.78333795612</v>
      </c>
      <c r="O80" s="143">
        <f t="shared" si="30"/>
        <v>502289.78333795612</v>
      </c>
      <c r="P80" s="145">
        <f t="shared" si="9"/>
        <v>6120570.4062284362</v>
      </c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80"/>
      <c r="BE80" s="80"/>
      <c r="BF80" s="80"/>
      <c r="BG80" s="118">
        <v>500000</v>
      </c>
      <c r="BH80" s="80">
        <v>500000</v>
      </c>
      <c r="BI80" s="80">
        <f t="shared" si="36"/>
        <v>525000</v>
      </c>
      <c r="BJ80" s="80">
        <f t="shared" si="23"/>
        <v>0.95238095238095233</v>
      </c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V80" s="129">
        <v>0.5</v>
      </c>
    </row>
    <row r="81" spans="1:74" s="124" customFormat="1">
      <c r="A81" s="265"/>
      <c r="B81" s="270">
        <v>6220</v>
      </c>
      <c r="C81" s="270" t="s">
        <v>547</v>
      </c>
      <c r="D81" s="264">
        <f>'CF 2016'!O81*1.05</f>
        <v>1050000</v>
      </c>
      <c r="E81" s="264">
        <f t="shared" si="31"/>
        <v>1067010</v>
      </c>
      <c r="F81" s="264">
        <f t="shared" si="26"/>
        <v>1107983.1839999999</v>
      </c>
      <c r="G81" s="264">
        <f t="shared" si="27"/>
        <v>1102886.4613536</v>
      </c>
      <c r="H81" s="264">
        <f t="shared" si="28"/>
        <v>1091857.596740064</v>
      </c>
      <c r="I81" s="143">
        <f t="shared" si="32"/>
        <v>960834.68513125635</v>
      </c>
      <c r="J81" s="143">
        <f t="shared" si="34"/>
        <v>960834.68513125635</v>
      </c>
      <c r="K81" s="143">
        <f t="shared" si="24"/>
        <v>1047309.8067930695</v>
      </c>
      <c r="L81" s="143">
        <f t="shared" si="29"/>
        <v>921632.62997790112</v>
      </c>
      <c r="M81" s="143">
        <f t="shared" si="33"/>
        <v>921632.62997790112</v>
      </c>
      <c r="N81" s="143">
        <f t="shared" si="25"/>
        <v>1004579.5666759122</v>
      </c>
      <c r="O81" s="143">
        <f t="shared" si="30"/>
        <v>1004579.5666759122</v>
      </c>
      <c r="P81" s="145">
        <f t="shared" ref="P81:P119" si="37">SUM(D81:O81)</f>
        <v>12241140.812456872</v>
      </c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80"/>
      <c r="BE81" s="80"/>
      <c r="BF81" s="80"/>
      <c r="BG81" s="118">
        <v>1000000</v>
      </c>
      <c r="BH81" s="80">
        <v>1000000</v>
      </c>
      <c r="BI81" s="80">
        <f t="shared" si="36"/>
        <v>1050000</v>
      </c>
      <c r="BJ81" s="80">
        <f t="shared" si="23"/>
        <v>0.95238095238095233</v>
      </c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V81" s="129">
        <v>1</v>
      </c>
    </row>
    <row r="82" spans="1:74" s="124" customFormat="1">
      <c r="A82" s="265"/>
      <c r="B82" s="270">
        <v>6221</v>
      </c>
      <c r="C82" s="270" t="s">
        <v>548</v>
      </c>
      <c r="D82" s="264">
        <f>'CF 2016'!O82*1.05</f>
        <v>525000</v>
      </c>
      <c r="E82" s="264">
        <f t="shared" si="31"/>
        <v>533505</v>
      </c>
      <c r="F82" s="264">
        <f t="shared" si="26"/>
        <v>553991.59199999995</v>
      </c>
      <c r="G82" s="264">
        <f t="shared" si="27"/>
        <v>551443.23067680001</v>
      </c>
      <c r="H82" s="264">
        <f t="shared" si="28"/>
        <v>545928.79837003199</v>
      </c>
      <c r="I82" s="143">
        <f t="shared" si="32"/>
        <v>480417.34256562818</v>
      </c>
      <c r="J82" s="143">
        <f t="shared" si="34"/>
        <v>480417.34256562818</v>
      </c>
      <c r="K82" s="143">
        <f t="shared" si="24"/>
        <v>523654.90339653473</v>
      </c>
      <c r="L82" s="143">
        <f t="shared" si="29"/>
        <v>460816.31498895056</v>
      </c>
      <c r="M82" s="143">
        <f t="shared" si="33"/>
        <v>460816.31498895056</v>
      </c>
      <c r="N82" s="143">
        <f t="shared" si="25"/>
        <v>502289.78333795612</v>
      </c>
      <c r="O82" s="143">
        <f t="shared" si="30"/>
        <v>502289.78333795612</v>
      </c>
      <c r="P82" s="145">
        <f t="shared" si="37"/>
        <v>6120570.4062284362</v>
      </c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80"/>
      <c r="BE82" s="80"/>
      <c r="BF82" s="80"/>
      <c r="BG82" s="118">
        <v>500000</v>
      </c>
      <c r="BH82" s="80">
        <v>500000</v>
      </c>
      <c r="BI82" s="80">
        <f t="shared" si="36"/>
        <v>525000</v>
      </c>
      <c r="BJ82" s="80">
        <f t="shared" si="23"/>
        <v>0.95238095238095233</v>
      </c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V82" s="129">
        <v>0.5</v>
      </c>
    </row>
    <row r="83" spans="1:74" s="124" customFormat="1">
      <c r="A83" s="265"/>
      <c r="B83" s="270">
        <v>6230</v>
      </c>
      <c r="C83" s="270" t="s">
        <v>68</v>
      </c>
      <c r="D83" s="264">
        <f>'CF 2016'!O83*1.05</f>
        <v>3254999.9999999995</v>
      </c>
      <c r="E83" s="264">
        <f t="shared" si="31"/>
        <v>3307730.9999999995</v>
      </c>
      <c r="F83" s="264">
        <f t="shared" si="26"/>
        <v>3434747.870399999</v>
      </c>
      <c r="G83" s="264">
        <f t="shared" si="27"/>
        <v>3418948.0301961591</v>
      </c>
      <c r="H83" s="264">
        <f t="shared" si="28"/>
        <v>3384758.5498941974</v>
      </c>
      <c r="I83" s="143">
        <f t="shared" si="32"/>
        <v>2978587.5239068936</v>
      </c>
      <c r="J83" s="143">
        <f t="shared" si="34"/>
        <v>2978587.5239068936</v>
      </c>
      <c r="K83" s="143">
        <f t="shared" si="24"/>
        <v>3246660.4010585141</v>
      </c>
      <c r="L83" s="143">
        <f t="shared" si="29"/>
        <v>2857061.1529314923</v>
      </c>
      <c r="M83" s="143">
        <f t="shared" si="33"/>
        <v>2857061.1529314923</v>
      </c>
      <c r="N83" s="143">
        <f t="shared" si="25"/>
        <v>3114196.6566953268</v>
      </c>
      <c r="O83" s="143">
        <f t="shared" si="30"/>
        <v>3114196.6566953268</v>
      </c>
      <c r="P83" s="145">
        <f t="shared" si="37"/>
        <v>37947536.518616296</v>
      </c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80"/>
      <c r="BE83" s="80"/>
      <c r="BF83" s="80"/>
      <c r="BG83" s="118">
        <v>3225500</v>
      </c>
      <c r="BH83" s="80">
        <v>3225500</v>
      </c>
      <c r="BI83" s="80">
        <f t="shared" si="36"/>
        <v>3254999.9999999995</v>
      </c>
      <c r="BJ83" s="80">
        <f t="shared" si="23"/>
        <v>0.99093701996927819</v>
      </c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V83" s="129">
        <v>9.9999999999999992E-2</v>
      </c>
    </row>
    <row r="84" spans="1:74" s="124" customFormat="1">
      <c r="A84" s="265"/>
      <c r="B84" s="270">
        <v>6231</v>
      </c>
      <c r="C84" s="270" t="s">
        <v>69</v>
      </c>
      <c r="D84" s="264">
        <f>'CF 2016'!O84*1.05</f>
        <v>2100000</v>
      </c>
      <c r="E84" s="264">
        <f t="shared" si="31"/>
        <v>2134020</v>
      </c>
      <c r="F84" s="264">
        <f t="shared" si="26"/>
        <v>2215966.3679999998</v>
      </c>
      <c r="G84" s="264">
        <f t="shared" si="27"/>
        <v>2205772.9227072001</v>
      </c>
      <c r="H84" s="264">
        <f t="shared" si="28"/>
        <v>2183715.193480128</v>
      </c>
      <c r="I84" s="143">
        <f t="shared" si="32"/>
        <v>1921669.3702625127</v>
      </c>
      <c r="J84" s="143">
        <f t="shared" si="34"/>
        <v>1921669.3702625127</v>
      </c>
      <c r="K84" s="143">
        <f t="shared" si="24"/>
        <v>2094619.6135861389</v>
      </c>
      <c r="L84" s="143">
        <f t="shared" si="29"/>
        <v>1843265.2599558022</v>
      </c>
      <c r="M84" s="143">
        <f t="shared" si="33"/>
        <v>1843265.2599558022</v>
      </c>
      <c r="N84" s="143">
        <f t="shared" si="25"/>
        <v>2009159.1333518245</v>
      </c>
      <c r="O84" s="143">
        <f t="shared" si="30"/>
        <v>2009159.1333518245</v>
      </c>
      <c r="P84" s="145">
        <f t="shared" si="37"/>
        <v>24482281.624913745</v>
      </c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80"/>
      <c r="BE84" s="80"/>
      <c r="BF84" s="80"/>
      <c r="BG84" s="118">
        <v>8000000</v>
      </c>
      <c r="BH84" s="80">
        <v>8000000</v>
      </c>
      <c r="BI84" s="80">
        <f t="shared" si="36"/>
        <v>2100000</v>
      </c>
      <c r="BJ84" s="80">
        <f t="shared" si="23"/>
        <v>3.8095238095238093</v>
      </c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V84" s="129">
        <v>0</v>
      </c>
    </row>
    <row r="85" spans="1:74" s="182" customFormat="1" ht="30">
      <c r="A85" s="265"/>
      <c r="B85" s="270">
        <v>6240</v>
      </c>
      <c r="C85" s="272" t="s">
        <v>746</v>
      </c>
      <c r="D85" s="264">
        <f>'CF 2016'!O85*1.05</f>
        <v>4725000</v>
      </c>
      <c r="E85" s="264">
        <f t="shared" si="31"/>
        <v>4801545</v>
      </c>
      <c r="F85" s="264">
        <f t="shared" si="26"/>
        <v>4985924.3279999997</v>
      </c>
      <c r="G85" s="264">
        <f t="shared" si="27"/>
        <v>4962989.0760912001</v>
      </c>
      <c r="H85" s="264">
        <f t="shared" si="28"/>
        <v>4913359.1853302885</v>
      </c>
      <c r="I85" s="143">
        <f t="shared" si="32"/>
        <v>4323756.0830906536</v>
      </c>
      <c r="J85" s="143">
        <f t="shared" si="34"/>
        <v>4323756.0830906536</v>
      </c>
      <c r="K85" s="143">
        <f t="shared" si="24"/>
        <v>4712894.1305688126</v>
      </c>
      <c r="L85" s="143">
        <f t="shared" si="29"/>
        <v>4147346.8349005552</v>
      </c>
      <c r="M85" s="143">
        <f t="shared" si="33"/>
        <v>4147346.8349005552</v>
      </c>
      <c r="N85" s="143">
        <f t="shared" si="25"/>
        <v>4520608.0500416048</v>
      </c>
      <c r="O85" s="143">
        <f t="shared" si="30"/>
        <v>4520608.0500416048</v>
      </c>
      <c r="P85" s="145">
        <f t="shared" si="37"/>
        <v>55085133.656055927</v>
      </c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  <c r="BB85" s="190"/>
      <c r="BC85" s="190"/>
      <c r="BD85" s="181"/>
      <c r="BE85" s="181"/>
      <c r="BF85" s="181"/>
      <c r="BG85" s="188">
        <v>4500000</v>
      </c>
      <c r="BH85" s="181">
        <v>4500000</v>
      </c>
      <c r="BI85" s="181">
        <f t="shared" si="36"/>
        <v>4725000</v>
      </c>
      <c r="BJ85" s="181">
        <f t="shared" si="23"/>
        <v>0.95238095238095233</v>
      </c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V85" s="183">
        <v>4.5</v>
      </c>
    </row>
    <row r="86" spans="1:74" s="124" customFormat="1">
      <c r="A86" s="265"/>
      <c r="B86" s="270">
        <v>6241</v>
      </c>
      <c r="C86" s="270" t="s">
        <v>550</v>
      </c>
      <c r="D86" s="264">
        <f>'CF 2016'!O86*1.05</f>
        <v>2100000</v>
      </c>
      <c r="E86" s="264">
        <f t="shared" si="31"/>
        <v>2134020</v>
      </c>
      <c r="F86" s="264">
        <f t="shared" si="26"/>
        <v>2215966.3679999998</v>
      </c>
      <c r="G86" s="264">
        <f t="shared" si="27"/>
        <v>2205772.9227072001</v>
      </c>
      <c r="H86" s="264">
        <f t="shared" si="28"/>
        <v>2183715.193480128</v>
      </c>
      <c r="I86" s="143">
        <f t="shared" si="32"/>
        <v>1921669.3702625127</v>
      </c>
      <c r="J86" s="143">
        <f t="shared" si="34"/>
        <v>1921669.3702625127</v>
      </c>
      <c r="K86" s="143">
        <f t="shared" si="24"/>
        <v>2094619.6135861389</v>
      </c>
      <c r="L86" s="143">
        <f t="shared" si="29"/>
        <v>1843265.2599558022</v>
      </c>
      <c r="M86" s="143">
        <f t="shared" si="33"/>
        <v>1843265.2599558022</v>
      </c>
      <c r="N86" s="143">
        <f t="shared" si="25"/>
        <v>2009159.1333518245</v>
      </c>
      <c r="O86" s="143">
        <f t="shared" si="30"/>
        <v>2009159.1333518245</v>
      </c>
      <c r="P86" s="145">
        <f t="shared" si="37"/>
        <v>24482281.624913745</v>
      </c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80"/>
      <c r="BE86" s="80"/>
      <c r="BF86" s="80"/>
      <c r="BG86" s="118">
        <v>2000000</v>
      </c>
      <c r="BH86" s="80">
        <v>2000000</v>
      </c>
      <c r="BI86" s="80">
        <f t="shared" si="36"/>
        <v>2100000</v>
      </c>
      <c r="BJ86" s="80">
        <f t="shared" si="23"/>
        <v>0.95238095238095233</v>
      </c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V86" s="129">
        <v>2</v>
      </c>
    </row>
    <row r="87" spans="1:74" s="124" customFormat="1">
      <c r="A87" s="265"/>
      <c r="B87" s="270">
        <v>6250</v>
      </c>
      <c r="C87" s="270" t="s">
        <v>72</v>
      </c>
      <c r="D87" s="264">
        <f>'CF 2016'!O87*1.05</f>
        <v>35910000</v>
      </c>
      <c r="E87" s="264">
        <f t="shared" si="31"/>
        <v>36491742</v>
      </c>
      <c r="F87" s="264">
        <f t="shared" si="26"/>
        <v>37893024.892799996</v>
      </c>
      <c r="G87" s="264">
        <f t="shared" si="27"/>
        <v>37718716.978293121</v>
      </c>
      <c r="H87" s="264">
        <f t="shared" si="28"/>
        <v>37341529.808510192</v>
      </c>
      <c r="I87" s="143">
        <f t="shared" si="32"/>
        <v>32860546.231488969</v>
      </c>
      <c r="J87" s="143">
        <f t="shared" si="34"/>
        <v>32860546.231488969</v>
      </c>
      <c r="K87" s="143">
        <f t="shared" si="24"/>
        <v>35817995.392322972</v>
      </c>
      <c r="L87" s="143">
        <f t="shared" si="29"/>
        <v>31519835.945244215</v>
      </c>
      <c r="M87" s="143">
        <f t="shared" si="33"/>
        <v>31519835.945244215</v>
      </c>
      <c r="N87" s="143">
        <f t="shared" si="25"/>
        <v>34356621.180316195</v>
      </c>
      <c r="O87" s="143">
        <f t="shared" si="30"/>
        <v>34356621.180316195</v>
      </c>
      <c r="P87" s="145">
        <f t="shared" si="37"/>
        <v>418647015.78602505</v>
      </c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80"/>
      <c r="BE87" s="80"/>
      <c r="BF87" s="80"/>
      <c r="BG87" s="118">
        <v>39000000</v>
      </c>
      <c r="BH87" s="80">
        <v>39000000</v>
      </c>
      <c r="BI87" s="80">
        <f t="shared" si="36"/>
        <v>35910000</v>
      </c>
      <c r="BJ87" s="80">
        <f t="shared" si="23"/>
        <v>1.086048454469507</v>
      </c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V87" s="129">
        <v>39</v>
      </c>
    </row>
    <row r="88" spans="1:74" s="124" customFormat="1">
      <c r="A88" s="265"/>
      <c r="B88" s="270"/>
      <c r="C88" s="270"/>
      <c r="D88" s="264">
        <f>'CF 2016'!O88*1.05</f>
        <v>0</v>
      </c>
      <c r="E88" s="264">
        <f t="shared" si="31"/>
        <v>0</v>
      </c>
      <c r="F88" s="264">
        <f t="shared" si="26"/>
        <v>0</v>
      </c>
      <c r="G88" s="264">
        <f t="shared" si="27"/>
        <v>0</v>
      </c>
      <c r="H88" s="264">
        <f t="shared" si="28"/>
        <v>0</v>
      </c>
      <c r="I88" s="143">
        <f t="shared" si="32"/>
        <v>0</v>
      </c>
      <c r="J88" s="143">
        <f t="shared" si="34"/>
        <v>0</v>
      </c>
      <c r="K88" s="143">
        <f t="shared" si="24"/>
        <v>0</v>
      </c>
      <c r="L88" s="143">
        <f t="shared" si="29"/>
        <v>0</v>
      </c>
      <c r="M88" s="143">
        <f t="shared" si="33"/>
        <v>0</v>
      </c>
      <c r="N88" s="143">
        <f t="shared" si="25"/>
        <v>0</v>
      </c>
      <c r="O88" s="143">
        <f t="shared" si="30"/>
        <v>0</v>
      </c>
      <c r="P88" s="145">
        <f t="shared" si="37"/>
        <v>0</v>
      </c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80"/>
      <c r="BE88" s="80"/>
      <c r="BF88" s="80"/>
      <c r="BG88" s="118">
        <v>0</v>
      </c>
      <c r="BH88" s="80">
        <v>0</v>
      </c>
      <c r="BI88" s="80">
        <f t="shared" si="36"/>
        <v>0</v>
      </c>
      <c r="BJ88" s="80" t="e">
        <f t="shared" si="23"/>
        <v>#DIV/0!</v>
      </c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V88" s="129"/>
    </row>
    <row r="89" spans="1:74" s="124" customFormat="1">
      <c r="A89" s="265"/>
      <c r="B89" s="269" t="s">
        <v>73</v>
      </c>
      <c r="C89" s="270"/>
      <c r="D89" s="264">
        <f>'CF 2016'!O89*1.05</f>
        <v>0</v>
      </c>
      <c r="E89" s="264">
        <f t="shared" si="31"/>
        <v>0</v>
      </c>
      <c r="F89" s="264">
        <f t="shared" si="26"/>
        <v>0</v>
      </c>
      <c r="G89" s="264">
        <f t="shared" si="27"/>
        <v>0</v>
      </c>
      <c r="H89" s="264">
        <f t="shared" si="28"/>
        <v>0</v>
      </c>
      <c r="I89" s="143">
        <f t="shared" si="32"/>
        <v>0</v>
      </c>
      <c r="J89" s="143">
        <f t="shared" si="34"/>
        <v>0</v>
      </c>
      <c r="K89" s="143">
        <f t="shared" si="24"/>
        <v>0</v>
      </c>
      <c r="L89" s="143">
        <f t="shared" si="29"/>
        <v>0</v>
      </c>
      <c r="M89" s="143">
        <f t="shared" si="33"/>
        <v>0</v>
      </c>
      <c r="N89" s="143">
        <f t="shared" si="25"/>
        <v>0</v>
      </c>
      <c r="O89" s="143">
        <f t="shared" si="30"/>
        <v>0</v>
      </c>
      <c r="P89" s="145">
        <f t="shared" si="37"/>
        <v>0</v>
      </c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80"/>
      <c r="BE89" s="80"/>
      <c r="BF89" s="80"/>
      <c r="BG89" s="118">
        <v>0</v>
      </c>
      <c r="BH89" s="80">
        <v>0</v>
      </c>
      <c r="BI89" s="80">
        <f t="shared" si="36"/>
        <v>0</v>
      </c>
      <c r="BJ89" s="80" t="e">
        <f t="shared" si="23"/>
        <v>#DIV/0!</v>
      </c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V89" s="129"/>
    </row>
    <row r="90" spans="1:74" s="124" customFormat="1">
      <c r="A90" s="265"/>
      <c r="B90" s="270">
        <v>6000</v>
      </c>
      <c r="C90" s="270" t="s">
        <v>74</v>
      </c>
      <c r="D90" s="264">
        <f>'CF 2016'!O90*1.05</f>
        <v>0</v>
      </c>
      <c r="E90" s="264">
        <f t="shared" si="31"/>
        <v>0</v>
      </c>
      <c r="F90" s="264">
        <f t="shared" si="26"/>
        <v>0</v>
      </c>
      <c r="G90" s="264">
        <f t="shared" si="27"/>
        <v>0</v>
      </c>
      <c r="H90" s="264">
        <f t="shared" si="28"/>
        <v>0</v>
      </c>
      <c r="I90" s="143">
        <f t="shared" si="32"/>
        <v>0</v>
      </c>
      <c r="J90" s="143">
        <f t="shared" si="34"/>
        <v>0</v>
      </c>
      <c r="K90" s="143">
        <f t="shared" si="24"/>
        <v>0</v>
      </c>
      <c r="L90" s="143">
        <f t="shared" si="29"/>
        <v>0</v>
      </c>
      <c r="M90" s="143">
        <f t="shared" si="33"/>
        <v>0</v>
      </c>
      <c r="N90" s="143">
        <f t="shared" si="25"/>
        <v>0</v>
      </c>
      <c r="O90" s="143">
        <f t="shared" si="30"/>
        <v>0</v>
      </c>
      <c r="P90" s="145">
        <f t="shared" si="37"/>
        <v>0</v>
      </c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80"/>
      <c r="BE90" s="80"/>
      <c r="BF90" s="80"/>
      <c r="BG90" s="118">
        <v>0</v>
      </c>
      <c r="BH90" s="80">
        <v>0</v>
      </c>
      <c r="BI90" s="80">
        <f t="shared" si="36"/>
        <v>0</v>
      </c>
      <c r="BJ90" s="80" t="e">
        <f t="shared" si="23"/>
        <v>#DIV/0!</v>
      </c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V90" s="129"/>
    </row>
    <row r="91" spans="1:74" s="182" customFormat="1">
      <c r="A91" s="265"/>
      <c r="B91" s="270">
        <v>6001</v>
      </c>
      <c r="C91" s="270" t="s">
        <v>748</v>
      </c>
      <c r="D91" s="264">
        <f>'CF 2016'!O91*1.05</f>
        <v>1155000000</v>
      </c>
      <c r="E91" s="264">
        <f t="shared" si="31"/>
        <v>1173711000</v>
      </c>
      <c r="F91" s="264">
        <f t="shared" si="26"/>
        <v>1218781502.3999999</v>
      </c>
      <c r="G91" s="264">
        <f t="shared" si="27"/>
        <v>1213175107.48896</v>
      </c>
      <c r="H91" s="264">
        <f t="shared" si="28"/>
        <v>1201043356.4140704</v>
      </c>
      <c r="I91" s="143">
        <f>1056918153.64438-28884664</f>
        <v>1028033489.64438</v>
      </c>
      <c r="J91" s="143">
        <f>1056918153.64438-14551678</f>
        <v>1042366475.64438</v>
      </c>
      <c r="K91" s="143">
        <f>1152040787.47238+294752</f>
        <v>1152335539.4723799</v>
      </c>
      <c r="L91" s="143">
        <f>1013795892.97569-334019</f>
        <v>1013461873.97569</v>
      </c>
      <c r="M91" s="143">
        <f>1013461873.97569-17849999</f>
        <v>995611874.97569001</v>
      </c>
      <c r="N91" s="143">
        <f>1129673442.6335-19503950</f>
        <v>1110169492.6335001</v>
      </c>
      <c r="O91" s="143">
        <f>1193661451.6335+496051</f>
        <v>1194157502.6335001</v>
      </c>
      <c r="P91" s="145">
        <f t="shared" si="37"/>
        <v>13497847215.282551</v>
      </c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  <c r="BB91" s="190"/>
      <c r="BC91" s="190"/>
      <c r="BD91" s="181"/>
      <c r="BE91" s="181"/>
      <c r="BF91" s="181"/>
      <c r="BG91" s="188">
        <v>1100000000</v>
      </c>
      <c r="BH91" s="181">
        <v>1100000000</v>
      </c>
      <c r="BI91" s="181">
        <f t="shared" si="36"/>
        <v>1155000000</v>
      </c>
      <c r="BJ91" s="181">
        <f t="shared" si="23"/>
        <v>0.95238095238095233</v>
      </c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V91" s="183">
        <v>1000</v>
      </c>
    </row>
    <row r="92" spans="1:74" s="182" customFormat="1">
      <c r="A92" s="265"/>
      <c r="B92" s="270">
        <v>6002</v>
      </c>
      <c r="C92" s="270" t="s">
        <v>706</v>
      </c>
      <c r="D92" s="264">
        <f>'CF 2016'!O92*1.05</f>
        <v>94500000</v>
      </c>
      <c r="E92" s="264">
        <f t="shared" si="31"/>
        <v>96030900</v>
      </c>
      <c r="F92" s="264">
        <f t="shared" si="26"/>
        <v>99718486.559999987</v>
      </c>
      <c r="G92" s="264">
        <f t="shared" si="27"/>
        <v>99259781.521823987</v>
      </c>
      <c r="H92" s="264">
        <f t="shared" si="28"/>
        <v>98267183.706605747</v>
      </c>
      <c r="I92" s="143">
        <f t="shared" si="32"/>
        <v>86475121.661813051</v>
      </c>
      <c r="J92" s="143">
        <f t="shared" si="34"/>
        <v>86475121.661813051</v>
      </c>
      <c r="K92" s="143">
        <f t="shared" si="24"/>
        <v>94257882.611376226</v>
      </c>
      <c r="L92" s="143">
        <f t="shared" si="29"/>
        <v>82946936.698011085</v>
      </c>
      <c r="M92" s="143">
        <f t="shared" si="33"/>
        <v>82946936.698011085</v>
      </c>
      <c r="N92" s="143">
        <f t="shared" si="25"/>
        <v>90412161.000832081</v>
      </c>
      <c r="O92" s="143">
        <f t="shared" si="30"/>
        <v>90412161.000832081</v>
      </c>
      <c r="P92" s="145">
        <f t="shared" si="37"/>
        <v>1101702673.1211183</v>
      </c>
      <c r="Q92" s="163"/>
      <c r="R92" s="163"/>
      <c r="S92" s="163"/>
      <c r="T92" s="163"/>
      <c r="U92" s="163"/>
      <c r="V92" s="163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90"/>
      <c r="BC92" s="190"/>
      <c r="BD92" s="181"/>
      <c r="BE92" s="181"/>
      <c r="BF92" s="181"/>
      <c r="BG92" s="188">
        <v>90000000</v>
      </c>
      <c r="BH92" s="181">
        <v>90000000</v>
      </c>
      <c r="BI92" s="181">
        <f t="shared" si="36"/>
        <v>94500000</v>
      </c>
      <c r="BJ92" s="181">
        <f t="shared" si="23"/>
        <v>0.95238095238095233</v>
      </c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V92" s="183">
        <v>90</v>
      </c>
    </row>
    <row r="93" spans="1:74">
      <c r="A93" s="265"/>
      <c r="B93" s="270">
        <v>6020</v>
      </c>
      <c r="C93" s="270" t="s">
        <v>77</v>
      </c>
      <c r="D93" s="264">
        <f>'CF 2016'!O93*1.05</f>
        <v>1312500000</v>
      </c>
      <c r="E93" s="264">
        <f t="shared" si="31"/>
        <v>1333762500</v>
      </c>
      <c r="F93" s="264">
        <f t="shared" si="26"/>
        <v>1384978979.9999998</v>
      </c>
      <c r="G93" s="264">
        <f t="shared" si="27"/>
        <v>1378608076.6919999</v>
      </c>
      <c r="H93" s="264">
        <f t="shared" si="28"/>
        <v>1364821995.9250798</v>
      </c>
      <c r="I93" s="143">
        <f t="shared" si="32"/>
        <v>1201043356.4140701</v>
      </c>
      <c r="J93" s="143">
        <f t="shared" si="34"/>
        <v>1201043356.4140701</v>
      </c>
      <c r="K93" s="143">
        <f t="shared" si="24"/>
        <v>1309137258.4913363</v>
      </c>
      <c r="L93" s="143">
        <f t="shared" si="29"/>
        <v>1152040787.4723759</v>
      </c>
      <c r="M93" s="143">
        <f t="shared" si="33"/>
        <v>1152040787.4723759</v>
      </c>
      <c r="N93" s="143">
        <f t="shared" si="25"/>
        <v>1255724458.3448896</v>
      </c>
      <c r="O93" s="143">
        <f t="shared" si="30"/>
        <v>1255724458.3448896</v>
      </c>
      <c r="P93" s="145">
        <f t="shared" si="37"/>
        <v>15301426015.571087</v>
      </c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80"/>
      <c r="BE93" s="80"/>
      <c r="BF93" s="80"/>
      <c r="BG93" s="118">
        <v>1300000000</v>
      </c>
      <c r="BH93" s="80">
        <v>1300000000</v>
      </c>
      <c r="BI93" s="80">
        <f t="shared" si="36"/>
        <v>1312500000</v>
      </c>
      <c r="BJ93" s="80">
        <f t="shared" si="23"/>
        <v>0.99047619047619051</v>
      </c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V93" s="73">
        <v>1000</v>
      </c>
    </row>
    <row r="94" spans="1:74">
      <c r="A94" s="265"/>
      <c r="B94" s="270">
        <v>6021</v>
      </c>
      <c r="C94" s="270" t="s">
        <v>78</v>
      </c>
      <c r="D94" s="264">
        <f>'CF 2016'!O94*1.05</f>
        <v>94500000</v>
      </c>
      <c r="E94" s="264">
        <f t="shared" si="31"/>
        <v>96030900</v>
      </c>
      <c r="F94" s="264">
        <f t="shared" si="26"/>
        <v>99718486.559999987</v>
      </c>
      <c r="G94" s="264">
        <f t="shared" si="27"/>
        <v>99259781.521823987</v>
      </c>
      <c r="H94" s="264">
        <f t="shared" si="28"/>
        <v>98267183.706605747</v>
      </c>
      <c r="I94" s="143">
        <f t="shared" si="32"/>
        <v>86475121.661813051</v>
      </c>
      <c r="J94" s="143">
        <f t="shared" si="34"/>
        <v>86475121.661813051</v>
      </c>
      <c r="K94" s="143">
        <f t="shared" si="24"/>
        <v>94257882.611376226</v>
      </c>
      <c r="L94" s="143">
        <f t="shared" si="29"/>
        <v>82946936.698011085</v>
      </c>
      <c r="M94" s="143">
        <f t="shared" si="33"/>
        <v>82946936.698011085</v>
      </c>
      <c r="N94" s="143">
        <f t="shared" si="25"/>
        <v>90412161.000832081</v>
      </c>
      <c r="O94" s="143">
        <f t="shared" si="30"/>
        <v>90412161.000832081</v>
      </c>
      <c r="P94" s="145">
        <f t="shared" si="37"/>
        <v>1101702673.1211183</v>
      </c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80"/>
      <c r="BE94" s="80"/>
      <c r="BF94" s="80"/>
      <c r="BG94" s="118">
        <v>90000000</v>
      </c>
      <c r="BH94" s="80">
        <v>90000000</v>
      </c>
      <c r="BI94" s="80">
        <f t="shared" si="36"/>
        <v>94500000</v>
      </c>
      <c r="BJ94" s="80">
        <f t="shared" si="23"/>
        <v>0.95238095238095233</v>
      </c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V94" s="73">
        <v>90</v>
      </c>
    </row>
    <row r="95" spans="1:74" ht="16.5" customHeight="1">
      <c r="A95" s="265"/>
      <c r="B95" s="270">
        <v>6030</v>
      </c>
      <c r="C95" s="270" t="s">
        <v>79</v>
      </c>
      <c r="D95" s="264">
        <f>'CF 2016'!O95*1.05</f>
        <v>4200000</v>
      </c>
      <c r="E95" s="264">
        <f t="shared" si="31"/>
        <v>4268040</v>
      </c>
      <c r="F95" s="264">
        <f t="shared" si="26"/>
        <v>4431932.7359999996</v>
      </c>
      <c r="G95" s="264">
        <f t="shared" si="27"/>
        <v>4411545.8454144001</v>
      </c>
      <c r="H95" s="264">
        <f t="shared" si="28"/>
        <v>4367430.3869602559</v>
      </c>
      <c r="I95" s="143">
        <f t="shared" si="32"/>
        <v>3843338.7405250254</v>
      </c>
      <c r="J95" s="143">
        <f t="shared" si="34"/>
        <v>3843338.7405250254</v>
      </c>
      <c r="K95" s="143">
        <f t="shared" si="24"/>
        <v>4189239.2271722779</v>
      </c>
      <c r="L95" s="143">
        <f t="shared" si="29"/>
        <v>3686530.5199116045</v>
      </c>
      <c r="M95" s="143">
        <f t="shared" si="33"/>
        <v>3686530.5199116045</v>
      </c>
      <c r="N95" s="143">
        <f t="shared" si="25"/>
        <v>4018318.266703649</v>
      </c>
      <c r="O95" s="143">
        <f t="shared" si="30"/>
        <v>4018318.266703649</v>
      </c>
      <c r="P95" s="145">
        <f t="shared" si="37"/>
        <v>48964563.249827489</v>
      </c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80"/>
      <c r="BE95" s="80"/>
      <c r="BF95" s="80"/>
      <c r="BG95" s="118">
        <v>4000000</v>
      </c>
      <c r="BH95" s="80">
        <v>4000000</v>
      </c>
      <c r="BI95" s="80">
        <f t="shared" si="36"/>
        <v>4200000</v>
      </c>
      <c r="BJ95" s="80">
        <f t="shared" si="23"/>
        <v>0.95238095238095233</v>
      </c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V95" s="73">
        <v>4</v>
      </c>
    </row>
    <row r="96" spans="1:74" ht="16.5" customHeight="1">
      <c r="A96" s="265"/>
      <c r="B96" s="270">
        <v>6040</v>
      </c>
      <c r="C96" s="270" t="s">
        <v>80</v>
      </c>
      <c r="D96" s="264">
        <f>'CF 2016'!O96*1.05</f>
        <v>0</v>
      </c>
      <c r="E96" s="264">
        <f t="shared" si="31"/>
        <v>0</v>
      </c>
      <c r="F96" s="264">
        <f t="shared" si="26"/>
        <v>0</v>
      </c>
      <c r="G96" s="264">
        <f t="shared" si="27"/>
        <v>0</v>
      </c>
      <c r="H96" s="264">
        <f t="shared" si="28"/>
        <v>0</v>
      </c>
      <c r="I96" s="143">
        <f t="shared" si="32"/>
        <v>0</v>
      </c>
      <c r="J96" s="143">
        <f t="shared" si="34"/>
        <v>0</v>
      </c>
      <c r="K96" s="143">
        <f t="shared" si="24"/>
        <v>0</v>
      </c>
      <c r="L96" s="143">
        <f t="shared" si="29"/>
        <v>0</v>
      </c>
      <c r="M96" s="143">
        <f t="shared" si="33"/>
        <v>0</v>
      </c>
      <c r="N96" s="143">
        <f t="shared" si="25"/>
        <v>0</v>
      </c>
      <c r="O96" s="143">
        <f t="shared" si="30"/>
        <v>0</v>
      </c>
      <c r="P96" s="145">
        <f t="shared" si="37"/>
        <v>0</v>
      </c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80"/>
      <c r="BE96" s="80"/>
      <c r="BF96" s="80"/>
      <c r="BG96" s="118">
        <v>0</v>
      </c>
      <c r="BH96" s="80">
        <v>0</v>
      </c>
      <c r="BI96" s="80">
        <f t="shared" si="36"/>
        <v>0</v>
      </c>
      <c r="BJ96" s="80" t="e">
        <f t="shared" si="23"/>
        <v>#DIV/0!</v>
      </c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V96" s="73"/>
    </row>
    <row r="97" spans="1:74">
      <c r="A97" s="265"/>
      <c r="B97" s="270">
        <v>6041</v>
      </c>
      <c r="C97" s="270" t="s">
        <v>81</v>
      </c>
      <c r="D97" s="264">
        <f>'CF 2016'!O97*1.05</f>
        <v>0</v>
      </c>
      <c r="E97" s="264">
        <f t="shared" si="31"/>
        <v>0</v>
      </c>
      <c r="F97" s="264">
        <f t="shared" si="26"/>
        <v>0</v>
      </c>
      <c r="G97" s="264">
        <f t="shared" si="27"/>
        <v>0</v>
      </c>
      <c r="H97" s="264">
        <f t="shared" si="28"/>
        <v>0</v>
      </c>
      <c r="I97" s="143">
        <f t="shared" si="32"/>
        <v>0</v>
      </c>
      <c r="J97" s="143">
        <f t="shared" si="34"/>
        <v>0</v>
      </c>
      <c r="K97" s="143">
        <f t="shared" si="24"/>
        <v>0</v>
      </c>
      <c r="L97" s="143">
        <f t="shared" si="29"/>
        <v>0</v>
      </c>
      <c r="M97" s="143">
        <f t="shared" si="33"/>
        <v>0</v>
      </c>
      <c r="N97" s="143">
        <f t="shared" si="25"/>
        <v>0</v>
      </c>
      <c r="O97" s="143">
        <f t="shared" si="30"/>
        <v>0</v>
      </c>
      <c r="P97" s="145">
        <f t="shared" si="37"/>
        <v>0</v>
      </c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80"/>
      <c r="BE97" s="80"/>
      <c r="BF97" s="80"/>
      <c r="BG97" s="118">
        <v>0</v>
      </c>
      <c r="BH97" s="80">
        <v>0</v>
      </c>
      <c r="BI97" s="80">
        <f t="shared" si="36"/>
        <v>0</v>
      </c>
      <c r="BJ97" s="80" t="e">
        <f t="shared" si="23"/>
        <v>#DIV/0!</v>
      </c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V97" s="73"/>
    </row>
    <row r="98" spans="1:74">
      <c r="A98" s="265"/>
      <c r="B98" s="270">
        <v>6050</v>
      </c>
      <c r="C98" s="270" t="s">
        <v>82</v>
      </c>
      <c r="D98" s="264">
        <f>120750000+1405000</f>
        <v>122155000</v>
      </c>
      <c r="E98" s="264">
        <f>122706150+1469800</f>
        <v>124175950</v>
      </c>
      <c r="F98" s="264">
        <f>127418066.16+1625888</f>
        <v>129043954.16</v>
      </c>
      <c r="G98" s="264">
        <f>126831943.055664+506473</f>
        <v>127338416.055664</v>
      </c>
      <c r="H98" s="264">
        <f>125563623.625107+464457</f>
        <v>126028080.62510701</v>
      </c>
      <c r="I98" s="143">
        <v>110495988.79009447</v>
      </c>
      <c r="J98" s="143">
        <v>110495988.79009447</v>
      </c>
      <c r="K98" s="143">
        <v>120440627.78120297</v>
      </c>
      <c r="L98" s="143">
        <v>105987752.44745861</v>
      </c>
      <c r="M98" s="143">
        <v>105987752.44745861</v>
      </c>
      <c r="N98" s="143">
        <v>115526650.16772988</v>
      </c>
      <c r="O98" s="143">
        <v>115526650.16772988</v>
      </c>
      <c r="P98" s="145">
        <f t="shared" si="37"/>
        <v>1413202811.4325397</v>
      </c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80"/>
      <c r="BE98" s="80"/>
      <c r="BF98" s="80"/>
      <c r="BG98" s="118">
        <v>115000000</v>
      </c>
      <c r="BH98" s="80">
        <v>115000000</v>
      </c>
      <c r="BI98" s="80">
        <f t="shared" si="36"/>
        <v>122155000</v>
      </c>
      <c r="BJ98" s="80">
        <f t="shared" ref="BJ98:BJ101" si="38">+BH98/BI98</f>
        <v>0.94142687569072081</v>
      </c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V98" s="73">
        <v>115</v>
      </c>
    </row>
    <row r="99" spans="1:74">
      <c r="A99" s="265"/>
      <c r="B99" s="270">
        <v>6051</v>
      </c>
      <c r="C99" s="270" t="s">
        <v>83</v>
      </c>
      <c r="D99" s="264">
        <f>'CF 2016'!O99*1.05</f>
        <v>630000</v>
      </c>
      <c r="E99" s="264">
        <f t="shared" si="31"/>
        <v>640206</v>
      </c>
      <c r="F99" s="264">
        <f t="shared" si="26"/>
        <v>664789.91039999994</v>
      </c>
      <c r="G99" s="264">
        <f t="shared" si="27"/>
        <v>661731.87681216002</v>
      </c>
      <c r="H99" s="264">
        <f t="shared" si="28"/>
        <v>655114.55804403836</v>
      </c>
      <c r="I99" s="143">
        <f t="shared" si="32"/>
        <v>576500.81107875379</v>
      </c>
      <c r="J99" s="143">
        <f t="shared" si="34"/>
        <v>576500.81107875379</v>
      </c>
      <c r="K99" s="143">
        <f t="shared" ref="K99:K104" si="39">J99+(J99*$K$9%)</f>
        <v>628385.88407584163</v>
      </c>
      <c r="L99" s="143">
        <f t="shared" si="29"/>
        <v>552979.57798674062</v>
      </c>
      <c r="M99" s="143">
        <f t="shared" si="33"/>
        <v>552979.57798674062</v>
      </c>
      <c r="N99" s="143">
        <f t="shared" ref="N99:N104" si="40">M99+(M99*$K$9%)</f>
        <v>602747.7400055473</v>
      </c>
      <c r="O99" s="143">
        <f t="shared" si="30"/>
        <v>602747.7400055473</v>
      </c>
      <c r="P99" s="145">
        <f t="shared" si="37"/>
        <v>7344684.487474123</v>
      </c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80"/>
      <c r="BE99" s="80"/>
      <c r="BF99" s="80"/>
      <c r="BG99" s="118">
        <v>600000</v>
      </c>
      <c r="BH99" s="80">
        <v>600000</v>
      </c>
      <c r="BI99" s="80">
        <f t="shared" si="36"/>
        <v>630000</v>
      </c>
      <c r="BJ99" s="80">
        <f t="shared" si="38"/>
        <v>0.95238095238095233</v>
      </c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V99" s="73">
        <v>0.6</v>
      </c>
    </row>
    <row r="100" spans="1:74">
      <c r="A100" s="265"/>
      <c r="B100" s="270">
        <v>6052</v>
      </c>
      <c r="C100" s="270" t="s">
        <v>84</v>
      </c>
      <c r="D100" s="264">
        <f>'CF 2016'!O100*1.05</f>
        <v>525000</v>
      </c>
      <c r="E100" s="264">
        <f t="shared" si="31"/>
        <v>533505</v>
      </c>
      <c r="F100" s="264">
        <f t="shared" ref="F100:F102" si="41">E100+(E100*$F$9%)</f>
        <v>553991.59199999995</v>
      </c>
      <c r="G100" s="264">
        <f t="shared" ref="G100:G102" si="42">F100+(F100*$G$9%)</f>
        <v>551443.23067680001</v>
      </c>
      <c r="H100" s="264">
        <f t="shared" ref="H100:H105" si="43">G100+(G100*$H$9%)</f>
        <v>545928.79837003199</v>
      </c>
      <c r="I100" s="143">
        <f t="shared" si="32"/>
        <v>480417.34256562818</v>
      </c>
      <c r="J100" s="143">
        <f t="shared" ref="J100:J105" si="44">I100+(I100*$J$9%)</f>
        <v>480417.34256562818</v>
      </c>
      <c r="K100" s="143">
        <f t="shared" si="39"/>
        <v>523654.90339653473</v>
      </c>
      <c r="L100" s="143">
        <f t="shared" ref="L100:L104" si="45">K100+(K100*$I$9%)</f>
        <v>460816.31498895056</v>
      </c>
      <c r="M100" s="143">
        <f t="shared" si="33"/>
        <v>460816.31498895056</v>
      </c>
      <c r="N100" s="143">
        <f t="shared" si="40"/>
        <v>502289.78333795612</v>
      </c>
      <c r="O100" s="143">
        <f t="shared" ref="O100:O104" si="46">N100+(N100*$O$9%)</f>
        <v>502289.78333795612</v>
      </c>
      <c r="P100" s="145">
        <f t="shared" si="37"/>
        <v>6120570.4062284362</v>
      </c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80"/>
      <c r="BE100" s="80"/>
      <c r="BF100" s="80"/>
      <c r="BG100" s="118">
        <v>500000</v>
      </c>
      <c r="BH100" s="80">
        <v>500000</v>
      </c>
      <c r="BI100" s="80">
        <f t="shared" si="36"/>
        <v>525000</v>
      </c>
      <c r="BJ100" s="80">
        <f t="shared" si="38"/>
        <v>0.95238095238095233</v>
      </c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V100" s="73">
        <v>0.5</v>
      </c>
    </row>
    <row r="101" spans="1:74">
      <c r="A101" s="265"/>
      <c r="B101" s="270">
        <v>6090</v>
      </c>
      <c r="C101" s="270" t="s">
        <v>85</v>
      </c>
      <c r="D101" s="264">
        <f>'CF 2016'!O101*1.05</f>
        <v>1050000</v>
      </c>
      <c r="E101" s="264">
        <f t="shared" ref="E101:E102" si="47">D101+(D101*$E$9%)</f>
        <v>1067010</v>
      </c>
      <c r="F101" s="264">
        <f t="shared" si="41"/>
        <v>1107983.1839999999</v>
      </c>
      <c r="G101" s="264">
        <f t="shared" si="42"/>
        <v>1102886.4613536</v>
      </c>
      <c r="H101" s="264">
        <f t="shared" si="43"/>
        <v>1091857.596740064</v>
      </c>
      <c r="I101" s="143">
        <f t="shared" ref="I101:I102" si="48">H101+(H101*$I$9%)</f>
        <v>960834.68513125635</v>
      </c>
      <c r="J101" s="143">
        <f t="shared" si="44"/>
        <v>960834.68513125635</v>
      </c>
      <c r="K101" s="143">
        <f t="shared" si="39"/>
        <v>1047309.8067930695</v>
      </c>
      <c r="L101" s="143">
        <f t="shared" si="45"/>
        <v>921632.62997790112</v>
      </c>
      <c r="M101" s="143">
        <f t="shared" ref="M101:M102" si="49">L101+(L101*$J$9%)</f>
        <v>921632.62997790112</v>
      </c>
      <c r="N101" s="143">
        <f t="shared" si="40"/>
        <v>1004579.5666759122</v>
      </c>
      <c r="O101" s="143">
        <f t="shared" si="46"/>
        <v>1004579.5666759122</v>
      </c>
      <c r="P101" s="145">
        <f t="shared" si="37"/>
        <v>12241140.812456872</v>
      </c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80"/>
      <c r="BE101" s="80"/>
      <c r="BF101" s="80"/>
      <c r="BG101" s="118">
        <v>1000000</v>
      </c>
      <c r="BH101" s="80">
        <v>1000000</v>
      </c>
      <c r="BI101" s="80">
        <f t="shared" si="36"/>
        <v>1050000</v>
      </c>
      <c r="BJ101" s="80">
        <f t="shared" si="38"/>
        <v>0.95238095238095233</v>
      </c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V101" s="73">
        <v>1</v>
      </c>
    </row>
    <row r="102" spans="1:74">
      <c r="A102" s="265"/>
      <c r="B102" s="270"/>
      <c r="C102" s="270" t="s">
        <v>86</v>
      </c>
      <c r="D102" s="264">
        <f>'CF 2016'!O102*1.05</f>
        <v>68250000</v>
      </c>
      <c r="E102" s="264">
        <f t="shared" si="47"/>
        <v>69355650</v>
      </c>
      <c r="F102" s="264">
        <f t="shared" si="41"/>
        <v>72018906.959999993</v>
      </c>
      <c r="G102" s="264">
        <f t="shared" si="42"/>
        <v>71687619.987984002</v>
      </c>
      <c r="H102" s="264">
        <f t="shared" si="43"/>
        <v>70970743.788104162</v>
      </c>
      <c r="I102" s="143">
        <f t="shared" si="48"/>
        <v>62454254.533531666</v>
      </c>
      <c r="J102" s="143">
        <f t="shared" si="44"/>
        <v>62454254.533531666</v>
      </c>
      <c r="K102" s="143">
        <f t="shared" si="39"/>
        <v>68075137.44154951</v>
      </c>
      <c r="L102" s="143">
        <f t="shared" si="45"/>
        <v>59906120.948563568</v>
      </c>
      <c r="M102" s="143">
        <f t="shared" si="49"/>
        <v>59906120.948563568</v>
      </c>
      <c r="N102" s="143">
        <f t="shared" si="40"/>
        <v>65297671.833934292</v>
      </c>
      <c r="O102" s="143">
        <f t="shared" si="46"/>
        <v>65297671.833934292</v>
      </c>
      <c r="P102" s="145">
        <f t="shared" si="37"/>
        <v>795674152.80969679</v>
      </c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80"/>
      <c r="BE102" s="80"/>
      <c r="BF102" s="80"/>
      <c r="BG102" s="118">
        <v>65000000</v>
      </c>
      <c r="BH102" s="80">
        <v>65000000</v>
      </c>
      <c r="BI102" s="80">
        <f t="shared" si="36"/>
        <v>68250000</v>
      </c>
      <c r="BJ102" s="80">
        <f>+BH102/BI102</f>
        <v>0.95238095238095233</v>
      </c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V102" s="73">
        <v>65</v>
      </c>
    </row>
    <row r="103" spans="1:74">
      <c r="A103" s="265"/>
      <c r="B103" s="270"/>
      <c r="C103" s="270" t="s">
        <v>87</v>
      </c>
      <c r="D103" s="264">
        <f>'CF 2016'!O103*1.05</f>
        <v>0</v>
      </c>
      <c r="E103" s="264"/>
      <c r="F103" s="264"/>
      <c r="G103" s="264"/>
      <c r="H103" s="264">
        <f t="shared" si="43"/>
        <v>0</v>
      </c>
      <c r="I103" s="143">
        <f t="shared" ref="I103:I105" si="50">H103+(H103*$I$9%)</f>
        <v>0</v>
      </c>
      <c r="J103" s="143">
        <f t="shared" si="44"/>
        <v>0</v>
      </c>
      <c r="K103" s="143">
        <f t="shared" si="39"/>
        <v>0</v>
      </c>
      <c r="L103" s="143">
        <f t="shared" si="45"/>
        <v>0</v>
      </c>
      <c r="M103" s="143">
        <f t="shared" ref="M103:M104" si="51">L103+(L103*$J$9%)</f>
        <v>0</v>
      </c>
      <c r="N103" s="143">
        <f t="shared" si="40"/>
        <v>0</v>
      </c>
      <c r="O103" s="143">
        <f t="shared" si="46"/>
        <v>0</v>
      </c>
      <c r="P103" s="145">
        <f t="shared" si="37"/>
        <v>0</v>
      </c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80"/>
      <c r="BE103" s="80"/>
      <c r="BF103" s="80"/>
      <c r="BG103" s="118"/>
      <c r="BH103" s="80"/>
      <c r="BI103" s="80"/>
      <c r="BJ103" s="80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V103" s="73"/>
    </row>
    <row r="104" spans="1:74">
      <c r="A104" s="265"/>
      <c r="B104" s="270"/>
      <c r="C104" s="270" t="s">
        <v>88</v>
      </c>
      <c r="D104" s="264">
        <f>'CF 2016'!O104*1.05</f>
        <v>0</v>
      </c>
      <c r="E104" s="264"/>
      <c r="F104" s="264"/>
      <c r="G104" s="264"/>
      <c r="H104" s="264">
        <f t="shared" si="43"/>
        <v>0</v>
      </c>
      <c r="I104" s="143">
        <f t="shared" si="50"/>
        <v>0</v>
      </c>
      <c r="J104" s="143">
        <f t="shared" si="44"/>
        <v>0</v>
      </c>
      <c r="K104" s="143">
        <f t="shared" si="39"/>
        <v>0</v>
      </c>
      <c r="L104" s="143">
        <f t="shared" si="45"/>
        <v>0</v>
      </c>
      <c r="M104" s="143">
        <f t="shared" si="51"/>
        <v>0</v>
      </c>
      <c r="N104" s="143">
        <f t="shared" si="40"/>
        <v>0</v>
      </c>
      <c r="O104" s="143">
        <f t="shared" si="46"/>
        <v>0</v>
      </c>
      <c r="P104" s="145">
        <f t="shared" si="37"/>
        <v>0</v>
      </c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80"/>
      <c r="BE104" s="80"/>
      <c r="BF104" s="80"/>
      <c r="BG104" s="118"/>
      <c r="BH104" s="80"/>
      <c r="BI104" s="80"/>
      <c r="BJ104" s="80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V104" s="73"/>
    </row>
    <row r="105" spans="1:74">
      <c r="A105" s="265"/>
      <c r="B105" s="270"/>
      <c r="C105" s="270" t="s">
        <v>89</v>
      </c>
      <c r="D105" s="264">
        <f>47350632+58924880+49574000</f>
        <v>155849512</v>
      </c>
      <c r="E105" s="264"/>
      <c r="F105" s="264"/>
      <c r="G105" s="264"/>
      <c r="H105" s="264">
        <f t="shared" si="43"/>
        <v>0</v>
      </c>
      <c r="I105" s="143">
        <f t="shared" si="50"/>
        <v>0</v>
      </c>
      <c r="J105" s="143">
        <f t="shared" si="44"/>
        <v>0</v>
      </c>
      <c r="K105" s="143"/>
      <c r="L105" s="143"/>
      <c r="M105" s="143"/>
      <c r="N105" s="143"/>
      <c r="O105" s="143"/>
      <c r="P105" s="145">
        <f t="shared" si="37"/>
        <v>155849512</v>
      </c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80"/>
      <c r="BE105" s="80"/>
      <c r="BF105" s="80"/>
      <c r="BG105" s="118"/>
      <c r="BH105" s="80"/>
      <c r="BI105" s="80"/>
      <c r="BJ105" s="80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V105" s="73"/>
    </row>
    <row r="106" spans="1:74">
      <c r="A106" s="265"/>
      <c r="B106" s="607" t="s">
        <v>90</v>
      </c>
      <c r="C106" s="607"/>
      <c r="D106" s="267">
        <f>SUM(D32:D105)</f>
        <v>4149755512</v>
      </c>
      <c r="E106" s="267">
        <f t="shared" ref="E106:J106" si="52">SUM(E32:E105)</f>
        <v>4047635827.1999998</v>
      </c>
      <c r="F106" s="267">
        <f t="shared" si="52"/>
        <v>4175887980.2444792</v>
      </c>
      <c r="G106" s="267">
        <f t="shared" si="52"/>
        <v>4210632273.8695631</v>
      </c>
      <c r="H106" s="267">
        <f t="shared" si="52"/>
        <v>4125504642.340867</v>
      </c>
      <c r="I106" s="147">
        <f t="shared" si="52"/>
        <v>3711714086.0999608</v>
      </c>
      <c r="J106" s="147">
        <f t="shared" si="52"/>
        <v>4463444858.8796997</v>
      </c>
      <c r="K106" s="147">
        <f>SUM(K32:K105)</f>
        <v>3982401362.5789633</v>
      </c>
      <c r="L106" s="147">
        <f t="shared" ref="L106:O106" si="53">SUM(L32:L105)</f>
        <v>3589002519.909483</v>
      </c>
      <c r="M106" s="147">
        <f t="shared" si="53"/>
        <v>3589002520.909483</v>
      </c>
      <c r="N106" s="147">
        <f t="shared" si="53"/>
        <v>3873645755.5013351</v>
      </c>
      <c r="O106" s="147">
        <f t="shared" si="53"/>
        <v>3937633765.5013351</v>
      </c>
      <c r="P106" s="149">
        <f t="shared" si="37"/>
        <v>47856261105.035172</v>
      </c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82">
        <f>+BD109*5</f>
        <v>3750000000</v>
      </c>
      <c r="BE106" s="82">
        <v>250000000</v>
      </c>
      <c r="BF106" s="82"/>
      <c r="BG106" s="119">
        <v>3807445500</v>
      </c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V106" s="73">
        <v>3363.3003004999996</v>
      </c>
    </row>
    <row r="107" spans="1:74">
      <c r="A107" s="265"/>
      <c r="B107" s="270"/>
      <c r="C107" s="270" t="s">
        <v>112</v>
      </c>
      <c r="D107" s="264"/>
      <c r="E107" s="264"/>
      <c r="F107" s="264"/>
      <c r="G107" s="264"/>
      <c r="H107" s="264"/>
      <c r="I107" s="143"/>
      <c r="J107" s="143"/>
      <c r="K107" s="143"/>
      <c r="L107" s="143"/>
      <c r="M107" s="143"/>
      <c r="N107" s="143"/>
      <c r="O107" s="143"/>
      <c r="P107" s="145">
        <f t="shared" si="37"/>
        <v>0</v>
      </c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80"/>
      <c r="BE107" s="80"/>
      <c r="BF107" s="80"/>
      <c r="BG107" s="118">
        <v>117000000</v>
      </c>
      <c r="BH107" s="80"/>
      <c r="BI107" s="80"/>
      <c r="BJ107" s="80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V107" s="73"/>
    </row>
    <row r="108" spans="1:74" s="182" customFormat="1" ht="30">
      <c r="A108" s="265"/>
      <c r="B108" s="270"/>
      <c r="C108" s="271" t="s">
        <v>585</v>
      </c>
      <c r="D108" s="264">
        <v>200000000</v>
      </c>
      <c r="E108" s="264"/>
      <c r="F108" s="264"/>
      <c r="G108" s="264"/>
      <c r="H108" s="264"/>
      <c r="I108" s="143"/>
      <c r="J108" s="143"/>
      <c r="K108" s="143"/>
      <c r="L108" s="143"/>
      <c r="M108" s="143"/>
      <c r="N108" s="143"/>
      <c r="O108" s="143"/>
      <c r="P108" s="145">
        <f t="shared" si="37"/>
        <v>200000000</v>
      </c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  <c r="BA108" s="190"/>
      <c r="BB108" s="190"/>
      <c r="BC108" s="190"/>
      <c r="BD108" s="181"/>
      <c r="BE108" s="181"/>
      <c r="BF108" s="181"/>
      <c r="BG108" s="188">
        <v>0</v>
      </c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V108" s="183">
        <v>30</v>
      </c>
    </row>
    <row r="109" spans="1:74" s="185" customFormat="1" ht="30">
      <c r="A109" s="265"/>
      <c r="B109" s="270"/>
      <c r="C109" s="502" t="s">
        <v>752</v>
      </c>
      <c r="D109" s="264"/>
      <c r="E109" s="264"/>
      <c r="F109" s="264"/>
      <c r="G109" s="264"/>
      <c r="H109" s="264"/>
      <c r="I109" s="143"/>
      <c r="J109" s="143"/>
      <c r="K109" s="143">
        <f t="shared" ref="K109" si="54">J109</f>
        <v>0</v>
      </c>
      <c r="L109" s="143">
        <v>350000000</v>
      </c>
      <c r="M109" s="143">
        <f>+L109</f>
        <v>350000000</v>
      </c>
      <c r="N109" s="143">
        <v>250000000</v>
      </c>
      <c r="O109" s="143">
        <f t="shared" ref="O109" si="55">+N109</f>
        <v>250000000</v>
      </c>
      <c r="P109" s="145">
        <f t="shared" si="37"/>
        <v>1200000000</v>
      </c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90"/>
      <c r="AY109" s="190"/>
      <c r="AZ109" s="190"/>
      <c r="BA109" s="190"/>
      <c r="BB109" s="190"/>
      <c r="BC109" s="190"/>
      <c r="BD109" s="180">
        <v>750000000</v>
      </c>
      <c r="BE109" s="180">
        <v>5500000000</v>
      </c>
      <c r="BF109" s="180" t="s">
        <v>247</v>
      </c>
      <c r="BG109" s="184">
        <v>80000000</v>
      </c>
      <c r="BH109" s="180"/>
      <c r="BI109" s="180"/>
      <c r="BJ109" s="180"/>
      <c r="BK109" s="180"/>
      <c r="BL109" s="180"/>
      <c r="BM109" s="180"/>
      <c r="BN109" s="180"/>
      <c r="BO109" s="180"/>
      <c r="BP109" s="180"/>
      <c r="BQ109" s="180"/>
      <c r="BR109" s="180"/>
      <c r="BS109" s="180"/>
      <c r="BT109" s="180"/>
      <c r="BV109" s="186"/>
    </row>
    <row r="110" spans="1:74" s="206" customFormat="1">
      <c r="A110" s="265"/>
      <c r="B110" s="273"/>
      <c r="C110" s="502"/>
      <c r="D110" s="264"/>
      <c r="E110" s="264"/>
      <c r="F110" s="264"/>
      <c r="G110" s="264"/>
      <c r="H110" s="264"/>
      <c r="I110" s="143"/>
      <c r="J110" s="143"/>
      <c r="K110" s="143"/>
      <c r="L110" s="143"/>
      <c r="M110" s="143"/>
      <c r="N110" s="143"/>
      <c r="O110" s="143"/>
      <c r="P110" s="145">
        <f t="shared" si="37"/>
        <v>0</v>
      </c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203"/>
      <c r="BE110" s="203">
        <v>400000000</v>
      </c>
      <c r="BF110" s="203" t="s">
        <v>248</v>
      </c>
      <c r="BG110" s="205"/>
      <c r="BH110" s="203"/>
      <c r="BI110" s="203"/>
      <c r="BJ110" s="203"/>
      <c r="BK110" s="203"/>
      <c r="BL110" s="203"/>
      <c r="BM110" s="203"/>
      <c r="BN110" s="203"/>
      <c r="BO110" s="203"/>
      <c r="BP110" s="203"/>
      <c r="BQ110" s="203"/>
      <c r="BR110" s="203"/>
      <c r="BS110" s="203"/>
      <c r="BT110" s="203"/>
    </row>
    <row r="111" spans="1:74">
      <c r="A111" s="265"/>
      <c r="B111" s="273"/>
      <c r="C111" s="502" t="s">
        <v>96</v>
      </c>
      <c r="D111" s="264"/>
      <c r="E111" s="264"/>
      <c r="F111" s="264"/>
      <c r="G111" s="264"/>
      <c r="H111" s="264"/>
      <c r="I111" s="143"/>
      <c r="J111" s="143"/>
      <c r="K111" s="143"/>
      <c r="L111" s="143"/>
      <c r="M111" s="143"/>
      <c r="N111" s="143"/>
      <c r="O111" s="143"/>
      <c r="P111" s="145">
        <f t="shared" si="37"/>
        <v>0</v>
      </c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80"/>
      <c r="BE111" s="80">
        <v>729700000</v>
      </c>
      <c r="BF111" s="80">
        <f>+C110</f>
        <v>0</v>
      </c>
      <c r="BG111" s="118"/>
      <c r="BH111" s="80">
        <f>BG112-650000000</f>
        <v>-650000000</v>
      </c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V111" s="73"/>
    </row>
    <row r="112" spans="1:74" ht="30">
      <c r="A112" s="265"/>
      <c r="B112" s="273"/>
      <c r="C112" s="276" t="s">
        <v>370</v>
      </c>
      <c r="D112" s="264">
        <v>250000000</v>
      </c>
      <c r="E112" s="264"/>
      <c r="F112" s="264"/>
      <c r="G112" s="264"/>
      <c r="H112" s="264"/>
      <c r="I112" s="143"/>
      <c r="J112" s="143"/>
      <c r="K112" s="143"/>
      <c r="L112" s="143"/>
      <c r="M112" s="143"/>
      <c r="N112" s="143"/>
      <c r="O112" s="143"/>
      <c r="P112" s="145">
        <f t="shared" si="37"/>
        <v>250000000</v>
      </c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80"/>
      <c r="BE112" s="80">
        <v>1500000000</v>
      </c>
      <c r="BF112" s="80" t="s">
        <v>249</v>
      </c>
      <c r="BG112" s="119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V112" s="73"/>
    </row>
    <row r="113" spans="1:74" ht="45">
      <c r="A113" s="265"/>
      <c r="B113" s="273"/>
      <c r="C113" s="276" t="s">
        <v>372</v>
      </c>
      <c r="D113" s="264"/>
      <c r="E113" s="264"/>
      <c r="F113" s="264">
        <v>300000000</v>
      </c>
      <c r="G113" s="264">
        <v>300000000</v>
      </c>
      <c r="H113" s="264">
        <v>300000000</v>
      </c>
      <c r="I113" s="143">
        <v>300000000</v>
      </c>
      <c r="J113" s="143">
        <v>300000000</v>
      </c>
      <c r="K113" s="143">
        <v>300000000</v>
      </c>
      <c r="L113" s="143">
        <v>300000000</v>
      </c>
      <c r="M113" s="143">
        <v>300000000</v>
      </c>
      <c r="N113" s="143">
        <v>300000000</v>
      </c>
      <c r="O113" s="143">
        <v>300000000</v>
      </c>
      <c r="P113" s="145">
        <f t="shared" si="37"/>
        <v>3000000000</v>
      </c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80"/>
      <c r="BE113" s="80"/>
      <c r="BF113" s="80"/>
      <c r="BG113" s="119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V113" s="73"/>
    </row>
    <row r="114" spans="1:74">
      <c r="A114" s="265"/>
      <c r="B114" s="273"/>
      <c r="C114" s="276" t="s">
        <v>144</v>
      </c>
      <c r="D114" s="264">
        <v>120000000</v>
      </c>
      <c r="E114" s="264">
        <v>120000000</v>
      </c>
      <c r="F114" s="264">
        <v>120000000</v>
      </c>
      <c r="G114" s="264">
        <v>120000000</v>
      </c>
      <c r="H114" s="264">
        <v>120000000</v>
      </c>
      <c r="I114" s="143">
        <v>120000000</v>
      </c>
      <c r="J114" s="143">
        <v>120000000</v>
      </c>
      <c r="K114" s="143">
        <v>120000000</v>
      </c>
      <c r="L114" s="143">
        <v>120000000</v>
      </c>
      <c r="M114" s="143">
        <v>120000000</v>
      </c>
      <c r="N114" s="143">
        <v>120000000</v>
      </c>
      <c r="O114" s="143">
        <v>120000000</v>
      </c>
      <c r="P114" s="145">
        <f t="shared" si="37"/>
        <v>1440000000</v>
      </c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82"/>
      <c r="BE114" s="82">
        <f>SUM(BE109:BE112)</f>
        <v>8129700000</v>
      </c>
      <c r="BF114" s="82"/>
      <c r="BG114" s="119">
        <v>120000000</v>
      </c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V114" s="73"/>
    </row>
    <row r="115" spans="1:74">
      <c r="A115" s="265"/>
      <c r="B115" s="270"/>
      <c r="C115" s="277" t="s">
        <v>100</v>
      </c>
      <c r="D115" s="264">
        <v>6405363</v>
      </c>
      <c r="E115" s="264">
        <f>D115</f>
        <v>6405363</v>
      </c>
      <c r="F115" s="264">
        <f t="shared" ref="F115:H115" si="56">E115</f>
        <v>6405363</v>
      </c>
      <c r="G115" s="264">
        <f t="shared" si="56"/>
        <v>6405363</v>
      </c>
      <c r="H115" s="264">
        <f t="shared" si="56"/>
        <v>6405363</v>
      </c>
      <c r="I115" s="143"/>
      <c r="J115" s="143"/>
      <c r="K115" s="143"/>
      <c r="L115" s="143"/>
      <c r="M115" s="143"/>
      <c r="N115" s="143"/>
      <c r="O115" s="143"/>
      <c r="P115" s="145">
        <f t="shared" si="37"/>
        <v>32026815</v>
      </c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82"/>
      <c r="BE115" s="82"/>
      <c r="BF115" s="82"/>
      <c r="BG115" s="119">
        <v>10431660</v>
      </c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V115" s="73">
        <v>112.824</v>
      </c>
    </row>
    <row r="116" spans="1:74">
      <c r="A116" s="265"/>
      <c r="B116" s="270"/>
      <c r="C116" s="277" t="s">
        <v>101</v>
      </c>
      <c r="D116" s="264">
        <f>'CF 2016'!O124</f>
        <v>112824344</v>
      </c>
      <c r="E116" s="264">
        <f>D116</f>
        <v>112824344</v>
      </c>
      <c r="F116" s="264">
        <f t="shared" ref="F116:N116" si="57">E116</f>
        <v>112824344</v>
      </c>
      <c r="G116" s="264">
        <f t="shared" si="57"/>
        <v>112824344</v>
      </c>
      <c r="H116" s="264">
        <f t="shared" si="57"/>
        <v>112824344</v>
      </c>
      <c r="I116" s="143">
        <f t="shared" si="57"/>
        <v>112824344</v>
      </c>
      <c r="J116" s="143">
        <f t="shared" si="57"/>
        <v>112824344</v>
      </c>
      <c r="K116" s="143">
        <f t="shared" si="57"/>
        <v>112824344</v>
      </c>
      <c r="L116" s="143">
        <f t="shared" si="57"/>
        <v>112824344</v>
      </c>
      <c r="M116" s="143">
        <f t="shared" si="57"/>
        <v>112824344</v>
      </c>
      <c r="N116" s="143">
        <f t="shared" si="57"/>
        <v>112824344</v>
      </c>
      <c r="O116" s="143"/>
      <c r="P116" s="145">
        <f t="shared" si="37"/>
        <v>1241067784</v>
      </c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82"/>
      <c r="BE116" s="82"/>
      <c r="BF116" s="82"/>
      <c r="BG116" s="119">
        <v>112824344</v>
      </c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V116" s="73">
        <v>120</v>
      </c>
    </row>
    <row r="117" spans="1:74" s="182" customFormat="1">
      <c r="A117" s="265"/>
      <c r="B117" s="270"/>
      <c r="C117" s="277" t="s">
        <v>414</v>
      </c>
      <c r="D117" s="264">
        <f>D195+D196+D197</f>
        <v>939000000</v>
      </c>
      <c r="E117" s="264">
        <f t="shared" ref="E117:O117" si="58">E195+E196+E197</f>
        <v>939000000</v>
      </c>
      <c r="F117" s="264">
        <f t="shared" si="58"/>
        <v>939000000</v>
      </c>
      <c r="G117" s="264">
        <f t="shared" si="58"/>
        <v>939000000</v>
      </c>
      <c r="H117" s="264">
        <f t="shared" si="58"/>
        <v>939000000</v>
      </c>
      <c r="I117" s="143">
        <f t="shared" si="58"/>
        <v>939000000</v>
      </c>
      <c r="J117" s="143">
        <f t="shared" si="58"/>
        <v>939000000</v>
      </c>
      <c r="K117" s="143">
        <f t="shared" si="58"/>
        <v>2654625000</v>
      </c>
      <c r="L117" s="143">
        <f t="shared" si="58"/>
        <v>2654625000</v>
      </c>
      <c r="M117" s="143">
        <f t="shared" si="58"/>
        <v>2654625000</v>
      </c>
      <c r="N117" s="143">
        <f t="shared" si="58"/>
        <v>2654625000</v>
      </c>
      <c r="O117" s="143">
        <f t="shared" si="58"/>
        <v>2654625000</v>
      </c>
      <c r="P117" s="145">
        <f t="shared" si="37"/>
        <v>19846125000</v>
      </c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  <c r="AY117" s="163"/>
      <c r="AZ117" s="190"/>
      <c r="BA117" s="190"/>
      <c r="BB117" s="190"/>
      <c r="BC117" s="190"/>
      <c r="BD117" s="181"/>
      <c r="BE117" s="181"/>
      <c r="BF117" s="181"/>
      <c r="BG117" s="188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V117" s="183">
        <v>10.5</v>
      </c>
    </row>
    <row r="118" spans="1:74">
      <c r="A118" s="608" t="s">
        <v>433</v>
      </c>
      <c r="B118" s="609"/>
      <c r="C118" s="609"/>
      <c r="D118" s="267">
        <f>SUM(D106:D117)</f>
        <v>5777985219</v>
      </c>
      <c r="E118" s="267">
        <f t="shared" ref="E118:O118" si="59">SUM(E106:E117)</f>
        <v>5225865534.1999998</v>
      </c>
      <c r="F118" s="267">
        <f t="shared" si="59"/>
        <v>5654117687.2444792</v>
      </c>
      <c r="G118" s="267">
        <f t="shared" si="59"/>
        <v>5688861980.8695631</v>
      </c>
      <c r="H118" s="267">
        <f t="shared" si="59"/>
        <v>5603734349.340867</v>
      </c>
      <c r="I118" s="147">
        <f t="shared" si="59"/>
        <v>5183538430.0999603</v>
      </c>
      <c r="J118" s="147">
        <f t="shared" si="59"/>
        <v>5935269202.8796997</v>
      </c>
      <c r="K118" s="147">
        <f t="shared" si="59"/>
        <v>7169850706.5789633</v>
      </c>
      <c r="L118" s="147">
        <f t="shared" si="59"/>
        <v>7126451863.909483</v>
      </c>
      <c r="M118" s="147">
        <f t="shared" si="59"/>
        <v>7126451864.909483</v>
      </c>
      <c r="N118" s="147">
        <f t="shared" si="59"/>
        <v>7311095099.5013351</v>
      </c>
      <c r="O118" s="147">
        <f t="shared" si="59"/>
        <v>7262258765.5013351</v>
      </c>
      <c r="P118" s="149">
        <f>SUM(D118:O118)</f>
        <v>75065480704.035172</v>
      </c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82"/>
      <c r="BE118" s="82"/>
      <c r="BF118" s="82"/>
      <c r="BG118" s="119">
        <v>4497701504</v>
      </c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V118" s="73">
        <f>SUM(BV106:BV117)</f>
        <v>3636.6243004999997</v>
      </c>
    </row>
    <row r="119" spans="1:74">
      <c r="A119" s="265"/>
      <c r="B119" s="269"/>
      <c r="C119" s="270"/>
      <c r="D119" s="267"/>
      <c r="E119" s="267"/>
      <c r="F119" s="267"/>
      <c r="G119" s="267"/>
      <c r="H119" s="267"/>
      <c r="I119" s="147"/>
      <c r="J119" s="147"/>
      <c r="K119" s="147"/>
      <c r="L119" s="147"/>
      <c r="M119" s="147"/>
      <c r="N119" s="147"/>
      <c r="O119" s="147"/>
      <c r="P119" s="145">
        <f t="shared" si="37"/>
        <v>0</v>
      </c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80"/>
      <c r="BE119" s="80"/>
      <c r="BF119" s="80"/>
      <c r="BG119" s="118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</row>
    <row r="120" spans="1:74">
      <c r="A120" s="610" t="s">
        <v>434</v>
      </c>
      <c r="B120" s="611"/>
      <c r="C120" s="611"/>
      <c r="D120" s="278">
        <f t="shared" ref="D120:P120" si="60">+D29-D118</f>
        <v>376471444.1562233</v>
      </c>
      <c r="E120" s="278">
        <f t="shared" si="60"/>
        <v>1185644003.1455593</v>
      </c>
      <c r="F120" s="278">
        <f t="shared" si="60"/>
        <v>1179074708.1265373</v>
      </c>
      <c r="G120" s="278">
        <f t="shared" si="60"/>
        <v>1693305898.3851328</v>
      </c>
      <c r="H120" s="278">
        <f t="shared" si="60"/>
        <v>867503155.76181984</v>
      </c>
      <c r="I120" s="151">
        <f t="shared" si="60"/>
        <v>617978948.06452751</v>
      </c>
      <c r="J120" s="151">
        <f t="shared" si="60"/>
        <v>582020378.80739307</v>
      </c>
      <c r="K120" s="151">
        <f t="shared" si="60"/>
        <v>892205148.28591442</v>
      </c>
      <c r="L120" s="151">
        <f t="shared" si="60"/>
        <v>769905229.90505123</v>
      </c>
      <c r="M120" s="151">
        <f t="shared" si="60"/>
        <v>283204545.78125477</v>
      </c>
      <c r="N120" s="151">
        <f t="shared" si="60"/>
        <v>118395310.27275848</v>
      </c>
      <c r="O120" s="151">
        <f t="shared" si="60"/>
        <v>29051040.758263588</v>
      </c>
      <c r="P120" s="152">
        <f t="shared" si="60"/>
        <v>29051040.758255005</v>
      </c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22"/>
      <c r="BE120" s="122"/>
      <c r="BF120" s="122"/>
      <c r="BG120" s="120">
        <v>-852293618.15999985</v>
      </c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>
        <f>+BU29-BU118</f>
        <v>0</v>
      </c>
      <c r="BV120" s="76">
        <f>+BV29-BV118</f>
        <v>-3636.6243004999997</v>
      </c>
    </row>
    <row r="121" spans="1:74">
      <c r="A121" s="362"/>
      <c r="B121" s="362"/>
      <c r="C121" s="362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82"/>
      <c r="BE121" s="82"/>
      <c r="BF121" s="82"/>
      <c r="BG121" s="119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</row>
    <row r="122" spans="1:74">
      <c r="A122" s="362"/>
      <c r="B122" s="362"/>
      <c r="C122" s="362"/>
      <c r="D122" s="153">
        <v>376471444.1562233</v>
      </c>
      <c r="E122" s="153">
        <v>1185644003.1455593</v>
      </c>
      <c r="F122" s="153">
        <v>1179074707.8065367</v>
      </c>
      <c r="G122" s="153">
        <v>1693305898.8314037</v>
      </c>
      <c r="H122" s="153">
        <v>867503155.69669914</v>
      </c>
      <c r="I122" s="153">
        <v>617978948.3893795</v>
      </c>
      <c r="J122" s="153">
        <v>582020378.52221966</v>
      </c>
      <c r="K122" s="153">
        <v>892205148.35581779</v>
      </c>
      <c r="L122" s="153">
        <v>769905229.52741814</v>
      </c>
      <c r="M122" s="153">
        <v>283204545.95608521</v>
      </c>
      <c r="N122" s="153">
        <v>118395309.95977306</v>
      </c>
      <c r="O122" s="153">
        <v>29051040.957462311</v>
      </c>
      <c r="P122" s="153">
        <v>29051040.957458496</v>
      </c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82"/>
      <c r="BE122" s="82"/>
      <c r="BF122" s="82"/>
      <c r="BG122" s="119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</row>
    <row r="123" spans="1:74">
      <c r="A123" s="362"/>
      <c r="B123" s="362"/>
      <c r="C123" s="362"/>
      <c r="D123" s="153">
        <f t="shared" ref="D123:O123" si="61">+D120-D122</f>
        <v>0</v>
      </c>
      <c r="E123" s="153">
        <f t="shared" si="61"/>
        <v>0</v>
      </c>
      <c r="F123" s="153">
        <f t="shared" si="61"/>
        <v>0.32000064849853516</v>
      </c>
      <c r="G123" s="153">
        <f t="shared" si="61"/>
        <v>-0.44627094268798828</v>
      </c>
      <c r="H123" s="153">
        <f t="shared" si="61"/>
        <v>6.5120697021484375E-2</v>
      </c>
      <c r="I123" s="153">
        <f t="shared" si="61"/>
        <v>-0.32485198974609375</v>
      </c>
      <c r="J123" s="153">
        <f t="shared" si="61"/>
        <v>0.28517341613769531</v>
      </c>
      <c r="K123" s="153">
        <f t="shared" si="61"/>
        <v>-6.9903373718261719E-2</v>
      </c>
      <c r="L123" s="153">
        <f t="shared" si="61"/>
        <v>0.37763309478759766</v>
      </c>
      <c r="M123" s="153">
        <f t="shared" si="61"/>
        <v>-0.17483043670654297</v>
      </c>
      <c r="N123" s="153">
        <f t="shared" si="61"/>
        <v>0.31298542022705078</v>
      </c>
      <c r="O123" s="153">
        <f t="shared" si="61"/>
        <v>-0.19919872283935547</v>
      </c>
      <c r="P123" s="153">
        <f>+P120-P122</f>
        <v>-0.1992034912109375</v>
      </c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82"/>
      <c r="BE123" s="82"/>
      <c r="BF123" s="82"/>
      <c r="BG123" s="119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</row>
    <row r="124" spans="1:74">
      <c r="A124" s="362"/>
      <c r="B124" s="362"/>
      <c r="C124" s="362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82"/>
      <c r="BE124" s="82"/>
      <c r="BF124" s="82"/>
      <c r="BG124" s="119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</row>
    <row r="125" spans="1:74">
      <c r="A125" s="362"/>
      <c r="B125" s="362"/>
      <c r="C125" s="362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82"/>
      <c r="BE125" s="82"/>
      <c r="BF125" s="82"/>
      <c r="BG125" s="119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</row>
    <row r="126" spans="1:74">
      <c r="A126" s="362"/>
      <c r="B126" s="362"/>
      <c r="C126" s="362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82"/>
      <c r="BE126" s="82"/>
      <c r="BF126" s="82"/>
      <c r="BG126" s="119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</row>
    <row r="127" spans="1:74">
      <c r="A127" s="362"/>
      <c r="B127" s="362"/>
      <c r="C127" s="362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82"/>
      <c r="BE127" s="82"/>
      <c r="BF127" s="82"/>
      <c r="BG127" s="119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</row>
    <row r="128" spans="1:74">
      <c r="A128" s="362"/>
      <c r="B128" s="362"/>
      <c r="C128" s="362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82"/>
      <c r="BE128" s="82"/>
      <c r="BF128" s="82"/>
      <c r="BG128" s="119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</row>
    <row r="129" spans="1:74">
      <c r="A129" s="362"/>
      <c r="B129" s="362"/>
      <c r="C129" s="362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82"/>
      <c r="BE129" s="82"/>
      <c r="BF129" s="82"/>
      <c r="BG129" s="119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</row>
    <row r="130" spans="1:74">
      <c r="A130" s="362"/>
      <c r="B130" s="362"/>
      <c r="C130" s="362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82"/>
      <c r="BE130" s="82"/>
      <c r="BF130" s="82"/>
      <c r="BG130" s="119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</row>
    <row r="131" spans="1:74">
      <c r="A131" s="362"/>
      <c r="B131" s="362"/>
      <c r="C131" s="362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82"/>
      <c r="BE131" s="82"/>
      <c r="BF131" s="82"/>
      <c r="BG131" s="119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</row>
    <row r="132" spans="1:74">
      <c r="A132" s="362"/>
      <c r="B132" s="362"/>
      <c r="C132" s="362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82"/>
      <c r="BE132" s="82"/>
      <c r="BF132" s="82"/>
      <c r="BG132" s="119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</row>
    <row r="133" spans="1:74">
      <c r="A133" s="362"/>
      <c r="B133" s="362"/>
      <c r="C133" s="362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82"/>
      <c r="BE133" s="82"/>
      <c r="BF133" s="82"/>
      <c r="BG133" s="119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</row>
    <row r="134" spans="1:74">
      <c r="A134" s="362"/>
      <c r="B134" s="362"/>
      <c r="C134" s="362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82"/>
      <c r="BE134" s="82"/>
      <c r="BF134" s="82"/>
      <c r="BG134" s="119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</row>
    <row r="135" spans="1:74">
      <c r="A135" s="362"/>
      <c r="B135" s="362"/>
      <c r="C135" s="362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82"/>
      <c r="BE135" s="82"/>
      <c r="BF135" s="82"/>
      <c r="BG135" s="119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</row>
    <row r="136" spans="1:74">
      <c r="A136" s="362"/>
      <c r="B136" s="362"/>
      <c r="C136" s="362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82"/>
      <c r="BE136" s="82"/>
      <c r="BF136" s="82"/>
      <c r="BG136" s="119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</row>
    <row r="137" spans="1:74">
      <c r="A137" s="362"/>
      <c r="B137" s="362"/>
      <c r="C137" s="362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82"/>
      <c r="BE137" s="82"/>
      <c r="BF137" s="82"/>
      <c r="BG137" s="119"/>
      <c r="BH137" s="82"/>
      <c r="BI137" s="82"/>
      <c r="BJ137" s="82"/>
      <c r="BK137" s="82"/>
      <c r="BL137" s="82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</row>
    <row r="138" spans="1:74">
      <c r="A138" s="362"/>
      <c r="B138" s="362"/>
      <c r="C138" s="362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82"/>
      <c r="BE138" s="82"/>
      <c r="BF138" s="82"/>
      <c r="BG138" s="119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</row>
    <row r="139" spans="1:74">
      <c r="A139" s="362"/>
      <c r="B139" s="362"/>
      <c r="C139" s="362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82"/>
      <c r="BE139" s="82"/>
      <c r="BF139" s="82"/>
      <c r="BG139" s="119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</row>
    <row r="140" spans="1:74">
      <c r="A140" s="362"/>
      <c r="B140" s="362"/>
      <c r="C140" s="362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82"/>
      <c r="BE140" s="82"/>
      <c r="BF140" s="82"/>
      <c r="BG140" s="119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</row>
    <row r="141" spans="1:74">
      <c r="A141" s="362"/>
      <c r="B141" s="362"/>
      <c r="C141" s="362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82"/>
      <c r="BE141" s="82"/>
      <c r="BF141" s="82"/>
      <c r="BG141" s="119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</row>
    <row r="142" spans="1:74">
      <c r="A142" s="362"/>
      <c r="B142" s="362"/>
      <c r="C142" s="362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82"/>
      <c r="BE142" s="82"/>
      <c r="BF142" s="82"/>
      <c r="BG142" s="119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</row>
    <row r="143" spans="1:74">
      <c r="A143" s="362"/>
      <c r="B143" s="362"/>
      <c r="C143" s="362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82"/>
      <c r="BE143" s="82"/>
      <c r="BF143" s="82"/>
      <c r="BG143" s="119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</row>
    <row r="144" spans="1:74">
      <c r="A144" s="362"/>
      <c r="B144" s="362"/>
      <c r="C144" s="362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82"/>
      <c r="BE144" s="82"/>
      <c r="BF144" s="82"/>
      <c r="BG144" s="119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</row>
    <row r="145" spans="1:74">
      <c r="A145" s="362"/>
      <c r="B145" s="362"/>
      <c r="C145" s="362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82"/>
      <c r="BE145" s="82"/>
      <c r="BF145" s="82"/>
      <c r="BG145" s="119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</row>
    <row r="146" spans="1:74">
      <c r="A146" s="362"/>
      <c r="B146" s="362"/>
      <c r="C146" s="362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82"/>
      <c r="BE146" s="82"/>
      <c r="BF146" s="82"/>
      <c r="BG146" s="119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</row>
    <row r="147" spans="1:74">
      <c r="A147" s="362"/>
      <c r="B147" s="362"/>
      <c r="C147" s="362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82"/>
      <c r="BE147" s="82"/>
      <c r="BF147" s="82"/>
      <c r="BG147" s="119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</row>
    <row r="148" spans="1:74">
      <c r="A148" s="362"/>
      <c r="B148" s="362"/>
      <c r="C148" s="362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82"/>
      <c r="BE148" s="82"/>
      <c r="BF148" s="82"/>
      <c r="BG148" s="119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</row>
    <row r="149" spans="1:74">
      <c r="A149" s="362"/>
      <c r="B149" s="362"/>
      <c r="C149" s="362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82"/>
      <c r="BE149" s="82"/>
      <c r="BF149" s="82"/>
      <c r="BG149" s="119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</row>
    <row r="150" spans="1:74">
      <c r="A150" s="362"/>
      <c r="B150" s="362"/>
      <c r="C150" s="362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82"/>
      <c r="BE150" s="82"/>
      <c r="BF150" s="82"/>
      <c r="BG150" s="119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</row>
    <row r="151" spans="1:74">
      <c r="A151" s="362"/>
      <c r="B151" s="362"/>
      <c r="C151" s="362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82"/>
      <c r="BE151" s="82"/>
      <c r="BF151" s="82"/>
      <c r="BG151" s="119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</row>
    <row r="152" spans="1:74">
      <c r="A152" s="362"/>
      <c r="B152" s="362"/>
      <c r="C152" s="362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82"/>
      <c r="BE152" s="82"/>
      <c r="BF152" s="82"/>
      <c r="BG152" s="119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</row>
    <row r="153" spans="1:74">
      <c r="A153" s="362"/>
      <c r="B153" s="362"/>
      <c r="C153" s="362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82"/>
      <c r="BE153" s="82"/>
      <c r="BF153" s="82"/>
      <c r="BG153" s="119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</row>
    <row r="154" spans="1:74">
      <c r="A154" s="362"/>
      <c r="B154" s="362"/>
      <c r="C154" s="362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82"/>
      <c r="BE154" s="82"/>
      <c r="BF154" s="82"/>
      <c r="BG154" s="119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</row>
    <row r="155" spans="1:74">
      <c r="A155" s="362"/>
      <c r="B155" s="362"/>
      <c r="C155" s="362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82"/>
      <c r="BE155" s="82"/>
      <c r="BF155" s="82"/>
      <c r="BG155" s="119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</row>
    <row r="156" spans="1:74">
      <c r="A156" s="362"/>
      <c r="B156" s="362"/>
      <c r="C156" s="362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82"/>
      <c r="BE156" s="82"/>
      <c r="BF156" s="82"/>
      <c r="BG156" s="119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</row>
    <row r="157" spans="1:74">
      <c r="A157" s="362"/>
      <c r="B157" s="362"/>
      <c r="C157" s="362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82"/>
      <c r="BE157" s="82"/>
      <c r="BF157" s="82"/>
      <c r="BG157" s="119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</row>
    <row r="158" spans="1:74">
      <c r="A158" s="362"/>
      <c r="B158" s="362"/>
      <c r="C158" s="362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82"/>
      <c r="BE158" s="82"/>
      <c r="BF158" s="82"/>
      <c r="BG158" s="119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</row>
    <row r="159" spans="1:74">
      <c r="A159" s="362"/>
      <c r="B159" s="362"/>
      <c r="C159" s="362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82"/>
      <c r="BE159" s="82"/>
      <c r="BF159" s="82"/>
      <c r="BG159" s="119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</row>
    <row r="160" spans="1:74">
      <c r="A160" s="362"/>
      <c r="B160" s="362"/>
      <c r="C160" s="362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82"/>
      <c r="BE160" s="82"/>
      <c r="BF160" s="82"/>
      <c r="BG160" s="119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</row>
    <row r="161" spans="1:74">
      <c r="A161" s="362"/>
      <c r="B161" s="362"/>
      <c r="C161" s="362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82"/>
      <c r="BE161" s="82"/>
      <c r="BF161" s="82"/>
      <c r="BG161" s="119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</row>
    <row r="162" spans="1:74">
      <c r="A162" s="362"/>
      <c r="B162" s="362"/>
      <c r="C162" s="362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82"/>
      <c r="BE162" s="82"/>
      <c r="BF162" s="82"/>
      <c r="BG162" s="119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</row>
    <row r="163" spans="1:74">
      <c r="A163" s="362"/>
      <c r="B163" s="362"/>
      <c r="C163" s="362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82"/>
      <c r="BE163" s="82"/>
      <c r="BF163" s="82"/>
      <c r="BG163" s="119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</row>
    <row r="164" spans="1:74">
      <c r="A164" s="362"/>
      <c r="B164" s="362"/>
      <c r="C164" s="362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82"/>
      <c r="BE164" s="82"/>
      <c r="BF164" s="82"/>
      <c r="BG164" s="119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</row>
    <row r="165" spans="1:74">
      <c r="A165" s="362"/>
      <c r="B165" s="362"/>
      <c r="C165" s="362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82"/>
      <c r="BE165" s="82"/>
      <c r="BF165" s="82"/>
      <c r="BG165" s="119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</row>
    <row r="166" spans="1:74">
      <c r="A166" s="362"/>
      <c r="B166" s="362"/>
      <c r="C166" s="362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82"/>
      <c r="BE166" s="82"/>
      <c r="BF166" s="82"/>
      <c r="BG166" s="119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</row>
    <row r="167" spans="1:74">
      <c r="A167" s="362"/>
      <c r="B167" s="362"/>
      <c r="C167" s="362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82"/>
      <c r="BE167" s="82"/>
      <c r="BF167" s="82"/>
      <c r="BG167" s="119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</row>
    <row r="169" spans="1:74">
      <c r="B169" s="135" t="s">
        <v>296</v>
      </c>
      <c r="P169" s="136">
        <v>103051040.909683</v>
      </c>
    </row>
    <row r="170" spans="1:74">
      <c r="B170" s="135" t="s">
        <v>342</v>
      </c>
      <c r="C170" s="135" t="s">
        <v>303</v>
      </c>
    </row>
    <row r="171" spans="1:74">
      <c r="B171" s="135" t="s">
        <v>342</v>
      </c>
      <c r="C171" s="135" t="s">
        <v>384</v>
      </c>
      <c r="P171" s="136">
        <f>P120-P169</f>
        <v>-74000000.151427999</v>
      </c>
    </row>
    <row r="172" spans="1:74">
      <c r="B172" s="135" t="s">
        <v>342</v>
      </c>
      <c r="C172" s="135" t="s">
        <v>301</v>
      </c>
    </row>
    <row r="173" spans="1:74">
      <c r="B173" s="135" t="s">
        <v>342</v>
      </c>
      <c r="C173" s="135" t="s">
        <v>294</v>
      </c>
    </row>
    <row r="174" spans="1:74">
      <c r="A174" s="6"/>
      <c r="B174" s="135" t="s">
        <v>342</v>
      </c>
      <c r="C174" s="135" t="s">
        <v>295</v>
      </c>
      <c r="D174" s="6"/>
      <c r="E174" s="6"/>
      <c r="F174" s="6"/>
      <c r="G174" s="6"/>
      <c r="H174" s="6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/>
      <c r="X174"/>
      <c r="Y174"/>
      <c r="Z174"/>
      <c r="AA174"/>
      <c r="AB174"/>
      <c r="AC174"/>
      <c r="AD174"/>
      <c r="AE174"/>
      <c r="AF174"/>
      <c r="AG174"/>
      <c r="AH17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</row>
    <row r="175" spans="1:74">
      <c r="A175" s="6"/>
      <c r="B175" s="135" t="s">
        <v>342</v>
      </c>
      <c r="C175" s="135" t="s">
        <v>385</v>
      </c>
      <c r="D175" s="6"/>
      <c r="E175" s="6"/>
      <c r="F175" s="6"/>
      <c r="G175" s="129"/>
      <c r="H175" s="6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/>
      <c r="X175"/>
      <c r="Y175"/>
      <c r="Z175"/>
      <c r="AA175"/>
      <c r="AB175"/>
      <c r="AC175"/>
      <c r="AD175"/>
      <c r="AE175"/>
      <c r="AF175"/>
      <c r="AG175"/>
      <c r="AH175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</row>
    <row r="176" spans="1:74">
      <c r="A176" s="6"/>
      <c r="B176" s="135" t="s">
        <v>342</v>
      </c>
      <c r="C176" s="135" t="s">
        <v>386</v>
      </c>
      <c r="D176" s="6"/>
      <c r="E176" s="6"/>
      <c r="F176" s="6"/>
      <c r="G176" s="129"/>
      <c r="H176" s="6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/>
      <c r="X176"/>
      <c r="Y176"/>
      <c r="Z176"/>
      <c r="AA176"/>
      <c r="AB176"/>
      <c r="AC176"/>
      <c r="AD176"/>
      <c r="AE176"/>
      <c r="AF176"/>
      <c r="AG176"/>
      <c r="AH176"/>
      <c r="AI176" s="124"/>
      <c r="AJ176" s="124"/>
      <c r="AK176" s="124"/>
      <c r="AL176" s="124"/>
      <c r="AM176" s="124"/>
      <c r="AN176" s="124"/>
      <c r="AO176" s="124"/>
      <c r="AP176" s="124"/>
      <c r="AQ176" s="124"/>
      <c r="AR176" s="124"/>
      <c r="AS176" s="124"/>
      <c r="AT176" s="124"/>
      <c r="AU176" s="124"/>
      <c r="AV176" s="124"/>
      <c r="AW176" s="124"/>
      <c r="AX176" s="124"/>
      <c r="AY176" s="124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</row>
    <row r="177" spans="1:72">
      <c r="A177" s="6"/>
      <c r="B177" s="135" t="s">
        <v>342</v>
      </c>
      <c r="C177" s="135" t="s">
        <v>387</v>
      </c>
      <c r="D177" s="6"/>
      <c r="E177" s="6"/>
      <c r="F177" s="6"/>
      <c r="G177" s="129"/>
      <c r="H177" s="6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/>
      <c r="X177"/>
      <c r="Y177"/>
      <c r="Z177"/>
      <c r="AA177"/>
      <c r="AB177"/>
      <c r="AC177"/>
      <c r="AD177"/>
      <c r="AE177"/>
      <c r="AF177"/>
      <c r="AG177"/>
      <c r="AH177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4"/>
      <c r="AX177" s="124"/>
      <c r="AY177" s="124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</row>
    <row r="178" spans="1:72">
      <c r="A178" s="6"/>
      <c r="B178" s="135" t="s">
        <v>342</v>
      </c>
      <c r="C178" s="135" t="s">
        <v>388</v>
      </c>
      <c r="D178" s="6"/>
      <c r="E178" s="6"/>
      <c r="F178" s="6"/>
      <c r="G178" s="129"/>
      <c r="H178" s="6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/>
      <c r="X178"/>
      <c r="Y178"/>
      <c r="Z178"/>
      <c r="AA178"/>
      <c r="AB178"/>
      <c r="AC178"/>
      <c r="AD178"/>
      <c r="AE178"/>
      <c r="AF178"/>
      <c r="AG178"/>
      <c r="AH178"/>
      <c r="AI178" s="124"/>
      <c r="AJ178" s="124"/>
      <c r="AK178" s="124"/>
      <c r="AL178" s="124"/>
      <c r="AM178" s="124"/>
      <c r="AN178" s="124"/>
      <c r="AO178" s="124"/>
      <c r="AP178" s="124"/>
      <c r="AQ178" s="124"/>
      <c r="AR178" s="124"/>
      <c r="AS178" s="124"/>
      <c r="AT178" s="124"/>
      <c r="AU178" s="124"/>
      <c r="AV178" s="124"/>
      <c r="AW178" s="124"/>
      <c r="AX178" s="124"/>
      <c r="AY178" s="124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</row>
    <row r="179" spans="1:72">
      <c r="B179" s="208" t="s">
        <v>342</v>
      </c>
      <c r="C179" s="135" t="s">
        <v>343</v>
      </c>
    </row>
    <row r="180" spans="1:72">
      <c r="B180" s="135" t="s">
        <v>342</v>
      </c>
      <c r="C180" s="135" t="s">
        <v>376</v>
      </c>
    </row>
    <row r="181" spans="1:72">
      <c r="B181" s="135" t="s">
        <v>342</v>
      </c>
      <c r="C181" s="135" t="s">
        <v>389</v>
      </c>
    </row>
    <row r="182" spans="1:72">
      <c r="B182" s="135" t="s">
        <v>342</v>
      </c>
      <c r="C182" s="363" t="s">
        <v>390</v>
      </c>
    </row>
    <row r="183" spans="1:72">
      <c r="B183" s="209" t="s">
        <v>350</v>
      </c>
      <c r="C183" s="363" t="s">
        <v>348</v>
      </c>
    </row>
    <row r="184" spans="1:72">
      <c r="B184" s="209" t="s">
        <v>350</v>
      </c>
      <c r="C184" s="363" t="s">
        <v>349</v>
      </c>
    </row>
    <row r="185" spans="1:72">
      <c r="B185" s="209" t="s">
        <v>350</v>
      </c>
      <c r="C185" s="363" t="s">
        <v>351</v>
      </c>
    </row>
    <row r="189" spans="1:72">
      <c r="H189" s="211" t="s">
        <v>377</v>
      </c>
    </row>
    <row r="193" spans="1:72">
      <c r="A193" s="6"/>
      <c r="BD193" s="125">
        <f>SUM(D120:O120)</f>
        <v>8594759811.4504356</v>
      </c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</row>
    <row r="194" spans="1:72">
      <c r="A194" s="6"/>
      <c r="C194" s="135" t="s">
        <v>240</v>
      </c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</row>
    <row r="195" spans="1:72">
      <c r="A195" s="6"/>
      <c r="C195" s="135" t="s">
        <v>243</v>
      </c>
      <c r="D195" s="136">
        <v>939000000</v>
      </c>
      <c r="E195" s="136">
        <v>939000000</v>
      </c>
      <c r="F195" s="136">
        <v>939000000</v>
      </c>
      <c r="P195" s="136">
        <f>SUM(D195:O195)</f>
        <v>2817000000</v>
      </c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</row>
    <row r="196" spans="1:72">
      <c r="A196" s="6"/>
      <c r="C196" s="135" t="s">
        <v>241</v>
      </c>
      <c r="G196" s="136">
        <f>F195</f>
        <v>939000000</v>
      </c>
      <c r="H196" s="136">
        <f>G196</f>
        <v>939000000</v>
      </c>
      <c r="I196" s="136">
        <f t="shared" ref="I196:O196" si="62">H196</f>
        <v>939000000</v>
      </c>
      <c r="J196" s="136">
        <f t="shared" si="62"/>
        <v>939000000</v>
      </c>
      <c r="K196" s="136">
        <f t="shared" si="62"/>
        <v>939000000</v>
      </c>
      <c r="L196" s="136">
        <f t="shared" si="62"/>
        <v>939000000</v>
      </c>
      <c r="M196" s="136">
        <f t="shared" si="62"/>
        <v>939000000</v>
      </c>
      <c r="N196" s="136">
        <f t="shared" si="62"/>
        <v>939000000</v>
      </c>
      <c r="O196" s="136">
        <f t="shared" si="62"/>
        <v>939000000</v>
      </c>
      <c r="P196" s="136">
        <f t="shared" ref="P196:P197" si="63">SUM(D196:O196)</f>
        <v>8451000000</v>
      </c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1:72">
      <c r="A197" s="6"/>
      <c r="C197" s="135" t="s">
        <v>242</v>
      </c>
      <c r="K197" s="136">
        <v>1715625000</v>
      </c>
      <c r="L197" s="136">
        <v>1715625000</v>
      </c>
      <c r="M197" s="136">
        <v>1715625000</v>
      </c>
      <c r="N197" s="136">
        <v>1715625000</v>
      </c>
      <c r="O197" s="136">
        <v>1715625000</v>
      </c>
      <c r="P197" s="136">
        <f t="shared" si="63"/>
        <v>8578125000</v>
      </c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1:72">
      <c r="A198" s="6"/>
      <c r="D198" s="136">
        <f t="shared" ref="D198:O198" si="64">SUM(D195:D197)</f>
        <v>939000000</v>
      </c>
      <c r="E198" s="136">
        <f t="shared" si="64"/>
        <v>939000000</v>
      </c>
      <c r="F198" s="136">
        <f t="shared" si="64"/>
        <v>939000000</v>
      </c>
      <c r="G198" s="136">
        <f t="shared" si="64"/>
        <v>939000000</v>
      </c>
      <c r="H198" s="136">
        <f t="shared" si="64"/>
        <v>939000000</v>
      </c>
      <c r="I198" s="136">
        <f t="shared" si="64"/>
        <v>939000000</v>
      </c>
      <c r="J198" s="136">
        <f t="shared" si="64"/>
        <v>939000000</v>
      </c>
      <c r="K198" s="136">
        <f t="shared" si="64"/>
        <v>2654625000</v>
      </c>
      <c r="L198" s="136">
        <f t="shared" si="64"/>
        <v>2654625000</v>
      </c>
      <c r="M198" s="136">
        <f t="shared" si="64"/>
        <v>2654625000</v>
      </c>
      <c r="N198" s="136">
        <f t="shared" si="64"/>
        <v>2654625000</v>
      </c>
      <c r="O198" s="136">
        <f t="shared" si="64"/>
        <v>2654625000</v>
      </c>
      <c r="P198" s="136">
        <f>SUM(P195:P197)</f>
        <v>19846125000</v>
      </c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203" spans="1:72">
      <c r="A203" s="6"/>
      <c r="B203" s="135" t="s">
        <v>13</v>
      </c>
      <c r="D203" s="143">
        <f>+$BD$14+($BD$14*D9%)</f>
        <v>1173264032.2505348</v>
      </c>
      <c r="E203" s="143">
        <f>+D203+(D203*E9%)</f>
        <v>1192270909.5729935</v>
      </c>
      <c r="F203" s="143">
        <f>+E203+(E203*F9%)</f>
        <v>1238054112.5005963</v>
      </c>
      <c r="G203" s="143">
        <f>+F203+(F203*G9%)</f>
        <v>1232359063.5830936</v>
      </c>
      <c r="H203" s="143">
        <f>+G203+(G203*H9%)</f>
        <v>1220035472.9472628</v>
      </c>
      <c r="I203" s="143">
        <f>+G203+(6%*G203)+(G203*$H$9%)</f>
        <v>1293977016.7622483</v>
      </c>
      <c r="J203" s="143">
        <f>+I203+(I203*J9%)</f>
        <v>1293977016.7622483</v>
      </c>
      <c r="K203" s="143">
        <f>+J203+(J203*K9%)+(J203*0.75%)</f>
        <v>1420139775.8965676</v>
      </c>
      <c r="L203" s="143">
        <f>+K203+(K203*L9%)</f>
        <v>1420139775.8965676</v>
      </c>
      <c r="M203" s="143">
        <f>+L203+(L203*M9%)</f>
        <v>1434341173.6555333</v>
      </c>
      <c r="N203" s="143">
        <f>+M203+(M203*N9%)</f>
        <v>1434341173.6555333</v>
      </c>
      <c r="O203" s="143">
        <f>+N203+(N203*O9%)</f>
        <v>1434341173.6555333</v>
      </c>
      <c r="P203" s="136">
        <v>13797275447.039179</v>
      </c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1:72">
      <c r="A204" s="6"/>
      <c r="B204" s="135" t="s">
        <v>14</v>
      </c>
      <c r="D204" s="143">
        <f>+$BD$15+($BD$15*D9%)</f>
        <v>320950760.92486006</v>
      </c>
      <c r="E204" s="143">
        <f>+D204+(D204*E9%)</f>
        <v>326150163.2518428</v>
      </c>
      <c r="F204" s="143">
        <f>+E204+(E204*F9%)</f>
        <v>338674329.52071351</v>
      </c>
      <c r="G204" s="143">
        <f>+F204+(F204*G9%)</f>
        <v>337116427.60491824</v>
      </c>
      <c r="H204" s="143">
        <f>+G204+(G204*H9%)</f>
        <v>333745263.32886904</v>
      </c>
      <c r="I204" s="143">
        <f t="shared" ref="I204:I207" si="65">+G204+(6%*G204)+(G204*$H$9%)</f>
        <v>353972248.98516417</v>
      </c>
      <c r="J204" s="143">
        <f>+I204+(I204*J9%)</f>
        <v>353972248.98516417</v>
      </c>
      <c r="K204" s="143">
        <f>+J204+(J204*K10%)+(J204*0.75%)</f>
        <v>657503452.48994243</v>
      </c>
      <c r="L204" s="143">
        <f>+K204+(K204*L9%)</f>
        <v>657503452.48994243</v>
      </c>
      <c r="M204" s="143">
        <f>+L204+(L204*M9%)</f>
        <v>664078487.01484191</v>
      </c>
      <c r="N204" s="143">
        <f>+M204+(M204*N9%)</f>
        <v>664078487.01484191</v>
      </c>
      <c r="O204" s="143">
        <f>+N204+(N204*O9%)</f>
        <v>664078487.01484191</v>
      </c>
      <c r="P204" s="136">
        <v>3774296263.8366485</v>
      </c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1:72">
      <c r="A205" s="6"/>
      <c r="B205" s="135" t="s">
        <v>252</v>
      </c>
      <c r="D205" s="143">
        <f t="shared" ref="D205" si="66">+BD16+(BD16*$D$9%)</f>
        <v>0</v>
      </c>
      <c r="E205" s="143">
        <f>+D205+(D205*E11%)</f>
        <v>0</v>
      </c>
      <c r="F205" s="143">
        <f>+E205+(E205*F11%)</f>
        <v>0</v>
      </c>
      <c r="G205" s="143">
        <f>+F205+(F205*G11%)</f>
        <v>0</v>
      </c>
      <c r="H205" s="143">
        <f>+G205+(G205*H11%)</f>
        <v>0</v>
      </c>
      <c r="I205" s="143">
        <f t="shared" si="65"/>
        <v>0</v>
      </c>
      <c r="J205" s="143">
        <f>+I205+(I205*J11%)</f>
        <v>0</v>
      </c>
      <c r="K205" s="143">
        <f>+J205+(J205*K11%)+(J205*0.75%)</f>
        <v>0</v>
      </c>
      <c r="L205" s="143">
        <f>+K205+(K205*L11%)</f>
        <v>0</v>
      </c>
      <c r="M205" s="143">
        <f>+L205+(L205*M11%)</f>
        <v>0</v>
      </c>
      <c r="N205" s="143">
        <f>+M205+(M205*N11%)</f>
        <v>0</v>
      </c>
      <c r="O205" s="143">
        <f>+N205+(N205*O11%)</f>
        <v>0</v>
      </c>
      <c r="P205" s="136">
        <v>175000000</v>
      </c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</row>
    <row r="206" spans="1:72">
      <c r="A206" s="6"/>
      <c r="B206" s="135" t="s">
        <v>233</v>
      </c>
      <c r="D206" s="143">
        <f>+$BD$17+($BD$17*D9%)</f>
        <v>2396475511.344121</v>
      </c>
      <c r="E206" s="143">
        <f>+D206+(D206*E9%)</f>
        <v>2435298414.6278958</v>
      </c>
      <c r="F206" s="143">
        <f>+E206+(E206*F9%)</f>
        <v>2528813873.7496066</v>
      </c>
      <c r="G206" s="143">
        <f>+F206+(F206*G9%)</f>
        <v>2517181329.9303584</v>
      </c>
      <c r="H206" s="143">
        <f>+G206+(G206*H9%)</f>
        <v>2492009516.6310549</v>
      </c>
      <c r="I206" s="143">
        <f t="shared" si="65"/>
        <v>2643040396.4268765</v>
      </c>
      <c r="J206" s="143">
        <f>+I206+(I206*J9%)</f>
        <v>2643040396.4268765</v>
      </c>
      <c r="K206" s="143">
        <f>+J206+(J206*K12%)+(J206*0.75%)</f>
        <v>2662863199.4000783</v>
      </c>
      <c r="L206" s="143">
        <f>+K206+(K206*L9%)</f>
        <v>2662863199.4000783</v>
      </c>
      <c r="M206" s="143">
        <f>+L206+(L206*M9%)</f>
        <v>2689491831.3940792</v>
      </c>
      <c r="N206" s="143">
        <f>+M206+(M206*N9%)</f>
        <v>2689491831.3940792</v>
      </c>
      <c r="O206" s="143">
        <f>+N206+(N206*O9%)</f>
        <v>2689491831.3940792</v>
      </c>
      <c r="P206" s="136">
        <v>28179157027.587879</v>
      </c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</row>
    <row r="207" spans="1:72">
      <c r="A207" s="6"/>
      <c r="B207" s="135" t="s">
        <v>234</v>
      </c>
      <c r="D207" s="143">
        <f>+$BD$18+($BD18*D9%)</f>
        <v>357466364.52896369</v>
      </c>
      <c r="E207" s="143">
        <f>+D207+(D207*E9%)</f>
        <v>363257319.6343329</v>
      </c>
      <c r="F207" s="143">
        <f>+E207+(E207*F9%)</f>
        <v>377206400.70829123</v>
      </c>
      <c r="G207" s="143">
        <f>+F207+(F207*G9%)</f>
        <v>375471251.26503313</v>
      </c>
      <c r="H207" s="143">
        <f>+G207+(G207*H9%)</f>
        <v>371716538.75238281</v>
      </c>
      <c r="I207" s="143">
        <f t="shared" si="65"/>
        <v>394244813.8282848</v>
      </c>
      <c r="J207" s="143">
        <f>+I207+(I207*J9%)</f>
        <v>394244813.8282848</v>
      </c>
      <c r="K207" s="143">
        <f>+J207+(J207*K13%)+(J207*0.75%)</f>
        <v>397201649.93199694</v>
      </c>
      <c r="L207" s="143">
        <f>+K207+(K207*L9%)</f>
        <v>397201649.93199694</v>
      </c>
      <c r="M207" s="143">
        <f>+L207+(L207*M9%)</f>
        <v>401173666.43131691</v>
      </c>
      <c r="N207" s="143">
        <f>+M207+(M207*N9%)</f>
        <v>401173666.43131691</v>
      </c>
      <c r="O207" s="143">
        <f>+N207+(N207*O9%)</f>
        <v>401173666.43131691</v>
      </c>
      <c r="P207" s="136">
        <v>4203298039.3331418</v>
      </c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</row>
    <row r="211" spans="3:4">
      <c r="C211" s="135" t="s">
        <v>367</v>
      </c>
      <c r="D211" s="136">
        <f>SUM(D112:I112)</f>
        <v>250000000</v>
      </c>
    </row>
    <row r="212" spans="3:4">
      <c r="C212" s="135" t="s">
        <v>368</v>
      </c>
      <c r="D212" s="136">
        <f>SUM(J112:O112)</f>
        <v>0</v>
      </c>
    </row>
    <row r="214" spans="3:4">
      <c r="D214" s="136">
        <v>1450000000</v>
      </c>
    </row>
    <row r="426" spans="1:72">
      <c r="A426" s="6"/>
      <c r="BH426" s="125">
        <f>+P120+'CF 2018'!P113+'CF 2016'!P133</f>
        <v>1318000897.0490417</v>
      </c>
      <c r="BI426"/>
      <c r="BJ426"/>
      <c r="BK426"/>
      <c r="BL426"/>
      <c r="BM426"/>
      <c r="BN426"/>
      <c r="BO426"/>
      <c r="BP426"/>
      <c r="BQ426"/>
      <c r="BR426"/>
      <c r="BS426"/>
      <c r="BT426"/>
    </row>
    <row r="428" spans="1:72">
      <c r="A428" s="6"/>
      <c r="D428" s="136" t="s">
        <v>4</v>
      </c>
      <c r="E428" s="136" t="s">
        <v>5</v>
      </c>
      <c r="F428" s="136" t="s">
        <v>6</v>
      </c>
      <c r="G428" s="136" t="s">
        <v>7</v>
      </c>
      <c r="H428" s="136" t="s">
        <v>8</v>
      </c>
      <c r="I428" s="136" t="s">
        <v>9</v>
      </c>
      <c r="J428" s="136" t="s">
        <v>127</v>
      </c>
      <c r="K428" s="136" t="s">
        <v>129</v>
      </c>
      <c r="L428" s="136" t="s">
        <v>142</v>
      </c>
      <c r="M428" s="136" t="s">
        <v>131</v>
      </c>
      <c r="N428" s="136" t="s">
        <v>132</v>
      </c>
      <c r="O428" s="136" t="s">
        <v>133</v>
      </c>
      <c r="BI428"/>
      <c r="BJ428"/>
      <c r="BK428"/>
      <c r="BL428"/>
      <c r="BM428"/>
      <c r="BN428"/>
      <c r="BO428"/>
      <c r="BP428"/>
      <c r="BQ428"/>
      <c r="BR428"/>
      <c r="BS428"/>
      <c r="BT428"/>
    </row>
    <row r="429" spans="1:72">
      <c r="A429" s="6"/>
      <c r="B429" s="135" t="s">
        <v>215</v>
      </c>
      <c r="D429" s="136">
        <v>-2</v>
      </c>
      <c r="E429" s="136">
        <v>5.6200000000000045</v>
      </c>
      <c r="F429" s="136">
        <v>3.8399999999999892</v>
      </c>
      <c r="G429" s="136">
        <v>-1.0599999999999881</v>
      </c>
      <c r="H429" s="136">
        <v>-3.1400000000000006</v>
      </c>
      <c r="I429" s="136">
        <v>-10.969999999999999</v>
      </c>
      <c r="J429" s="136">
        <v>1.6699999999999875</v>
      </c>
      <c r="K429" s="136">
        <v>4.0400000000000063</v>
      </c>
      <c r="L429" s="136">
        <v>4</v>
      </c>
      <c r="M429" s="136">
        <v>1</v>
      </c>
      <c r="N429" s="136">
        <v>0</v>
      </c>
      <c r="O429" s="136">
        <v>0</v>
      </c>
      <c r="BI429"/>
      <c r="BJ429"/>
      <c r="BK429"/>
      <c r="BL429"/>
      <c r="BM429"/>
      <c r="BN429"/>
      <c r="BO429"/>
      <c r="BP429"/>
      <c r="BQ429"/>
      <c r="BR429"/>
      <c r="BS429"/>
      <c r="BT429"/>
    </row>
    <row r="430" spans="1:72">
      <c r="A430" s="135" t="s">
        <v>134</v>
      </c>
      <c r="D430" s="136">
        <v>80</v>
      </c>
      <c r="E430" s="136">
        <v>85.62</v>
      </c>
      <c r="F430" s="136">
        <v>89.46</v>
      </c>
      <c r="G430" s="136">
        <v>88.4</v>
      </c>
      <c r="H430" s="136">
        <v>85.26</v>
      </c>
      <c r="I430" s="136">
        <v>74.290000000000006</v>
      </c>
      <c r="J430" s="136">
        <v>75.959999999999994</v>
      </c>
      <c r="K430" s="136">
        <v>80</v>
      </c>
      <c r="L430" s="136">
        <v>84</v>
      </c>
      <c r="M430" s="136">
        <v>85</v>
      </c>
      <c r="N430" s="136">
        <v>85</v>
      </c>
      <c r="O430" s="136">
        <v>85</v>
      </c>
      <c r="P430" s="136">
        <v>83.165833333333339</v>
      </c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</row>
    <row r="431" spans="1:72">
      <c r="A431" s="135" t="s">
        <v>10</v>
      </c>
      <c r="B431" s="135" t="s">
        <v>11</v>
      </c>
      <c r="D431" s="136">
        <v>1416036811.5671883</v>
      </c>
      <c r="E431" s="136">
        <v>10749180449.195107</v>
      </c>
      <c r="F431" s="136">
        <v>10261575611.696686</v>
      </c>
      <c r="G431" s="136">
        <v>9866866737.2180328</v>
      </c>
      <c r="H431" s="136">
        <v>9485625119.2291508</v>
      </c>
      <c r="I431" s="136">
        <v>9079197950.0425072</v>
      </c>
      <c r="J431" s="136">
        <v>8566730113.3055058</v>
      </c>
      <c r="K431" s="136">
        <v>7166161769.4714251</v>
      </c>
      <c r="L431" s="136">
        <v>4836026109.1662769</v>
      </c>
      <c r="M431" s="136">
        <v>18075700880.989285</v>
      </c>
      <c r="N431" s="136">
        <v>16349679832.293678</v>
      </c>
      <c r="O431" s="136">
        <v>14512947038.51112</v>
      </c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</row>
    <row r="433" spans="1:72">
      <c r="A433" s="135" t="s">
        <v>12</v>
      </c>
      <c r="B433" s="135" t="s">
        <v>159</v>
      </c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</row>
    <row r="434" spans="1:72">
      <c r="B434" s="135" t="s">
        <v>13</v>
      </c>
      <c r="D434" s="136">
        <v>1161739323.757632</v>
      </c>
      <c r="E434" s="136">
        <v>1227029073.752811</v>
      </c>
      <c r="F434" s="136">
        <v>1274146990.1849189</v>
      </c>
      <c r="G434" s="136">
        <v>1260641032.088959</v>
      </c>
      <c r="H434" s="136">
        <v>1221056903.6813657</v>
      </c>
      <c r="I434" s="136">
        <v>1087106961.3475199</v>
      </c>
      <c r="J434" s="136">
        <v>1105261647.6020234</v>
      </c>
      <c r="K434" s="136">
        <v>1149914218.1651452</v>
      </c>
      <c r="L434" s="136">
        <v>1195910786.8917511</v>
      </c>
      <c r="M434" s="136">
        <v>1207869894.7606685</v>
      </c>
      <c r="N434" s="136">
        <v>1207869894.7606685</v>
      </c>
      <c r="O434" s="136">
        <v>1207869894.7606685</v>
      </c>
      <c r="P434" s="136">
        <v>14306416621.754129</v>
      </c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</row>
    <row r="435" spans="1:72">
      <c r="B435" s="135" t="s">
        <v>14</v>
      </c>
      <c r="D435" s="136">
        <v>317798133.84471393</v>
      </c>
      <c r="E435" s="136">
        <v>335658388.96678686</v>
      </c>
      <c r="F435" s="136">
        <v>348547671.10311145</v>
      </c>
      <c r="G435" s="136">
        <v>344853065.78941852</v>
      </c>
      <c r="H435" s="136">
        <v>334024679.5236308</v>
      </c>
      <c r="I435" s="136">
        <v>297382172.17988849</v>
      </c>
      <c r="J435" s="136">
        <v>302348454.45529258</v>
      </c>
      <c r="K435" s="136">
        <v>314563332.01528645</v>
      </c>
      <c r="L435" s="136">
        <v>327145865.2958979</v>
      </c>
      <c r="M435" s="136">
        <v>330417323.94885689</v>
      </c>
      <c r="N435" s="136">
        <v>330417323.94885689</v>
      </c>
      <c r="O435" s="136">
        <v>330417323.94885689</v>
      </c>
      <c r="P435" s="136">
        <v>3913573735.0205975</v>
      </c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</row>
    <row r="436" spans="1:72">
      <c r="B436" s="135" t="s">
        <v>252</v>
      </c>
      <c r="D436" s="136">
        <v>0</v>
      </c>
      <c r="E436" s="136">
        <v>0</v>
      </c>
      <c r="F436" s="136">
        <v>0</v>
      </c>
      <c r="G436" s="136">
        <v>0</v>
      </c>
      <c r="H436" s="136">
        <v>0</v>
      </c>
      <c r="I436" s="136">
        <v>25000000</v>
      </c>
      <c r="J436" s="136">
        <v>25000000</v>
      </c>
      <c r="K436" s="136">
        <v>25000000</v>
      </c>
      <c r="L436" s="136">
        <v>25000000</v>
      </c>
      <c r="M436" s="136">
        <v>25000000</v>
      </c>
      <c r="N436" s="136">
        <v>25000000</v>
      </c>
      <c r="O436" s="136">
        <v>25000000</v>
      </c>
      <c r="P436" s="136">
        <v>175000000</v>
      </c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</row>
    <row r="437" spans="1:72">
      <c r="B437" s="135" t="s">
        <v>233</v>
      </c>
      <c r="D437" s="136">
        <v>2419672976.386848</v>
      </c>
      <c r="E437" s="136">
        <v>2555658597.6597891</v>
      </c>
      <c r="F437" s="136">
        <v>2653795887.8099246</v>
      </c>
      <c r="G437" s="136">
        <v>2625665651.3991399</v>
      </c>
      <c r="H437" s="136">
        <v>2543219749.9452066</v>
      </c>
      <c r="I437" s="136">
        <v>2264228543.3762174</v>
      </c>
      <c r="J437" s="136">
        <v>2302041160.0506001</v>
      </c>
      <c r="K437" s="136">
        <v>2395043622.9166446</v>
      </c>
      <c r="L437" s="136">
        <v>2490845367.8333101</v>
      </c>
      <c r="M437" s="136">
        <v>2515753821.5116434</v>
      </c>
      <c r="N437" s="136">
        <v>2515753821.5116434</v>
      </c>
      <c r="O437" s="136">
        <v>2515753821.5116434</v>
      </c>
      <c r="P437" s="136">
        <v>29797433021.912605</v>
      </c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</row>
    <row r="438" spans="1:72">
      <c r="B438" s="135" t="s">
        <v>234</v>
      </c>
      <c r="D438" s="136">
        <v>340308033.48085874</v>
      </c>
      <c r="E438" s="136">
        <v>359433344.96248305</v>
      </c>
      <c r="F438" s="136">
        <v>373235585.40904236</v>
      </c>
      <c r="G438" s="136">
        <v>369279288.20370656</v>
      </c>
      <c r="H438" s="136">
        <v>357683918.55411017</v>
      </c>
      <c r="I438" s="136">
        <v>318445992.68872428</v>
      </c>
      <c r="J438" s="136">
        <v>323764040.76662594</v>
      </c>
      <c r="K438" s="136">
        <v>336844108.01359767</v>
      </c>
      <c r="L438" s="136">
        <v>350317872.33414155</v>
      </c>
      <c r="M438" s="136">
        <v>353821051.05748296</v>
      </c>
      <c r="N438" s="136">
        <v>353821051.05748296</v>
      </c>
      <c r="O438" s="136">
        <v>353821051.05748296</v>
      </c>
      <c r="P438" s="136">
        <v>4190775337.5857391</v>
      </c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</row>
    <row r="825" spans="1:72">
      <c r="A825" s="6"/>
      <c r="B825" s="6"/>
      <c r="C825" s="6"/>
      <c r="D825" s="6"/>
      <c r="E825" s="6"/>
      <c r="F825" s="6"/>
      <c r="G825" s="6"/>
      <c r="H825" s="6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/>
      <c r="X825"/>
      <c r="Y825"/>
      <c r="Z825"/>
      <c r="AA825"/>
      <c r="AB825"/>
      <c r="AC825"/>
      <c r="AD825"/>
      <c r="AE825"/>
      <c r="AF825"/>
      <c r="AG825"/>
      <c r="AH825"/>
      <c r="AI825" s="124"/>
      <c r="AJ825" s="124"/>
      <c r="AK825" s="124"/>
      <c r="AL825" s="124"/>
      <c r="AM825" s="124"/>
      <c r="AN825" s="124"/>
      <c r="AO825" s="124"/>
      <c r="AP825" s="124"/>
      <c r="AQ825" s="124"/>
      <c r="AR825" s="124"/>
      <c r="AS825" s="124"/>
      <c r="AT825" s="124"/>
      <c r="AU825" s="124"/>
      <c r="AV825" s="124"/>
      <c r="AW825" s="124"/>
      <c r="AX825" s="124"/>
      <c r="AY825" s="124"/>
      <c r="AZ825"/>
      <c r="BA825"/>
      <c r="BB825"/>
      <c r="BC825"/>
      <c r="BD825"/>
      <c r="BE825"/>
      <c r="BF825"/>
      <c r="BG825" s="125">
        <v>4000000000</v>
      </c>
      <c r="BH825"/>
      <c r="BI825"/>
      <c r="BJ825"/>
      <c r="BK825"/>
      <c r="BL825"/>
      <c r="BM825"/>
      <c r="BN825"/>
      <c r="BO825"/>
      <c r="BP825"/>
      <c r="BQ825"/>
      <c r="BR825"/>
      <c r="BS825"/>
      <c r="BT825"/>
    </row>
    <row r="826" spans="1:72">
      <c r="A826" s="6"/>
      <c r="B826" s="6"/>
      <c r="C826" s="6"/>
      <c r="D826" s="6"/>
      <c r="E826" s="6"/>
      <c r="F826" s="6"/>
      <c r="G826" s="6"/>
      <c r="H826" s="6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/>
      <c r="X826"/>
      <c r="Y826"/>
      <c r="Z826"/>
      <c r="AA826"/>
      <c r="AB826"/>
      <c r="AC826"/>
      <c r="AD826"/>
      <c r="AE826"/>
      <c r="AF826"/>
      <c r="AG826"/>
      <c r="AH826"/>
      <c r="AI826" s="124"/>
      <c r="AJ826" s="124"/>
      <c r="AK826" s="124"/>
      <c r="AL826" s="124"/>
      <c r="AM826" s="124"/>
      <c r="AN826" s="124"/>
      <c r="AO826" s="124"/>
      <c r="AP826" s="124"/>
      <c r="AQ826" s="124"/>
      <c r="AR826" s="124"/>
      <c r="AS826" s="124"/>
      <c r="AT826" s="124"/>
      <c r="AU826" s="124"/>
      <c r="AV826" s="124"/>
      <c r="AW826" s="124"/>
      <c r="AX826" s="124"/>
      <c r="AY826" s="124"/>
      <c r="AZ826"/>
      <c r="BA826"/>
      <c r="BB826"/>
      <c r="BC826"/>
      <c r="BD826"/>
      <c r="BE826"/>
      <c r="BF826"/>
      <c r="BG826" s="125">
        <f>+BG825/12</f>
        <v>333333333.33333331</v>
      </c>
      <c r="BH826"/>
      <c r="BI826"/>
      <c r="BJ826"/>
      <c r="BK826"/>
      <c r="BL826"/>
      <c r="BM826"/>
      <c r="BN826"/>
      <c r="BO826"/>
      <c r="BP826"/>
      <c r="BQ826"/>
      <c r="BR826"/>
      <c r="BS826"/>
      <c r="BT826"/>
    </row>
    <row r="835" spans="1:72">
      <c r="A835" s="6"/>
      <c r="B835" s="6"/>
      <c r="C835" s="6"/>
      <c r="M835" s="136">
        <v>23</v>
      </c>
      <c r="N835" s="136">
        <v>75000000</v>
      </c>
      <c r="O835" s="136" t="s">
        <v>157</v>
      </c>
      <c r="P835" s="124"/>
      <c r="Q835" s="124"/>
      <c r="R835" s="124"/>
      <c r="S835" s="124"/>
      <c r="T835" s="124"/>
      <c r="U835" s="124"/>
      <c r="V835" s="124"/>
      <c r="W835"/>
      <c r="X835"/>
      <c r="Y835"/>
      <c r="Z835"/>
      <c r="AA835"/>
      <c r="AB835"/>
      <c r="AC835"/>
      <c r="AD835"/>
      <c r="AE835"/>
      <c r="AF835"/>
      <c r="AG835"/>
      <c r="AH835"/>
      <c r="AI835" s="124"/>
      <c r="AJ835" s="124"/>
      <c r="AK835" s="124"/>
      <c r="AL835" s="124"/>
      <c r="AM835" s="124"/>
      <c r="AN835" s="124"/>
      <c r="AO835" s="124"/>
      <c r="AP835" s="124"/>
      <c r="AQ835" s="124"/>
      <c r="AR835" s="124"/>
      <c r="AS835" s="124"/>
      <c r="AT835" s="124"/>
      <c r="AU835" s="124"/>
      <c r="AV835" s="124"/>
      <c r="AW835" s="124"/>
      <c r="AX835" s="124"/>
      <c r="AY835" s="124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</row>
    <row r="836" spans="1:72">
      <c r="A836" s="6"/>
      <c r="B836" s="6"/>
      <c r="C836" s="6"/>
      <c r="D836" s="597" t="s">
        <v>3</v>
      </c>
      <c r="E836" s="598"/>
      <c r="F836" s="598"/>
      <c r="G836" s="598"/>
      <c r="H836" s="598"/>
      <c r="I836" s="598"/>
      <c r="J836" s="598"/>
      <c r="K836" s="598"/>
      <c r="L836" s="598"/>
      <c r="M836" s="598"/>
      <c r="N836" s="598"/>
      <c r="O836" s="598"/>
      <c r="P836" s="124"/>
      <c r="Q836" s="124"/>
      <c r="R836" s="124"/>
      <c r="S836" s="124"/>
      <c r="T836" s="124"/>
      <c r="U836" s="124"/>
      <c r="V836" s="124"/>
      <c r="W836"/>
      <c r="X836"/>
      <c r="Y836"/>
      <c r="Z836"/>
      <c r="AA836"/>
      <c r="AB836"/>
      <c r="AC836"/>
      <c r="AD836"/>
      <c r="AE836"/>
      <c r="AF836"/>
      <c r="AG836"/>
      <c r="AH836"/>
      <c r="AI836" s="124"/>
      <c r="AJ836" s="124"/>
      <c r="AK836" s="124"/>
      <c r="AL836" s="124"/>
      <c r="AM836" s="124"/>
      <c r="AN836" s="124"/>
      <c r="AO836" s="124"/>
      <c r="AP836" s="124"/>
      <c r="AQ836" s="124"/>
      <c r="AR836" s="124"/>
      <c r="AS836" s="124"/>
      <c r="AT836" s="124"/>
      <c r="AU836" s="124"/>
      <c r="AV836" s="124"/>
      <c r="AW836" s="124"/>
      <c r="AX836" s="124"/>
      <c r="AY836" s="124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</row>
    <row r="837" spans="1:72">
      <c r="A837" s="6"/>
      <c r="B837" s="6"/>
      <c r="C837" s="6"/>
      <c r="D837" s="523" t="s">
        <v>126</v>
      </c>
      <c r="E837" s="523"/>
      <c r="F837" s="523"/>
      <c r="G837" s="523"/>
      <c r="H837" s="523"/>
      <c r="I837" s="523"/>
      <c r="J837" s="523"/>
      <c r="K837" s="523"/>
      <c r="L837" s="523"/>
      <c r="M837" s="523"/>
      <c r="N837" s="523"/>
      <c r="O837" s="599"/>
      <c r="P837" s="124"/>
      <c r="Q837" s="124"/>
      <c r="R837" s="124"/>
      <c r="S837" s="124"/>
      <c r="T837" s="124"/>
      <c r="U837" s="124"/>
      <c r="V837" s="124"/>
      <c r="W837"/>
      <c r="X837"/>
      <c r="Y837"/>
      <c r="Z837"/>
      <c r="AA837"/>
      <c r="AB837"/>
      <c r="AC837"/>
      <c r="AD837"/>
      <c r="AE837"/>
      <c r="AF837"/>
      <c r="AG837"/>
      <c r="AH837"/>
      <c r="AI837" s="124"/>
      <c r="AJ837" s="124"/>
      <c r="AK837" s="124"/>
      <c r="AL837" s="124"/>
      <c r="AM837" s="124"/>
      <c r="AN837" s="124"/>
      <c r="AO837" s="124"/>
      <c r="AP837" s="124"/>
      <c r="AQ837" s="124"/>
      <c r="AR837" s="124"/>
      <c r="AS837" s="124"/>
      <c r="AT837" s="124"/>
      <c r="AU837" s="124"/>
      <c r="AV837" s="124"/>
      <c r="AW837" s="124"/>
      <c r="AX837" s="124"/>
      <c r="AY837" s="124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</row>
    <row r="838" spans="1:72">
      <c r="A838" s="6"/>
      <c r="B838" s="6"/>
      <c r="C838" s="6"/>
      <c r="D838" s="143" t="s">
        <v>4</v>
      </c>
      <c r="E838" s="143" t="s">
        <v>5</v>
      </c>
      <c r="F838" s="143" t="s">
        <v>6</v>
      </c>
      <c r="G838" s="143" t="s">
        <v>7</v>
      </c>
      <c r="H838" s="143" t="s">
        <v>8</v>
      </c>
      <c r="I838" s="143" t="s">
        <v>9</v>
      </c>
      <c r="J838" s="143" t="s">
        <v>127</v>
      </c>
      <c r="K838" s="143" t="s">
        <v>129</v>
      </c>
      <c r="L838" s="143" t="s">
        <v>142</v>
      </c>
      <c r="M838" s="143" t="s">
        <v>131</v>
      </c>
      <c r="N838" s="143" t="s">
        <v>132</v>
      </c>
      <c r="O838" s="144" t="s">
        <v>133</v>
      </c>
      <c r="P838" s="124"/>
      <c r="Q838" s="124"/>
      <c r="R838" s="124"/>
      <c r="S838" s="124"/>
      <c r="T838" s="124"/>
      <c r="U838" s="124"/>
      <c r="V838" s="124"/>
      <c r="W838"/>
      <c r="X838"/>
      <c r="Y838"/>
      <c r="Z838"/>
      <c r="AA838"/>
      <c r="AB838"/>
      <c r="AC838"/>
      <c r="AD838"/>
      <c r="AE838"/>
      <c r="AF838"/>
      <c r="AG838"/>
      <c r="AH838"/>
      <c r="AI838" s="124"/>
      <c r="AJ838" s="124"/>
      <c r="AK838" s="124"/>
      <c r="AL838" s="124"/>
      <c r="AM838" s="124"/>
      <c r="AN838" s="124"/>
      <c r="AO838" s="124"/>
      <c r="AP838" s="124"/>
      <c r="AQ838" s="124"/>
      <c r="AR838" s="124"/>
      <c r="AS838" s="124"/>
      <c r="AT838" s="124"/>
      <c r="AU838" s="124"/>
      <c r="AV838" s="124"/>
      <c r="AW838" s="124"/>
      <c r="AX838" s="124"/>
      <c r="AY838" s="124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</row>
    <row r="839" spans="1:72">
      <c r="A839" s="6"/>
      <c r="B839" s="6"/>
      <c r="C839" s="6"/>
      <c r="D839" s="143">
        <v>-2</v>
      </c>
      <c r="E839" s="157">
        <v>5.6200000000000045</v>
      </c>
      <c r="F839" s="157">
        <v>3.8399999999999892</v>
      </c>
      <c r="G839" s="157">
        <v>-1.0599999999999881</v>
      </c>
      <c r="H839" s="157">
        <v>-3.1400000000000006</v>
      </c>
      <c r="I839" s="157">
        <v>-10.969999999999999</v>
      </c>
      <c r="J839" s="157">
        <v>1.6699999999999875</v>
      </c>
      <c r="K839" s="157">
        <v>4.0400000000000063</v>
      </c>
      <c r="L839" s="157">
        <v>2</v>
      </c>
      <c r="M839" s="157">
        <v>0</v>
      </c>
      <c r="N839" s="157">
        <v>0</v>
      </c>
      <c r="O839" s="159">
        <v>0</v>
      </c>
      <c r="P839" s="124"/>
      <c r="Q839" s="124"/>
      <c r="R839" s="124"/>
      <c r="S839" s="124"/>
      <c r="T839" s="124"/>
      <c r="U839" s="124"/>
      <c r="V839" s="124"/>
      <c r="W839"/>
      <c r="X839"/>
      <c r="Y839"/>
      <c r="Z839"/>
      <c r="AA839"/>
      <c r="AB839"/>
      <c r="AC839"/>
      <c r="AD839"/>
      <c r="AE839"/>
      <c r="AF839"/>
      <c r="AG839"/>
      <c r="AH839"/>
      <c r="AI839" s="124"/>
      <c r="AJ839" s="124"/>
      <c r="AK839" s="124"/>
      <c r="AL839" s="124"/>
      <c r="AM839" s="124"/>
      <c r="AN839" s="124"/>
      <c r="AO839" s="124"/>
      <c r="AP839" s="124"/>
      <c r="AQ839" s="124"/>
      <c r="AR839" s="124"/>
      <c r="AS839" s="124"/>
      <c r="AT839" s="124"/>
      <c r="AU839" s="124"/>
      <c r="AV839" s="124"/>
      <c r="AW839" s="124"/>
      <c r="AX839" s="124"/>
      <c r="AY839" s="124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</row>
    <row r="840" spans="1:72">
      <c r="A840" s="6"/>
      <c r="B840" s="6"/>
      <c r="C840" s="6"/>
      <c r="D840" s="142">
        <v>80</v>
      </c>
      <c r="E840" s="142">
        <v>85.62</v>
      </c>
      <c r="F840" s="142">
        <v>89.46</v>
      </c>
      <c r="G840" s="142">
        <v>88.4</v>
      </c>
      <c r="H840" s="142">
        <v>85.26</v>
      </c>
      <c r="I840" s="142">
        <v>74.290000000000006</v>
      </c>
      <c r="J840" s="142">
        <v>75.959999999999994</v>
      </c>
      <c r="K840" s="143">
        <v>80</v>
      </c>
      <c r="L840" s="143">
        <v>82</v>
      </c>
      <c r="M840" s="143">
        <v>82</v>
      </c>
      <c r="N840" s="143">
        <v>82</v>
      </c>
      <c r="O840" s="144">
        <v>82</v>
      </c>
      <c r="P840" s="124"/>
      <c r="Q840" s="124"/>
      <c r="R840" s="124"/>
      <c r="S840" s="124"/>
      <c r="T840" s="124"/>
      <c r="U840" s="124"/>
      <c r="V840" s="124"/>
      <c r="W840"/>
      <c r="X840"/>
      <c r="Y840"/>
      <c r="Z840"/>
      <c r="AA840"/>
      <c r="AB840"/>
      <c r="AC840"/>
      <c r="AD840"/>
      <c r="AE840"/>
      <c r="AF840"/>
      <c r="AG840"/>
      <c r="AH840"/>
      <c r="AI840" s="124"/>
      <c r="AJ840" s="124"/>
      <c r="AK840" s="124"/>
      <c r="AL840" s="124"/>
      <c r="AM840" s="124"/>
      <c r="AN840" s="124"/>
      <c r="AO840" s="124"/>
      <c r="AP840" s="124"/>
      <c r="AQ840" s="124"/>
      <c r="AR840" s="124"/>
      <c r="AS840" s="124"/>
      <c r="AT840" s="124"/>
      <c r="AU840" s="124"/>
      <c r="AV840" s="124"/>
      <c r="AW840" s="124"/>
      <c r="AX840" s="124"/>
      <c r="AY840" s="124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</row>
    <row r="841" spans="1:72">
      <c r="A841" s="6"/>
      <c r="B841" s="6"/>
      <c r="C841" s="6"/>
      <c r="D841" s="143">
        <v>-2684937136.513546</v>
      </c>
      <c r="E841" s="143">
        <v>-2603441454.9025493</v>
      </c>
      <c r="F841" s="143">
        <v>-2478419115.9850154</v>
      </c>
      <c r="G841" s="143">
        <v>-2321984719.2530484</v>
      </c>
      <c r="H841" s="143">
        <v>-2174554327.1264386</v>
      </c>
      <c r="I841" s="143">
        <v>-2053513449.3126054</v>
      </c>
      <c r="J841" s="143">
        <v>-2021772855.79495</v>
      </c>
      <c r="K841" s="143">
        <v>-1977929094.3655491</v>
      </c>
      <c r="L841" s="143">
        <v>-1904316844.9743991</v>
      </c>
      <c r="M841" s="143">
        <v>-1448065775.3776941</v>
      </c>
      <c r="N841" s="143">
        <v>-1043252269.8730979</v>
      </c>
      <c r="O841" s="144">
        <v>-764952625.74951124</v>
      </c>
      <c r="P841" s="124"/>
      <c r="Q841" s="124"/>
      <c r="R841" s="124"/>
      <c r="S841" s="124"/>
      <c r="T841" s="124"/>
      <c r="U841" s="124"/>
      <c r="V841" s="124"/>
      <c r="W841"/>
      <c r="X841"/>
      <c r="Y841"/>
      <c r="Z841"/>
      <c r="AA841"/>
      <c r="AB841"/>
      <c r="AC841"/>
      <c r="AD841"/>
      <c r="AE841"/>
      <c r="AF841"/>
      <c r="AG841"/>
      <c r="AH841"/>
      <c r="AI841" s="124"/>
      <c r="AJ841" s="124"/>
      <c r="AK841" s="124"/>
      <c r="AL841" s="124"/>
      <c r="AM841" s="124"/>
      <c r="AN841" s="124"/>
      <c r="AO841" s="124"/>
      <c r="AP841" s="124"/>
      <c r="AQ841" s="124"/>
      <c r="AR841" s="124"/>
      <c r="AS841" s="124"/>
      <c r="AT841" s="124"/>
      <c r="AU841" s="124"/>
      <c r="AV841" s="124"/>
      <c r="AW841" s="124"/>
      <c r="AX841" s="124"/>
      <c r="AY841" s="124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</row>
    <row r="842" spans="1:72">
      <c r="A842" s="6"/>
      <c r="B842" s="6"/>
      <c r="C842" s="6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4"/>
      <c r="P842" s="124"/>
      <c r="Q842" s="124"/>
      <c r="R842" s="124"/>
      <c r="S842" s="124"/>
      <c r="T842" s="124"/>
      <c r="U842" s="124"/>
      <c r="V842" s="124"/>
      <c r="W842"/>
      <c r="X842"/>
      <c r="Y842"/>
      <c r="Z842"/>
      <c r="AA842"/>
      <c r="AB842"/>
      <c r="AC842"/>
      <c r="AD842"/>
      <c r="AE842"/>
      <c r="AF842"/>
      <c r="AG842"/>
      <c r="AH842"/>
      <c r="AI842" s="124"/>
      <c r="AJ842" s="124"/>
      <c r="AK842" s="124"/>
      <c r="AL842" s="124"/>
      <c r="AM842" s="124"/>
      <c r="AN842" s="124"/>
      <c r="AO842" s="124"/>
      <c r="AP842" s="124"/>
      <c r="AQ842" s="124"/>
      <c r="AR842" s="124"/>
      <c r="AS842" s="124"/>
      <c r="AT842" s="124"/>
      <c r="AU842" s="124"/>
      <c r="AV842" s="124"/>
      <c r="AW842" s="124"/>
      <c r="AX842" s="124"/>
      <c r="AY842" s="124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</row>
    <row r="843" spans="1:72">
      <c r="A843" s="6"/>
      <c r="B843" s="6"/>
      <c r="C843" s="6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4"/>
      <c r="P843" s="124"/>
      <c r="Q843" s="124"/>
      <c r="R843" s="124"/>
      <c r="S843" s="124"/>
      <c r="T843" s="124"/>
      <c r="U843" s="124"/>
      <c r="V843" s="124"/>
      <c r="W843"/>
      <c r="X843"/>
      <c r="Y843"/>
      <c r="Z843"/>
      <c r="AA843"/>
      <c r="AB843"/>
      <c r="AC843"/>
      <c r="AD843"/>
      <c r="AE843"/>
      <c r="AF843"/>
      <c r="AG843"/>
      <c r="AH843"/>
      <c r="AI843" s="124"/>
      <c r="AJ843" s="124"/>
      <c r="AK843" s="124"/>
      <c r="AL843" s="124"/>
      <c r="AM843" s="124"/>
      <c r="AN843" s="124"/>
      <c r="AO843" s="124"/>
      <c r="AP843" s="124"/>
      <c r="AQ843" s="124"/>
      <c r="AR843" s="124"/>
      <c r="AS843" s="124"/>
      <c r="AT843" s="124"/>
      <c r="AU843" s="124"/>
      <c r="AV843" s="124"/>
      <c r="AW843" s="124"/>
      <c r="AX843" s="124"/>
      <c r="AY843" s="124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</row>
    <row r="844" spans="1:72">
      <c r="A844" s="6"/>
      <c r="B844" s="6"/>
      <c r="C844" s="6"/>
      <c r="D844" s="143">
        <v>1184621023.4841964</v>
      </c>
      <c r="E844" s="143">
        <v>1251196725.0040083</v>
      </c>
      <c r="F844" s="143">
        <v>1299242679.2441621</v>
      </c>
      <c r="G844" s="143">
        <v>1285470706.8441741</v>
      </c>
      <c r="H844" s="143">
        <v>1245106926.649267</v>
      </c>
      <c r="I844" s="143">
        <v>1108518696.7958424</v>
      </c>
      <c r="J844" s="143">
        <v>1127030959.0323329</v>
      </c>
      <c r="K844" s="143">
        <v>1172563009.7772393</v>
      </c>
      <c r="L844" s="143">
        <v>1196014269.972784</v>
      </c>
      <c r="M844" s="143">
        <v>1196014269.972784</v>
      </c>
      <c r="N844" s="143">
        <v>1196014269.972784</v>
      </c>
      <c r="O844" s="144">
        <v>1196014269.972784</v>
      </c>
      <c r="P844" s="124"/>
      <c r="Q844" s="124"/>
      <c r="R844" s="124"/>
      <c r="S844" s="124"/>
      <c r="T844" s="124"/>
      <c r="U844" s="124"/>
      <c r="V844" s="124"/>
      <c r="W844"/>
      <c r="X844"/>
      <c r="Y844"/>
      <c r="Z844"/>
      <c r="AA844"/>
      <c r="AB844"/>
      <c r="AC844"/>
      <c r="AD844"/>
      <c r="AE844"/>
      <c r="AF844"/>
      <c r="AG844"/>
      <c r="AH844"/>
      <c r="AI844" s="124"/>
      <c r="AJ844" s="124"/>
      <c r="AK844" s="124"/>
      <c r="AL844" s="124"/>
      <c r="AM844" s="124"/>
      <c r="AN844" s="124"/>
      <c r="AO844" s="124"/>
      <c r="AP844" s="124"/>
      <c r="AQ844" s="124"/>
      <c r="AR844" s="124"/>
      <c r="AS844" s="124"/>
      <c r="AT844" s="124"/>
      <c r="AU844" s="124"/>
      <c r="AV844" s="124"/>
      <c r="AW844" s="124"/>
      <c r="AX844" s="124"/>
      <c r="AY844" s="12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</row>
    <row r="845" spans="1:72">
      <c r="A845" s="6"/>
      <c r="B845" s="6"/>
      <c r="C845" s="6"/>
      <c r="D845" s="143">
        <v>311995152</v>
      </c>
      <c r="E845" s="143">
        <v>329529279.5424</v>
      </c>
      <c r="F845" s="143">
        <v>342183203.87682813</v>
      </c>
      <c r="G845" s="143">
        <v>338556061.91573381</v>
      </c>
      <c r="H845" s="143">
        <v>327925401.57157975</v>
      </c>
      <c r="I845" s="143">
        <v>291951985.01917744</v>
      </c>
      <c r="J845" s="143">
        <v>296827583.16899765</v>
      </c>
      <c r="K845" s="143">
        <v>308819417.5290252</v>
      </c>
      <c r="L845" s="143">
        <v>314995805.87960571</v>
      </c>
      <c r="M845" s="143">
        <v>314995805.87960571</v>
      </c>
      <c r="N845" s="143">
        <v>314995805.87960571</v>
      </c>
      <c r="O845" s="144">
        <v>314995805.87960571</v>
      </c>
      <c r="P845" s="124"/>
      <c r="Q845" s="124"/>
      <c r="R845" s="124"/>
      <c r="S845" s="124"/>
      <c r="T845" s="124"/>
      <c r="U845" s="124"/>
      <c r="V845" s="124"/>
      <c r="W845"/>
      <c r="X845"/>
      <c r="Y845"/>
      <c r="Z845"/>
      <c r="AA845"/>
      <c r="AB845"/>
      <c r="AC845"/>
      <c r="AD845"/>
      <c r="AE845"/>
      <c r="AF845"/>
      <c r="AG845"/>
      <c r="AH845"/>
      <c r="AI845" s="124"/>
      <c r="AJ845" s="124"/>
      <c r="AK845" s="124"/>
      <c r="AL845" s="124"/>
      <c r="AM845" s="124"/>
      <c r="AN845" s="124"/>
      <c r="AO845" s="124"/>
      <c r="AP845" s="124"/>
      <c r="AQ845" s="124"/>
      <c r="AR845" s="124"/>
      <c r="AS845" s="124"/>
      <c r="AT845" s="124"/>
      <c r="AU845" s="124"/>
      <c r="AV845" s="124"/>
      <c r="AW845" s="124"/>
      <c r="AX845" s="124"/>
      <c r="AY845" s="124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</row>
    <row r="846" spans="1:72">
      <c r="A846" s="6"/>
      <c r="B846" s="6"/>
      <c r="C846" s="6"/>
      <c r="D846" s="143">
        <v>2138972493.6300001</v>
      </c>
      <c r="E846" s="143">
        <v>2259182747.772006</v>
      </c>
      <c r="F846" s="143">
        <v>2345935365.2864509</v>
      </c>
      <c r="G846" s="143">
        <v>2321068450.4144149</v>
      </c>
      <c r="H846" s="143">
        <v>2248186901.0714021</v>
      </c>
      <c r="I846" s="143">
        <v>2001560798.0238693</v>
      </c>
      <c r="J846" s="143">
        <v>2034986863.3508677</v>
      </c>
      <c r="K846" s="143">
        <v>2117200332.6302428</v>
      </c>
      <c r="L846" s="143">
        <v>2159544339.2828479</v>
      </c>
      <c r="M846" s="143">
        <v>2159544339.2828479</v>
      </c>
      <c r="N846" s="143">
        <v>2159544339.2828479</v>
      </c>
      <c r="O846" s="143">
        <v>2159544339.2828479</v>
      </c>
      <c r="P846" s="124"/>
      <c r="Q846" s="124"/>
      <c r="R846" s="124"/>
      <c r="S846" s="124"/>
      <c r="T846" s="124"/>
      <c r="U846" s="124"/>
      <c r="V846" s="124"/>
      <c r="W846"/>
      <c r="X846"/>
      <c r="Y846"/>
      <c r="Z846"/>
      <c r="AA846"/>
      <c r="AB846"/>
      <c r="AC846"/>
      <c r="AD846"/>
      <c r="AE846"/>
      <c r="AF846"/>
      <c r="AG846"/>
      <c r="AH846"/>
      <c r="AI846" s="124"/>
      <c r="AJ846" s="124"/>
      <c r="AK846" s="124"/>
      <c r="AL846" s="124"/>
      <c r="AM846" s="124"/>
      <c r="AN846" s="124"/>
      <c r="AO846" s="124"/>
      <c r="AP846" s="124"/>
      <c r="AQ846" s="124"/>
      <c r="AR846" s="124"/>
      <c r="AS846" s="124"/>
      <c r="AT846" s="124"/>
      <c r="AU846" s="124"/>
      <c r="AV846" s="124"/>
      <c r="AW846" s="124"/>
      <c r="AX846" s="124"/>
      <c r="AY846" s="124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</row>
    <row r="847" spans="1:72">
      <c r="A847" s="6"/>
      <c r="B847" s="6"/>
      <c r="C847" s="6"/>
      <c r="D847" s="143">
        <v>354097062.49680001</v>
      </c>
      <c r="E847" s="143">
        <v>373997317.4091202</v>
      </c>
      <c r="F847" s="143">
        <v>388358814.39763039</v>
      </c>
      <c r="G847" s="143">
        <v>384242210.96501553</v>
      </c>
      <c r="H847" s="143">
        <v>372177005.54071403</v>
      </c>
      <c r="I847" s="143">
        <v>331349188.03289771</v>
      </c>
      <c r="J847" s="143">
        <v>336882719.47304708</v>
      </c>
      <c r="K847" s="143">
        <v>350492781.33975822</v>
      </c>
      <c r="L847" s="143">
        <v>312043723.22678673</v>
      </c>
      <c r="M847" s="143">
        <v>312043723.22678673</v>
      </c>
      <c r="N847" s="143">
        <v>312043723.22678673</v>
      </c>
      <c r="O847" s="144">
        <v>312043723.22678673</v>
      </c>
      <c r="P847" s="124"/>
      <c r="Q847" s="124"/>
      <c r="R847" s="124"/>
      <c r="S847" s="124"/>
      <c r="T847" s="124"/>
      <c r="U847" s="124"/>
      <c r="V847" s="124"/>
      <c r="W847"/>
      <c r="X847"/>
      <c r="Y847"/>
      <c r="Z847"/>
      <c r="AA847"/>
      <c r="AB847"/>
      <c r="AC847"/>
      <c r="AD847"/>
      <c r="AE847"/>
      <c r="AF847"/>
      <c r="AG847"/>
      <c r="AH847"/>
      <c r="AI847" s="124"/>
      <c r="AJ847" s="124"/>
      <c r="AK847" s="124"/>
      <c r="AL847" s="124"/>
      <c r="AM847" s="124"/>
      <c r="AN847" s="124"/>
      <c r="AO847" s="124"/>
      <c r="AP847" s="124"/>
      <c r="AQ847" s="124"/>
      <c r="AR847" s="124"/>
      <c r="AS847" s="124"/>
      <c r="AT847" s="124"/>
      <c r="AU847" s="124"/>
      <c r="AV847" s="124"/>
      <c r="AW847" s="124"/>
      <c r="AX847" s="124"/>
      <c r="AY847" s="124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</row>
    <row r="848" spans="1:72">
      <c r="A848" s="6"/>
      <c r="B848" s="6"/>
      <c r="C848" s="6"/>
      <c r="D848" s="143">
        <v>0</v>
      </c>
      <c r="E848" s="143">
        <v>0</v>
      </c>
      <c r="F848" s="143">
        <v>0</v>
      </c>
      <c r="G848" s="143">
        <v>0</v>
      </c>
      <c r="H848" s="143">
        <v>0</v>
      </c>
      <c r="I848" s="143">
        <v>0</v>
      </c>
      <c r="J848" s="143">
        <v>0</v>
      </c>
      <c r="K848" s="143">
        <v>0</v>
      </c>
      <c r="L848" s="143">
        <v>0</v>
      </c>
      <c r="M848" s="143">
        <v>0</v>
      </c>
      <c r="N848" s="143">
        <v>0</v>
      </c>
      <c r="O848" s="144">
        <v>0</v>
      </c>
      <c r="P848" s="124"/>
      <c r="Q848" s="124"/>
      <c r="R848" s="124"/>
      <c r="S848" s="124"/>
      <c r="T848" s="124"/>
      <c r="U848" s="124"/>
      <c r="V848" s="124"/>
      <c r="W848"/>
      <c r="X848"/>
      <c r="Y848"/>
      <c r="Z848"/>
      <c r="AA848"/>
      <c r="AB848"/>
      <c r="AC848"/>
      <c r="AD848"/>
      <c r="AE848"/>
      <c r="AF848"/>
      <c r="AG848"/>
      <c r="AH848"/>
      <c r="AI848" s="124"/>
      <c r="AJ848" s="124"/>
      <c r="AK848" s="124"/>
      <c r="AL848" s="124"/>
      <c r="AM848" s="124"/>
      <c r="AN848" s="124"/>
      <c r="AO848" s="124"/>
      <c r="AP848" s="124"/>
      <c r="AQ848" s="124"/>
      <c r="AR848" s="124"/>
      <c r="AS848" s="124"/>
      <c r="AT848" s="124"/>
      <c r="AU848" s="124"/>
      <c r="AV848" s="124"/>
      <c r="AW848" s="124"/>
      <c r="AX848" s="124"/>
      <c r="AY848" s="124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</row>
    <row r="849" spans="1:72">
      <c r="A849" s="6"/>
      <c r="B849" s="6"/>
      <c r="C849" s="6"/>
      <c r="D849" s="143">
        <v>0</v>
      </c>
      <c r="E849" s="143">
        <v>0</v>
      </c>
      <c r="F849" s="143">
        <v>0</v>
      </c>
      <c r="G849" s="143">
        <v>0</v>
      </c>
      <c r="H849" s="143">
        <v>0</v>
      </c>
      <c r="I849" s="143">
        <v>0</v>
      </c>
      <c r="J849" s="143">
        <v>0</v>
      </c>
      <c r="K849" s="143">
        <v>0</v>
      </c>
      <c r="L849" s="143">
        <v>0</v>
      </c>
      <c r="M849" s="143">
        <v>0</v>
      </c>
      <c r="N849" s="143">
        <v>0</v>
      </c>
      <c r="O849" s="144">
        <v>0</v>
      </c>
      <c r="P849" s="124"/>
      <c r="Q849" s="124"/>
      <c r="R849" s="124"/>
      <c r="S849" s="124"/>
      <c r="T849" s="124"/>
      <c r="U849" s="124"/>
      <c r="V849" s="124"/>
      <c r="W849"/>
      <c r="X849"/>
      <c r="Y849"/>
      <c r="Z849"/>
      <c r="AA849"/>
      <c r="AB849"/>
      <c r="AC849"/>
      <c r="AD849"/>
      <c r="AE849"/>
      <c r="AF849"/>
      <c r="AG849"/>
      <c r="AH849"/>
      <c r="AI849" s="124"/>
      <c r="AJ849" s="124"/>
      <c r="AK849" s="124"/>
      <c r="AL849" s="124"/>
      <c r="AM849" s="124"/>
      <c r="AN849" s="124"/>
      <c r="AO849" s="124"/>
      <c r="AP849" s="124"/>
      <c r="AQ849" s="124"/>
      <c r="AR849" s="124"/>
      <c r="AS849" s="124"/>
      <c r="AT849" s="124"/>
      <c r="AU849" s="124"/>
      <c r="AV849" s="124"/>
      <c r="AW849" s="124"/>
      <c r="AX849" s="124"/>
      <c r="AY849" s="124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</row>
    <row r="850" spans="1:72">
      <c r="A850" s="6"/>
      <c r="B850" s="6"/>
      <c r="C850" s="6"/>
      <c r="D850" s="143">
        <v>0</v>
      </c>
      <c r="E850" s="143">
        <v>0</v>
      </c>
      <c r="F850" s="143">
        <v>0</v>
      </c>
      <c r="G850" s="143">
        <v>0</v>
      </c>
      <c r="H850" s="143">
        <v>0</v>
      </c>
      <c r="I850" s="143">
        <v>0</v>
      </c>
      <c r="J850" s="143">
        <v>0</v>
      </c>
      <c r="K850" s="143">
        <v>0</v>
      </c>
      <c r="L850" s="143">
        <v>0</v>
      </c>
      <c r="M850" s="143">
        <v>0</v>
      </c>
      <c r="N850" s="143">
        <v>0</v>
      </c>
      <c r="O850" s="144">
        <v>0</v>
      </c>
      <c r="P850" s="124"/>
      <c r="Q850" s="124"/>
      <c r="R850" s="124"/>
      <c r="S850" s="124"/>
      <c r="T850" s="124"/>
      <c r="U850" s="124"/>
      <c r="V850" s="124"/>
      <c r="W850"/>
      <c r="X850"/>
      <c r="Y850"/>
      <c r="Z850"/>
      <c r="AA850"/>
      <c r="AB850"/>
      <c r="AC850"/>
      <c r="AD850"/>
      <c r="AE850"/>
      <c r="AF850"/>
      <c r="AG850"/>
      <c r="AH850"/>
      <c r="AI850" s="124"/>
      <c r="AJ850" s="124"/>
      <c r="AK850" s="124"/>
      <c r="AL850" s="124"/>
      <c r="AM850" s="124"/>
      <c r="AN850" s="124"/>
      <c r="AO850" s="124"/>
      <c r="AP850" s="124"/>
      <c r="AQ850" s="124"/>
      <c r="AR850" s="124"/>
      <c r="AS850" s="124"/>
      <c r="AT850" s="124"/>
      <c r="AU850" s="124"/>
      <c r="AV850" s="124"/>
      <c r="AW850" s="124"/>
      <c r="AX850" s="124"/>
      <c r="AY850" s="124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</row>
    <row r="851" spans="1:72">
      <c r="A851" s="6"/>
      <c r="B851" s="6"/>
      <c r="C851" s="6"/>
      <c r="D851" s="143">
        <v>0</v>
      </c>
      <c r="E851" s="143">
        <v>0</v>
      </c>
      <c r="F851" s="143">
        <v>0</v>
      </c>
      <c r="G851" s="143">
        <v>0</v>
      </c>
      <c r="H851" s="143">
        <v>0</v>
      </c>
      <c r="I851" s="143">
        <v>0</v>
      </c>
      <c r="J851" s="143">
        <v>0</v>
      </c>
      <c r="K851" s="143">
        <v>0</v>
      </c>
      <c r="L851" s="143">
        <v>0</v>
      </c>
      <c r="M851" s="143">
        <v>0</v>
      </c>
      <c r="N851" s="143">
        <v>0</v>
      </c>
      <c r="O851" s="144">
        <v>0</v>
      </c>
      <c r="P851" s="124"/>
      <c r="Q851" s="124"/>
      <c r="R851" s="124"/>
      <c r="S851" s="124"/>
      <c r="T851" s="124"/>
      <c r="U851" s="124"/>
      <c r="V851" s="124"/>
      <c r="W851"/>
      <c r="X851"/>
      <c r="Y851"/>
      <c r="Z851"/>
      <c r="AA851"/>
      <c r="AB851"/>
      <c r="AC851"/>
      <c r="AD851"/>
      <c r="AE851"/>
      <c r="AF851"/>
      <c r="AG851"/>
      <c r="AH851"/>
      <c r="AI851" s="124"/>
      <c r="AJ851" s="124"/>
      <c r="AK851" s="124"/>
      <c r="AL851" s="124"/>
      <c r="AM851" s="124"/>
      <c r="AN851" s="124"/>
      <c r="AO851" s="124"/>
      <c r="AP851" s="124"/>
      <c r="AQ851" s="124"/>
      <c r="AR851" s="124"/>
      <c r="AS851" s="124"/>
      <c r="AT851" s="124"/>
      <c r="AU851" s="124"/>
      <c r="AV851" s="124"/>
      <c r="AW851" s="124"/>
      <c r="AX851" s="124"/>
      <c r="AY851" s="124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</row>
    <row r="852" spans="1:72">
      <c r="A852" s="6"/>
      <c r="B852" s="6"/>
      <c r="C852" s="6"/>
      <c r="D852" s="143">
        <v>0</v>
      </c>
      <c r="E852" s="143">
        <v>0</v>
      </c>
      <c r="F852" s="143">
        <v>0</v>
      </c>
      <c r="G852" s="143">
        <v>0</v>
      </c>
      <c r="H852" s="143">
        <v>0</v>
      </c>
      <c r="I852" s="143">
        <v>0</v>
      </c>
      <c r="J852" s="143">
        <v>0</v>
      </c>
      <c r="K852" s="143">
        <v>0</v>
      </c>
      <c r="L852" s="143">
        <v>0</v>
      </c>
      <c r="M852" s="143">
        <v>0</v>
      </c>
      <c r="N852" s="143">
        <v>0</v>
      </c>
      <c r="O852" s="144">
        <v>0</v>
      </c>
      <c r="P852" s="124"/>
      <c r="Q852" s="124"/>
      <c r="R852" s="124"/>
      <c r="S852" s="124"/>
      <c r="T852" s="124"/>
      <c r="U852" s="124"/>
      <c r="V852" s="124"/>
      <c r="W852"/>
      <c r="X852"/>
      <c r="Y852"/>
      <c r="Z852"/>
      <c r="AA852"/>
      <c r="AB852"/>
      <c r="AC852"/>
      <c r="AD852"/>
      <c r="AE852"/>
      <c r="AF852"/>
      <c r="AG852"/>
      <c r="AH852"/>
      <c r="AI852" s="124"/>
      <c r="AJ852" s="124"/>
      <c r="AK852" s="124"/>
      <c r="AL852" s="124"/>
      <c r="AM852" s="124"/>
      <c r="AN852" s="124"/>
      <c r="AO852" s="124"/>
      <c r="AP852" s="124"/>
      <c r="AQ852" s="124"/>
      <c r="AR852" s="124"/>
      <c r="AS852" s="124"/>
      <c r="AT852" s="124"/>
      <c r="AU852" s="124"/>
      <c r="AV852" s="124"/>
      <c r="AW852" s="124"/>
      <c r="AX852" s="124"/>
      <c r="AY852" s="124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</row>
    <row r="853" spans="1:72">
      <c r="A853" s="6"/>
      <c r="B853" s="6"/>
      <c r="C853" s="6"/>
      <c r="D853" s="143">
        <v>280000000</v>
      </c>
      <c r="E853" s="143">
        <v>295736000</v>
      </c>
      <c r="F853" s="143">
        <v>307092262.39999998</v>
      </c>
      <c r="G853" s="143">
        <v>303837084.41856003</v>
      </c>
      <c r="H853" s="143">
        <v>294296599.96781725</v>
      </c>
      <c r="I853" s="143">
        <v>262012262.95134771</v>
      </c>
      <c r="J853" s="143">
        <v>266387867.74263519</v>
      </c>
      <c r="K853" s="143">
        <v>277149937.59943765</v>
      </c>
      <c r="L853" s="143">
        <v>246746589.44477934</v>
      </c>
      <c r="M853" s="143">
        <v>246746589.44477934</v>
      </c>
      <c r="N853" s="143">
        <v>246746589.44477934</v>
      </c>
      <c r="O853" s="144">
        <v>246746589.44477934</v>
      </c>
      <c r="P853" s="124"/>
      <c r="Q853" s="124"/>
      <c r="R853" s="124"/>
      <c r="S853" s="124"/>
      <c r="T853" s="124"/>
      <c r="U853" s="124"/>
      <c r="V853" s="124"/>
      <c r="W853"/>
      <c r="X853"/>
      <c r="Y853"/>
      <c r="Z853"/>
      <c r="AA853"/>
      <c r="AB853"/>
      <c r="AC853"/>
      <c r="AD853"/>
      <c r="AE853"/>
      <c r="AF853"/>
      <c r="AG853"/>
      <c r="AH853"/>
      <c r="AI853" s="124"/>
      <c r="AJ853" s="124"/>
      <c r="AK853" s="124"/>
      <c r="AL853" s="124"/>
      <c r="AM853" s="124"/>
      <c r="AN853" s="124"/>
      <c r="AO853" s="124"/>
      <c r="AP853" s="124"/>
      <c r="AQ853" s="124"/>
      <c r="AR853" s="124"/>
      <c r="AS853" s="124"/>
      <c r="AT853" s="124"/>
      <c r="AU853" s="124"/>
      <c r="AV853" s="124"/>
      <c r="AW853" s="124"/>
      <c r="AX853" s="124"/>
      <c r="AY853" s="124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</row>
    <row r="854" spans="1:72">
      <c r="A854" s="6"/>
      <c r="B854" s="6"/>
      <c r="C854" s="6"/>
      <c r="D854" s="143">
        <v>0</v>
      </c>
      <c r="E854" s="143">
        <v>0</v>
      </c>
      <c r="F854" s="143">
        <v>0</v>
      </c>
      <c r="G854" s="143">
        <v>0</v>
      </c>
      <c r="H854" s="143"/>
      <c r="I854" s="143"/>
      <c r="J854" s="143"/>
      <c r="K854" s="143"/>
      <c r="L854" s="143"/>
      <c r="M854" s="143"/>
      <c r="N854" s="143"/>
      <c r="O854" s="144"/>
      <c r="P854" s="124"/>
      <c r="Q854" s="124"/>
      <c r="R854" s="124"/>
      <c r="S854" s="124"/>
      <c r="T854" s="124"/>
      <c r="U854" s="124"/>
      <c r="V854" s="124"/>
      <c r="W854"/>
      <c r="X854"/>
      <c r="Y854"/>
      <c r="Z854"/>
      <c r="AA854"/>
      <c r="AB854"/>
      <c r="AC854"/>
      <c r="AD854"/>
      <c r="AE854"/>
      <c r="AF854"/>
      <c r="AG854"/>
      <c r="AH854"/>
      <c r="AI854" s="124"/>
      <c r="AJ854" s="124"/>
      <c r="AK854" s="124"/>
      <c r="AL854" s="124"/>
      <c r="AM854" s="124"/>
      <c r="AN854" s="124"/>
      <c r="AO854" s="124"/>
      <c r="AP854" s="124"/>
      <c r="AQ854" s="124"/>
      <c r="AR854" s="124"/>
      <c r="AS854" s="124"/>
      <c r="AT854" s="124"/>
      <c r="AU854" s="124"/>
      <c r="AV854" s="124"/>
      <c r="AW854" s="124"/>
      <c r="AX854" s="124"/>
      <c r="AY854" s="12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</row>
    <row r="855" spans="1:72">
      <c r="A855" s="6"/>
      <c r="B855" s="6"/>
      <c r="C855" s="6"/>
      <c r="D855" s="147">
        <v>4269685731.6109967</v>
      </c>
      <c r="E855" s="147">
        <v>4509642069.7275343</v>
      </c>
      <c r="F855" s="147">
        <v>4682812325.2050714</v>
      </c>
      <c r="G855" s="147">
        <v>4633174514.5578985</v>
      </c>
      <c r="H855" s="147">
        <v>4487692834.8007803</v>
      </c>
      <c r="I855" s="147">
        <v>3995392930.8231349</v>
      </c>
      <c r="J855" s="147">
        <v>4062115992.7678809</v>
      </c>
      <c r="K855" s="147">
        <v>4226225478.8757033</v>
      </c>
      <c r="L855" s="147">
        <v>4229344727.8068037</v>
      </c>
      <c r="M855" s="147">
        <v>4229344727.8068037</v>
      </c>
      <c r="N855" s="147">
        <v>4229344727.8068037</v>
      </c>
      <c r="O855" s="148">
        <v>4229344727.8068037</v>
      </c>
      <c r="P855" s="124"/>
      <c r="Q855" s="124"/>
      <c r="R855" s="124"/>
      <c r="S855" s="124"/>
      <c r="T855" s="124"/>
      <c r="U855" s="124"/>
      <c r="V855" s="124"/>
      <c r="W855"/>
      <c r="X855"/>
      <c r="Y855"/>
      <c r="Z855"/>
      <c r="AA855"/>
      <c r="AB855"/>
      <c r="AC855"/>
      <c r="AD855"/>
      <c r="AE855"/>
      <c r="AF855"/>
      <c r="AG855"/>
      <c r="AH855"/>
      <c r="AI855" s="124"/>
      <c r="AJ855" s="124"/>
      <c r="AK855" s="124"/>
      <c r="AL855" s="124"/>
      <c r="AM855" s="124"/>
      <c r="AN855" s="124"/>
      <c r="AO855" s="124"/>
      <c r="AP855" s="124"/>
      <c r="AQ855" s="124"/>
      <c r="AR855" s="124"/>
      <c r="AS855" s="124"/>
      <c r="AT855" s="124"/>
      <c r="AU855" s="124"/>
      <c r="AV855" s="124"/>
      <c r="AW855" s="124"/>
      <c r="AX855" s="124"/>
      <c r="AY855" s="124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</row>
  </sheetData>
  <mergeCells count="28">
    <mergeCell ref="D836:O836"/>
    <mergeCell ref="D837:O837"/>
    <mergeCell ref="P6:P8"/>
    <mergeCell ref="B17:C17"/>
    <mergeCell ref="B21:C21"/>
    <mergeCell ref="A6:C8"/>
    <mergeCell ref="A10:C10"/>
    <mergeCell ref="B11:C11"/>
    <mergeCell ref="B31:D31"/>
    <mergeCell ref="B106:C106"/>
    <mergeCell ref="A118:C118"/>
    <mergeCell ref="A120:C120"/>
    <mergeCell ref="B9:C9"/>
    <mergeCell ref="B22:C22"/>
    <mergeCell ref="B23:C23"/>
    <mergeCell ref="B27:C27"/>
    <mergeCell ref="B25:C25"/>
    <mergeCell ref="B26:C26"/>
    <mergeCell ref="D6:O6"/>
    <mergeCell ref="D7:O7"/>
    <mergeCell ref="B29:C29"/>
    <mergeCell ref="B13:C13"/>
    <mergeCell ref="B14:C14"/>
    <mergeCell ref="B15:C15"/>
    <mergeCell ref="B18:C18"/>
    <mergeCell ref="B20:C20"/>
    <mergeCell ref="B16:C16"/>
    <mergeCell ref="B24:C24"/>
  </mergeCells>
  <printOptions horizontalCentered="1"/>
  <pageMargins left="0" right="0" top="0.74803149606299213" bottom="1.0236220472440944" header="0.31496062992125984" footer="0.31496062992125984"/>
  <pageSetup paperSize="10000" scale="70" orientation="landscape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CD346"/>
  <sheetViews>
    <sheetView workbookViewId="0">
      <pane xSplit="3" ySplit="9" topLeftCell="N10" activePane="bottomRight" state="frozen"/>
      <selection pane="topRight" activeCell="D1" sqref="D1"/>
      <selection pane="bottomLeft" activeCell="A4" sqref="A4"/>
      <selection pane="bottomRight" activeCell="T8" sqref="T8"/>
    </sheetView>
  </sheetViews>
  <sheetFormatPr defaultRowHeight="15"/>
  <cols>
    <col min="1" max="1" width="2.7109375" style="262" customWidth="1"/>
    <col min="2" max="2" width="8" style="262" customWidth="1"/>
    <col min="3" max="3" width="27.28515625" style="262" customWidth="1"/>
    <col min="4" max="8" width="15.42578125" style="283" hidden="1" customWidth="1"/>
    <col min="9" max="13" width="15.7109375" style="283" hidden="1" customWidth="1"/>
    <col min="14" max="15" width="16" style="283" bestFit="1" customWidth="1"/>
    <col min="16" max="16" width="17" style="283" customWidth="1"/>
    <col min="17" max="61" width="16" style="136" customWidth="1"/>
    <col min="62" max="66" width="16" style="125" customWidth="1"/>
    <col min="67" max="67" width="16.85546875" style="74" bestFit="1" customWidth="1"/>
    <col min="68" max="80" width="15" style="74" customWidth="1"/>
    <col min="81" max="81" width="9.85546875" customWidth="1"/>
    <col min="82" max="82" width="12.5703125" bestFit="1" customWidth="1"/>
  </cols>
  <sheetData>
    <row r="1" spans="1:80">
      <c r="A1" s="364" t="s">
        <v>537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13">
        <v>40</v>
      </c>
      <c r="P1" s="313" t="s">
        <v>250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60"/>
      <c r="BP1" s="160"/>
      <c r="BQ1" s="160"/>
      <c r="BR1" s="160"/>
      <c r="BS1" s="160"/>
      <c r="BT1" s="160"/>
      <c r="BU1" s="160"/>
      <c r="BV1" s="160"/>
    </row>
    <row r="2" spans="1:80">
      <c r="A2" s="261" t="s">
        <v>226</v>
      </c>
      <c r="D2" s="313" t="str">
        <f>+D9</f>
        <v>Januari</v>
      </c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 t="s">
        <v>251</v>
      </c>
      <c r="BK2" s="128"/>
      <c r="BL2" s="128"/>
      <c r="BM2" s="128"/>
      <c r="BN2" s="128"/>
      <c r="BO2" s="160"/>
      <c r="BP2" s="160"/>
      <c r="BQ2" s="160"/>
      <c r="BR2" s="160"/>
      <c r="BS2" s="160"/>
      <c r="BT2" s="160"/>
      <c r="BU2" s="160"/>
      <c r="BV2" s="160"/>
    </row>
    <row r="3" spans="1:80">
      <c r="A3" s="261" t="s">
        <v>229</v>
      </c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60"/>
      <c r="BP3" s="160"/>
      <c r="BQ3" s="160"/>
      <c r="BR3" s="160"/>
      <c r="BS3" s="160"/>
      <c r="BT3" s="160"/>
      <c r="BU3" s="160"/>
      <c r="BV3" s="160"/>
    </row>
    <row r="4" spans="1:80">
      <c r="A4" s="261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60"/>
      <c r="BP4" s="160"/>
      <c r="BQ4" s="160"/>
      <c r="BR4" s="160"/>
      <c r="BS4" s="160"/>
      <c r="BT4" s="160"/>
      <c r="BU4" s="160"/>
      <c r="BV4" s="160"/>
    </row>
    <row r="5" spans="1:80">
      <c r="A5" s="261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60"/>
      <c r="BP5" s="160"/>
      <c r="BQ5" s="160"/>
      <c r="BR5" s="160"/>
      <c r="BS5" s="160"/>
      <c r="BT5" s="160"/>
      <c r="BU5" s="160"/>
      <c r="BV5" s="160"/>
    </row>
    <row r="6" spans="1:80">
      <c r="A6" s="261"/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60"/>
      <c r="BP6" s="160"/>
      <c r="BQ6" s="160"/>
      <c r="BR6" s="160"/>
      <c r="BS6" s="160"/>
      <c r="BT6" s="160"/>
      <c r="BU6" s="160"/>
      <c r="BV6" s="160"/>
    </row>
    <row r="7" spans="1:80">
      <c r="A7" s="602" t="s">
        <v>1</v>
      </c>
      <c r="B7" s="603"/>
      <c r="C7" s="603"/>
      <c r="D7" s="588" t="s">
        <v>3</v>
      </c>
      <c r="E7" s="589"/>
      <c r="F7" s="589"/>
      <c r="G7" s="589"/>
      <c r="H7" s="590"/>
      <c r="I7" s="349" t="s">
        <v>3</v>
      </c>
      <c r="J7" s="350"/>
      <c r="K7" s="350"/>
      <c r="L7" s="350"/>
      <c r="M7" s="351"/>
      <c r="N7" s="588" t="s">
        <v>3</v>
      </c>
      <c r="O7" s="590"/>
      <c r="P7" s="615" t="s">
        <v>235</v>
      </c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</row>
    <row r="8" spans="1:80">
      <c r="A8" s="604"/>
      <c r="B8" s="605"/>
      <c r="C8" s="605"/>
      <c r="D8" s="591" t="s">
        <v>126</v>
      </c>
      <c r="E8" s="592"/>
      <c r="F8" s="592"/>
      <c r="G8" s="592"/>
      <c r="H8" s="593"/>
      <c r="I8" s="357" t="s">
        <v>126</v>
      </c>
      <c r="J8" s="358"/>
      <c r="K8" s="358"/>
      <c r="L8" s="358"/>
      <c r="M8" s="365"/>
      <c r="N8" s="591" t="s">
        <v>126</v>
      </c>
      <c r="O8" s="593"/>
      <c r="P8" s="616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2"/>
      <c r="BJ8" s="78"/>
      <c r="BK8" s="78"/>
      <c r="BL8" s="78"/>
      <c r="BM8" s="78"/>
      <c r="BN8" s="78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</row>
    <row r="9" spans="1:80">
      <c r="A9" s="617"/>
      <c r="B9" s="618"/>
      <c r="C9" s="618"/>
      <c r="D9" s="317" t="s">
        <v>4</v>
      </c>
      <c r="E9" s="317" t="s">
        <v>5</v>
      </c>
      <c r="F9" s="317" t="s">
        <v>6</v>
      </c>
      <c r="G9" s="317" t="s">
        <v>7</v>
      </c>
      <c r="H9" s="317" t="s">
        <v>8</v>
      </c>
      <c r="I9" s="317" t="s">
        <v>9</v>
      </c>
      <c r="J9" s="317" t="s">
        <v>127</v>
      </c>
      <c r="K9" s="317" t="s">
        <v>129</v>
      </c>
      <c r="L9" s="317" t="s">
        <v>142</v>
      </c>
      <c r="M9" s="317" t="s">
        <v>131</v>
      </c>
      <c r="N9" s="317" t="s">
        <v>132</v>
      </c>
      <c r="O9" s="318" t="s">
        <v>133</v>
      </c>
      <c r="P9" s="616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</row>
    <row r="10" spans="1:80">
      <c r="A10" s="373"/>
      <c r="B10" s="612" t="s">
        <v>215</v>
      </c>
      <c r="C10" s="612"/>
      <c r="D10" s="319">
        <f>'CF 2017'!O10-'CF 2018'!D11</f>
        <v>0</v>
      </c>
      <c r="E10" s="366">
        <f>E11-D11</f>
        <v>0</v>
      </c>
      <c r="F10" s="366">
        <f t="shared" ref="F10:O10" si="0">F11-E11</f>
        <v>3.4599999999999937</v>
      </c>
      <c r="G10" s="366">
        <f t="shared" si="0"/>
        <v>-1.0599999999999881</v>
      </c>
      <c r="H10" s="366">
        <f t="shared" si="0"/>
        <v>-3.1400000000000006</v>
      </c>
      <c r="I10" s="366">
        <f t="shared" si="0"/>
        <v>-10.969999999999999</v>
      </c>
      <c r="J10" s="366">
        <f t="shared" si="0"/>
        <v>1.6699999999999875</v>
      </c>
      <c r="K10" s="366">
        <f t="shared" si="0"/>
        <v>9.0400000000000063</v>
      </c>
      <c r="L10" s="366">
        <f t="shared" si="0"/>
        <v>2</v>
      </c>
      <c r="M10" s="366">
        <f t="shared" si="0"/>
        <v>0</v>
      </c>
      <c r="N10" s="366">
        <f t="shared" si="0"/>
        <v>-1</v>
      </c>
      <c r="O10" s="367">
        <f t="shared" si="0"/>
        <v>0</v>
      </c>
      <c r="P10" s="368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I10" s="164"/>
      <c r="BJ10" s="123"/>
      <c r="BK10" s="123"/>
      <c r="BL10" s="123"/>
      <c r="BM10" s="123"/>
      <c r="BN10" s="123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</row>
    <row r="11" spans="1:80">
      <c r="A11" s="606" t="s">
        <v>134</v>
      </c>
      <c r="B11" s="607"/>
      <c r="C11" s="607"/>
      <c r="D11" s="275">
        <v>86</v>
      </c>
      <c r="E11" s="275">
        <v>86</v>
      </c>
      <c r="F11" s="275">
        <v>89.46</v>
      </c>
      <c r="G11" s="275">
        <v>88.4</v>
      </c>
      <c r="H11" s="275">
        <v>85.26</v>
      </c>
      <c r="I11" s="275">
        <v>74.290000000000006</v>
      </c>
      <c r="J11" s="275">
        <v>75.959999999999994</v>
      </c>
      <c r="K11" s="264">
        <v>85</v>
      </c>
      <c r="L11" s="264">
        <v>87</v>
      </c>
      <c r="M11" s="264">
        <v>87</v>
      </c>
      <c r="N11" s="264">
        <v>86</v>
      </c>
      <c r="O11" s="320">
        <f>N11</f>
        <v>86</v>
      </c>
      <c r="P11" s="321">
        <f>SUM(D11:O11)/12</f>
        <v>84.697500000000005</v>
      </c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80"/>
      <c r="BK11" s="80"/>
      <c r="BL11" s="80"/>
      <c r="BM11" s="80"/>
      <c r="BN11" s="80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</row>
    <row r="12" spans="1:80">
      <c r="A12" s="265" t="s">
        <v>10</v>
      </c>
      <c r="B12" s="594" t="s">
        <v>11</v>
      </c>
      <c r="C12" s="594"/>
      <c r="D12" s="264">
        <f>+'CF 2017'!O120</f>
        <v>29051040.758263588</v>
      </c>
      <c r="E12" s="264">
        <f>+D113</f>
        <v>56702657.128396034</v>
      </c>
      <c r="F12" s="264">
        <f t="shared" ref="F12:O12" si="1">+E113</f>
        <v>94037640.141659737</v>
      </c>
      <c r="G12" s="264">
        <f t="shared" si="1"/>
        <v>427545515.50859356</v>
      </c>
      <c r="H12" s="264">
        <f t="shared" si="1"/>
        <v>213197617.06891251</v>
      </c>
      <c r="I12" s="264">
        <f t="shared" si="1"/>
        <v>186569995.05117798</v>
      </c>
      <c r="J12" s="264">
        <f t="shared" si="1"/>
        <v>3981495412.5316324</v>
      </c>
      <c r="K12" s="264">
        <f t="shared" si="1"/>
        <v>3231049854.7143688</v>
      </c>
      <c r="L12" s="264">
        <f t="shared" si="1"/>
        <v>2247869194.9961815</v>
      </c>
      <c r="M12" s="264">
        <f t="shared" si="1"/>
        <v>869694027.66405964</v>
      </c>
      <c r="N12" s="264">
        <f t="shared" si="1"/>
        <v>1311520689.2319012</v>
      </c>
      <c r="O12" s="264">
        <f t="shared" si="1"/>
        <v>1360690163.9552956</v>
      </c>
      <c r="P12" s="321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80"/>
      <c r="BK12" s="80"/>
      <c r="BL12" s="80"/>
      <c r="BM12" s="80"/>
      <c r="BN12" s="80"/>
      <c r="BO12" s="117">
        <v>-684592114.15999985</v>
      </c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</row>
    <row r="13" spans="1:80">
      <c r="A13" s="265"/>
      <c r="B13" s="266"/>
      <c r="C13" s="266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320"/>
      <c r="P13" s="321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80"/>
      <c r="BK13" s="80"/>
      <c r="BL13" s="80"/>
      <c r="BM13" s="80"/>
      <c r="BN13" s="80"/>
      <c r="BO13" s="117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</row>
    <row r="14" spans="1:80" ht="15" customHeight="1">
      <c r="A14" s="265" t="s">
        <v>12</v>
      </c>
      <c r="B14" s="594" t="s">
        <v>159</v>
      </c>
      <c r="C14" s="59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320"/>
      <c r="P14" s="321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 t="s">
        <v>378</v>
      </c>
      <c r="AL14" s="163"/>
      <c r="AM14" s="163"/>
      <c r="AN14" s="163"/>
      <c r="AO14" s="163"/>
      <c r="AP14" s="163">
        <v>5</v>
      </c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80"/>
      <c r="BK14" s="80"/>
      <c r="BL14" s="80"/>
      <c r="BM14" s="80"/>
      <c r="BN14" s="80"/>
      <c r="BO14" s="117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</row>
    <row r="15" spans="1:80" ht="15" customHeight="1">
      <c r="A15" s="265"/>
      <c r="B15" s="587" t="s">
        <v>13</v>
      </c>
      <c r="C15" s="587"/>
      <c r="D15" s="264">
        <f t="shared" ref="D15:O15" si="2">D186</f>
        <v>1577775291.0210867</v>
      </c>
      <c r="E15" s="264">
        <f t="shared" si="2"/>
        <v>1577775291.0210867</v>
      </c>
      <c r="F15" s="264">
        <f t="shared" si="2"/>
        <v>1695477327.7312596</v>
      </c>
      <c r="G15" s="264">
        <f t="shared" si="2"/>
        <v>1677505268.0573084</v>
      </c>
      <c r="H15" s="264">
        <f t="shared" si="2"/>
        <v>1624831602.6403089</v>
      </c>
      <c r="I15" s="264">
        <f t="shared" si="2"/>
        <v>1446587575.830667</v>
      </c>
      <c r="J15" s="264">
        <f t="shared" si="2"/>
        <v>1470745588.347039</v>
      </c>
      <c r="K15" s="264">
        <f t="shared" si="2"/>
        <v>1603700989.5336113</v>
      </c>
      <c r="L15" s="264">
        <f t="shared" si="2"/>
        <v>1635775009.3242836</v>
      </c>
      <c r="M15" s="264">
        <f t="shared" si="2"/>
        <v>1635775009.3242836</v>
      </c>
      <c r="N15" s="264">
        <f t="shared" si="2"/>
        <v>1619417259.2310407</v>
      </c>
      <c r="O15" s="264">
        <f t="shared" si="2"/>
        <v>1619417259.2310407</v>
      </c>
      <c r="P15" s="321">
        <f>SUM(D15:O15)</f>
        <v>19184783471.293015</v>
      </c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>
        <v>15</v>
      </c>
      <c r="AQ15" s="163"/>
      <c r="AR15" s="163">
        <f>15+8</f>
        <v>23</v>
      </c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82">
        <f>+'[5]CF 2018'!P12</f>
        <v>15475682575.463276</v>
      </c>
      <c r="BK15" s="82"/>
      <c r="BL15" s="82"/>
      <c r="BM15" s="82"/>
      <c r="BN15" s="80">
        <f>+'CF 2017'!O14</f>
        <v>1434341173.6555333</v>
      </c>
      <c r="BO15" s="118">
        <v>1250000000</v>
      </c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</row>
    <row r="16" spans="1:80" ht="15" customHeight="1">
      <c r="A16" s="265"/>
      <c r="B16" s="587" t="s">
        <v>14</v>
      </c>
      <c r="C16" s="587"/>
      <c r="D16" s="264">
        <f>D187</f>
        <v>730486335.71632612</v>
      </c>
      <c r="E16" s="264">
        <f t="shared" ref="E16:O16" si="3">E187</f>
        <v>730486335.71632612</v>
      </c>
      <c r="F16" s="264">
        <f t="shared" si="3"/>
        <v>755761162.93211091</v>
      </c>
      <c r="G16" s="264">
        <f t="shared" si="3"/>
        <v>747750094.60503066</v>
      </c>
      <c r="H16" s="264">
        <f t="shared" si="3"/>
        <v>724270741.63443267</v>
      </c>
      <c r="I16" s="264">
        <f t="shared" si="3"/>
        <v>644818241.27713537</v>
      </c>
      <c r="J16" s="264">
        <f t="shared" si="3"/>
        <v>655586705.9064635</v>
      </c>
      <c r="K16" s="264">
        <f t="shared" si="3"/>
        <v>714851744.12040782</v>
      </c>
      <c r="L16" s="264">
        <f t="shared" si="3"/>
        <v>729148779.00281596</v>
      </c>
      <c r="M16" s="264">
        <f t="shared" si="3"/>
        <v>729148779.00281596</v>
      </c>
      <c r="N16" s="264">
        <f t="shared" si="3"/>
        <v>721857291.21278775</v>
      </c>
      <c r="O16" s="264">
        <f t="shared" si="3"/>
        <v>721857291.21278775</v>
      </c>
      <c r="P16" s="321">
        <f t="shared" ref="P16:P22" si="4">SUM(D16:O16)</f>
        <v>8606023502.3394413</v>
      </c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>
        <v>8</v>
      </c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82">
        <f>+'[5]CF 2018'!P13</f>
        <v>4075850286.0554967</v>
      </c>
      <c r="BK16" s="82"/>
      <c r="BL16" s="82"/>
      <c r="BM16" s="82"/>
      <c r="BN16" s="80">
        <f>+'CF 2017'!O15</f>
        <v>664078487.01484191</v>
      </c>
      <c r="BO16" s="117">
        <v>350000000</v>
      </c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</row>
    <row r="17" spans="1:82" s="182" customFormat="1" ht="15" customHeight="1">
      <c r="A17" s="265"/>
      <c r="B17" s="595" t="str">
        <f>+'CF 2017'!B16:C16</f>
        <v>Pendapatan Alat Jantung</v>
      </c>
      <c r="C17" s="596"/>
      <c r="D17" s="264">
        <f>30*7500000</f>
        <v>225000000</v>
      </c>
      <c r="E17" s="264">
        <f>D17</f>
        <v>225000000</v>
      </c>
      <c r="F17" s="264">
        <f t="shared" ref="F17:O17" si="5">E17</f>
        <v>225000000</v>
      </c>
      <c r="G17" s="264">
        <f>40*7500000</f>
        <v>300000000</v>
      </c>
      <c r="H17" s="264">
        <f t="shared" si="5"/>
        <v>300000000</v>
      </c>
      <c r="I17" s="264">
        <f t="shared" si="5"/>
        <v>300000000</v>
      </c>
      <c r="J17" s="264">
        <f t="shared" si="5"/>
        <v>300000000</v>
      </c>
      <c r="K17" s="264">
        <f>50*7500000</f>
        <v>375000000</v>
      </c>
      <c r="L17" s="264">
        <f t="shared" si="5"/>
        <v>375000000</v>
      </c>
      <c r="M17" s="264">
        <f t="shared" si="5"/>
        <v>375000000</v>
      </c>
      <c r="N17" s="264">
        <f t="shared" si="5"/>
        <v>375000000</v>
      </c>
      <c r="O17" s="264">
        <f t="shared" si="5"/>
        <v>375000000</v>
      </c>
      <c r="P17" s="321">
        <f t="shared" si="4"/>
        <v>3750000000</v>
      </c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>
        <f>SUM(AP14:AP16)</f>
        <v>28</v>
      </c>
      <c r="AQ17" s="190"/>
      <c r="AR17" s="190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82"/>
      <c r="BK17" s="82"/>
      <c r="BL17" s="82"/>
      <c r="BM17" s="82"/>
      <c r="BN17" s="80"/>
      <c r="BO17" s="188"/>
      <c r="BP17" s="181"/>
      <c r="BQ17" s="181"/>
      <c r="BR17" s="181"/>
      <c r="BS17" s="181"/>
      <c r="BT17" s="181"/>
      <c r="BU17" s="181"/>
      <c r="BV17" s="181"/>
      <c r="BW17" s="181"/>
      <c r="BX17" s="181"/>
      <c r="BY17" s="181"/>
      <c r="BZ17" s="181"/>
      <c r="CA17" s="181"/>
      <c r="CB17" s="181"/>
    </row>
    <row r="18" spans="1:82" ht="29.25" customHeight="1">
      <c r="A18" s="265"/>
      <c r="B18" s="587" t="s">
        <v>244</v>
      </c>
      <c r="C18" s="587"/>
      <c r="D18" s="264">
        <f>'CF 2017'!N206</f>
        <v>2689491831.3940792</v>
      </c>
      <c r="E18" s="264">
        <f>'CF 2017'!O206</f>
        <v>2689491831.3940792</v>
      </c>
      <c r="F18" s="264">
        <f>D189</f>
        <v>2958441014.5334873</v>
      </c>
      <c r="G18" s="264">
        <f t="shared" ref="G18:O18" si="6">E189</f>
        <v>2958441014.5334873</v>
      </c>
      <c r="H18" s="264">
        <f t="shared" si="6"/>
        <v>3060803073.6363459</v>
      </c>
      <c r="I18" s="264">
        <f t="shared" si="6"/>
        <v>3028358561.0558009</v>
      </c>
      <c r="J18" s="264">
        <f t="shared" si="6"/>
        <v>2933268102.2386489</v>
      </c>
      <c r="K18" s="264">
        <f t="shared" si="6"/>
        <v>2611488591.423069</v>
      </c>
      <c r="L18" s="264">
        <f t="shared" si="6"/>
        <v>2655100450.8998342</v>
      </c>
      <c r="M18" s="264">
        <f t="shared" si="6"/>
        <v>2895121531.6611795</v>
      </c>
      <c r="N18" s="264">
        <f t="shared" si="6"/>
        <v>2953023962.2944031</v>
      </c>
      <c r="O18" s="264">
        <f t="shared" si="6"/>
        <v>2953023962.2944031</v>
      </c>
      <c r="P18" s="321">
        <f t="shared" si="4"/>
        <v>34386053927.35881</v>
      </c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82">
        <f>+'[5]CF 2018'!P15</f>
        <v>27202585361.921169</v>
      </c>
      <c r="BK18" s="82"/>
      <c r="BL18" s="82"/>
      <c r="BM18" s="82"/>
      <c r="BN18" s="80">
        <f>+'CF 2017'!O17</f>
        <v>2689491831.3940792</v>
      </c>
      <c r="BO18" s="117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</row>
    <row r="19" spans="1:82" ht="29.25" customHeight="1">
      <c r="A19" s="265"/>
      <c r="B19" s="587" t="s">
        <v>245</v>
      </c>
      <c r="C19" s="587"/>
      <c r="D19" s="264">
        <f>'CF 2017'!O207</f>
        <v>401173666.43131691</v>
      </c>
      <c r="E19" s="264">
        <f>D190</f>
        <v>441291033.07444859</v>
      </c>
      <c r="F19" s="264">
        <f>E190</f>
        <v>441291033.07444859</v>
      </c>
      <c r="G19" s="264">
        <f t="shared" ref="G19:O19" si="7">F190</f>
        <v>456559702.81882447</v>
      </c>
      <c r="H19" s="264">
        <f t="shared" si="7"/>
        <v>451720169.96894497</v>
      </c>
      <c r="I19" s="264">
        <f t="shared" si="7"/>
        <v>437536156.6319201</v>
      </c>
      <c r="J19" s="264">
        <f t="shared" si="7"/>
        <v>389538440.24939847</v>
      </c>
      <c r="K19" s="264">
        <f t="shared" si="7"/>
        <v>396043732.20156336</v>
      </c>
      <c r="L19" s="264">
        <f t="shared" si="7"/>
        <v>431846085.59258473</v>
      </c>
      <c r="M19" s="264">
        <f t="shared" si="7"/>
        <v>440483007.30443645</v>
      </c>
      <c r="N19" s="264">
        <f t="shared" si="7"/>
        <v>440483007.30443645</v>
      </c>
      <c r="O19" s="264">
        <f t="shared" si="7"/>
        <v>436078177.23139209</v>
      </c>
      <c r="P19" s="321">
        <f t="shared" si="4"/>
        <v>5164044211.8837147</v>
      </c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>
        <f>+AT20-25000000000</f>
        <v>8000000000</v>
      </c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82">
        <f>+'[5]CF 2018'!P16</f>
        <v>3930642155.9963136</v>
      </c>
      <c r="BK19" s="82"/>
      <c r="BL19" s="82"/>
      <c r="BM19" s="82"/>
      <c r="BN19" s="80">
        <f>+'CF 2017'!O18</f>
        <v>401173666.43131691</v>
      </c>
      <c r="BO19" s="117">
        <v>2450000000</v>
      </c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</row>
    <row r="20" spans="1:82" ht="25.5" customHeight="1">
      <c r="A20" s="265"/>
      <c r="B20" s="595" t="str">
        <f>'CF 2017'!B24:C24</f>
        <v>Penerimaan Pinjaman Dari Pihak Ke 3</v>
      </c>
      <c r="C20" s="596"/>
      <c r="D20" s="264">
        <v>1000000000</v>
      </c>
      <c r="E20" s="264">
        <v>1000000000</v>
      </c>
      <c r="F20" s="264">
        <v>1000000000</v>
      </c>
      <c r="G20" s="264"/>
      <c r="H20" s="264">
        <f t="shared" ref="H20" si="8">G20</f>
        <v>0</v>
      </c>
      <c r="I20" s="264">
        <v>5000000000</v>
      </c>
      <c r="J20" s="264"/>
      <c r="K20" s="264"/>
      <c r="L20" s="264"/>
      <c r="M20" s="264">
        <v>1000000000</v>
      </c>
      <c r="N20" s="264">
        <v>1000000000</v>
      </c>
      <c r="O20" s="264">
        <v>1000000000</v>
      </c>
      <c r="P20" s="321">
        <f t="shared" si="4"/>
        <v>11000000000</v>
      </c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>
        <f>+P20+'CF 2017'!P24+'CF 2016'!P19</f>
        <v>33000000000</v>
      </c>
      <c r="AL20" s="163">
        <f>+AK20-8000000000000</f>
        <v>-7967000000000</v>
      </c>
      <c r="AM20" s="163"/>
      <c r="AN20" s="163"/>
      <c r="AO20" s="163"/>
      <c r="AP20" s="163"/>
      <c r="AQ20" s="190"/>
      <c r="AR20" s="190"/>
      <c r="AS20" s="163"/>
      <c r="AT20" s="163">
        <f>+P20+'CF 2017'!P24+'CF 2016'!P19</f>
        <v>33000000000</v>
      </c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G20" s="163"/>
      <c r="BH20" s="163"/>
      <c r="BI20" s="163"/>
      <c r="BJ20" s="82"/>
      <c r="BK20" s="82"/>
      <c r="BL20" s="82"/>
      <c r="BM20" s="82"/>
      <c r="BN20" s="80"/>
      <c r="BO20" s="117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</row>
    <row r="21" spans="1:82" ht="15" customHeight="1">
      <c r="A21" s="265"/>
      <c r="B21" s="587" t="s">
        <v>219</v>
      </c>
      <c r="C21" s="587"/>
      <c r="D21" s="264">
        <f>'CF 2017'!O25*1.2</f>
        <v>310595204.98928171</v>
      </c>
      <c r="E21" s="264">
        <f>D21+(D21*D10%)</f>
        <v>310595204.98928171</v>
      </c>
      <c r="F21" s="264">
        <f>E21+(E21*E10%)</f>
        <v>310595204.98928171</v>
      </c>
      <c r="G21" s="264">
        <f t="shared" ref="G21:O21" si="9">F21+(F21*F10%)</f>
        <v>321341799.08191085</v>
      </c>
      <c r="H21" s="264">
        <f t="shared" si="9"/>
        <v>317935576.01164263</v>
      </c>
      <c r="I21" s="264">
        <f t="shared" si="9"/>
        <v>307952398.92487705</v>
      </c>
      <c r="J21" s="264">
        <f t="shared" si="9"/>
        <v>274170020.76281804</v>
      </c>
      <c r="K21" s="264">
        <f t="shared" si="9"/>
        <v>278748660.10955709</v>
      </c>
      <c r="L21" s="264">
        <f t="shared" si="9"/>
        <v>303947538.98346108</v>
      </c>
      <c r="M21" s="264">
        <f t="shared" si="9"/>
        <v>310026489.76313031</v>
      </c>
      <c r="N21" s="264">
        <f t="shared" si="9"/>
        <v>310026489.76313031</v>
      </c>
      <c r="O21" s="264">
        <f t="shared" si="9"/>
        <v>306926224.86549902</v>
      </c>
      <c r="P21" s="321">
        <f t="shared" si="4"/>
        <v>3662860813.233871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>
        <v>-8000000000</v>
      </c>
      <c r="AL21" s="163"/>
      <c r="AM21" s="163"/>
      <c r="AN21" s="163"/>
      <c r="AO21" s="163"/>
      <c r="AP21" s="216">
        <v>5000000000</v>
      </c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82">
        <f>+'[5]CF 2018'!P17</f>
        <v>3052204576.3189049</v>
      </c>
      <c r="BK21" s="82"/>
      <c r="BL21" s="82"/>
      <c r="BM21" s="82"/>
      <c r="BN21" s="80">
        <f>+'CF 2017'!O25</f>
        <v>258829337.49106809</v>
      </c>
      <c r="BO21" s="117">
        <v>280000000</v>
      </c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</row>
    <row r="22" spans="1:82" ht="15" customHeight="1">
      <c r="A22" s="265"/>
      <c r="B22" s="587" t="s">
        <v>220</v>
      </c>
      <c r="C22" s="587"/>
      <c r="D22" s="264">
        <f>'CF 2017'!O26*1.1</f>
        <v>0</v>
      </c>
      <c r="E22" s="264"/>
      <c r="F22" s="264">
        <f t="shared" ref="F22:G22" si="10">E22+(E22*$E$10%)</f>
        <v>0</v>
      </c>
      <c r="G22" s="264">
        <f t="shared" si="10"/>
        <v>0</v>
      </c>
      <c r="H22" s="264"/>
      <c r="I22" s="264"/>
      <c r="J22" s="264"/>
      <c r="K22" s="264"/>
      <c r="L22" s="264"/>
      <c r="M22" s="264"/>
      <c r="N22" s="264"/>
      <c r="O22" s="320"/>
      <c r="P22" s="321">
        <f t="shared" si="4"/>
        <v>0</v>
      </c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>
        <f>SUM(AK20:AK21)</f>
        <v>25000000000</v>
      </c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82">
        <f>+'[5]CF 2018'!P18</f>
        <v>0</v>
      </c>
      <c r="BK22" s="82"/>
      <c r="BL22" s="82"/>
      <c r="BM22" s="82"/>
      <c r="BN22" s="80"/>
      <c r="BO22" s="117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</row>
    <row r="23" spans="1:82" ht="15" customHeight="1">
      <c r="A23" s="265"/>
      <c r="B23" s="594" t="s">
        <v>216</v>
      </c>
      <c r="C23" s="594"/>
      <c r="D23" s="267">
        <f>SUM(D15:D22)</f>
        <v>6934522329.5520916</v>
      </c>
      <c r="E23" s="267">
        <f t="shared" ref="E23:F23" si="11">SUM(E15:E22)</f>
        <v>6974639696.1952229</v>
      </c>
      <c r="F23" s="267">
        <f t="shared" si="11"/>
        <v>7386565743.2605877</v>
      </c>
      <c r="G23" s="267">
        <f t="shared" ref="G23:O23" si="12">SUM(G15:G22)</f>
        <v>6461597879.0965624</v>
      </c>
      <c r="H23" s="267">
        <f t="shared" si="12"/>
        <v>6479561163.891674</v>
      </c>
      <c r="I23" s="267">
        <f t="shared" si="12"/>
        <v>11165252933.7204</v>
      </c>
      <c r="J23" s="267">
        <f t="shared" si="12"/>
        <v>6023308857.5043678</v>
      </c>
      <c r="K23" s="267">
        <f t="shared" si="12"/>
        <v>5979833717.3882093</v>
      </c>
      <c r="L23" s="267">
        <f t="shared" si="12"/>
        <v>6130817863.8029804</v>
      </c>
      <c r="M23" s="267">
        <f t="shared" si="12"/>
        <v>7385554817.0558462</v>
      </c>
      <c r="N23" s="267">
        <f t="shared" si="12"/>
        <v>7419808009.8057985</v>
      </c>
      <c r="O23" s="267">
        <f t="shared" si="12"/>
        <v>7412302914.8351231</v>
      </c>
      <c r="P23" s="323">
        <f>SUM(D23:O23)</f>
        <v>85753765926.108856</v>
      </c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 t="s">
        <v>379</v>
      </c>
      <c r="AQ23" s="153"/>
      <c r="AR23" s="153"/>
      <c r="AS23" s="153"/>
      <c r="AT23" s="214" t="s">
        <v>359</v>
      </c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82">
        <f>SUM(BJ15:BJ22)</f>
        <v>53736964955.755157</v>
      </c>
      <c r="BK23" s="82"/>
      <c r="BL23" s="82"/>
      <c r="BM23" s="82"/>
      <c r="BN23" s="82"/>
      <c r="BO23" s="119">
        <v>4330000000</v>
      </c>
      <c r="BP23" s="82">
        <f>SUM(D23:O23)</f>
        <v>85753765926.108856</v>
      </c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</row>
    <row r="24" spans="1:82">
      <c r="A24" s="265"/>
      <c r="B24" s="268"/>
      <c r="C24" s="268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67"/>
      <c r="P24" s="32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82"/>
      <c r="BK24" s="82"/>
      <c r="BL24" s="82"/>
      <c r="BM24" s="82"/>
      <c r="BN24" s="82"/>
      <c r="BO24" s="119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</row>
    <row r="25" spans="1:82" ht="33.75" customHeight="1">
      <c r="A25" s="265" t="s">
        <v>19</v>
      </c>
      <c r="B25" s="594" t="s">
        <v>217</v>
      </c>
      <c r="C25" s="594"/>
      <c r="D25" s="267">
        <f t="shared" ref="D25:F25" si="13">+D23+D12</f>
        <v>6963573370.3103552</v>
      </c>
      <c r="E25" s="267">
        <f t="shared" si="13"/>
        <v>7031342353.3236189</v>
      </c>
      <c r="F25" s="267">
        <f t="shared" si="13"/>
        <v>7480603383.4022474</v>
      </c>
      <c r="G25" s="267">
        <f t="shared" ref="G25:O25" si="14">+G23+G12</f>
        <v>6889143394.6051559</v>
      </c>
      <c r="H25" s="267">
        <f t="shared" si="14"/>
        <v>6692758780.9605865</v>
      </c>
      <c r="I25" s="267">
        <f t="shared" si="14"/>
        <v>11351822928.771578</v>
      </c>
      <c r="J25" s="267">
        <f t="shared" si="14"/>
        <v>10004804270.035999</v>
      </c>
      <c r="K25" s="267">
        <f t="shared" si="14"/>
        <v>9210883572.1025772</v>
      </c>
      <c r="L25" s="267">
        <f t="shared" si="14"/>
        <v>8378687058.7991619</v>
      </c>
      <c r="M25" s="267">
        <f t="shared" si="14"/>
        <v>8255248844.7199059</v>
      </c>
      <c r="N25" s="267">
        <f t="shared" si="14"/>
        <v>8731328699.0377007</v>
      </c>
      <c r="O25" s="267">
        <f t="shared" si="14"/>
        <v>8772993078.7904186</v>
      </c>
      <c r="P25" s="323">
        <f>P23+D12</f>
        <v>85782816966.867126</v>
      </c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82"/>
      <c r="BK25" s="82"/>
      <c r="BL25" s="82"/>
      <c r="BM25" s="82"/>
      <c r="BN25" s="82"/>
      <c r="BO25" s="119">
        <v>3645407885.8400002</v>
      </c>
      <c r="BP25" s="82">
        <v>70951553740.372284</v>
      </c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</row>
    <row r="26" spans="1:82">
      <c r="A26" s="265"/>
      <c r="B26" s="266"/>
      <c r="C26" s="268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320"/>
      <c r="P26" s="321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80"/>
      <c r="BK26" s="80"/>
      <c r="BL26" s="80"/>
      <c r="BM26" s="80"/>
      <c r="BN26" s="80"/>
      <c r="BO26" s="117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</row>
    <row r="27" spans="1:82">
      <c r="A27" s="265"/>
      <c r="B27" s="594" t="s">
        <v>20</v>
      </c>
      <c r="C27" s="594"/>
      <c r="D27" s="59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320"/>
      <c r="P27" s="321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80"/>
      <c r="BK27" s="80"/>
      <c r="BL27" s="80"/>
      <c r="BM27" s="80"/>
      <c r="BN27" s="80"/>
      <c r="BO27" s="117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</row>
    <row r="28" spans="1:82">
      <c r="A28" s="265"/>
      <c r="B28" s="269" t="s">
        <v>21</v>
      </c>
      <c r="C28" s="270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320"/>
      <c r="P28" s="321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80"/>
      <c r="BK28" s="80"/>
      <c r="BL28" s="80"/>
      <c r="BM28" s="80"/>
      <c r="BN28" s="80"/>
      <c r="BO28" s="117"/>
      <c r="BP28" s="81">
        <f>+BP25-BP23</f>
        <v>-14802212185.736572</v>
      </c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</row>
    <row r="29" spans="1:82">
      <c r="A29" s="265"/>
      <c r="B29" s="269"/>
      <c r="C29" s="270"/>
      <c r="D29" s="264"/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320"/>
      <c r="P29" s="321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80"/>
      <c r="BK29" s="80"/>
      <c r="BL29" s="80"/>
      <c r="BM29" s="80"/>
      <c r="BN29" s="80"/>
      <c r="BO29" s="117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</row>
    <row r="30" spans="1:82" s="124" customFormat="1">
      <c r="A30" s="265"/>
      <c r="B30" s="270">
        <v>6400</v>
      </c>
      <c r="C30" s="270" t="s">
        <v>22</v>
      </c>
      <c r="D30" s="264">
        <f>'CF 2017'!O34*1.075</f>
        <v>728043750</v>
      </c>
      <c r="E30" s="264">
        <f>D30</f>
        <v>728043750</v>
      </c>
      <c r="F30" s="264">
        <f>E30</f>
        <v>728043750</v>
      </c>
      <c r="G30" s="264">
        <f>F30</f>
        <v>728043750</v>
      </c>
      <c r="H30" s="264">
        <f>G30</f>
        <v>728043750</v>
      </c>
      <c r="I30" s="264">
        <f t="shared" ref="I30:J30" si="15">H30</f>
        <v>728043750</v>
      </c>
      <c r="J30" s="264">
        <f t="shared" si="15"/>
        <v>728043750</v>
      </c>
      <c r="K30" s="264">
        <f>J30</f>
        <v>728043750</v>
      </c>
      <c r="L30" s="264">
        <f t="shared" ref="L30:O30" si="16">K30</f>
        <v>728043750</v>
      </c>
      <c r="M30" s="264">
        <f t="shared" si="16"/>
        <v>728043750</v>
      </c>
      <c r="N30" s="264">
        <f t="shared" si="16"/>
        <v>728043750</v>
      </c>
      <c r="O30" s="320">
        <f t="shared" si="16"/>
        <v>728043750</v>
      </c>
      <c r="P30" s="321">
        <f>SUM(D30:O30)</f>
        <v>8736525000</v>
      </c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80"/>
      <c r="BK30" s="80"/>
      <c r="BL30" s="80"/>
      <c r="BM30" s="80"/>
      <c r="BN30" s="80"/>
      <c r="BO30" s="118">
        <v>630000000</v>
      </c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D30" s="129">
        <v>500</v>
      </c>
    </row>
    <row r="31" spans="1:82" s="124" customFormat="1">
      <c r="A31" s="265"/>
      <c r="B31" s="270">
        <v>6401</v>
      </c>
      <c r="C31" s="270" t="s">
        <v>23</v>
      </c>
      <c r="D31" s="264">
        <f>'CF 2017'!O35*1.05</f>
        <v>5801446.9975533923</v>
      </c>
      <c r="E31" s="264">
        <f>D31+(D31*$E$10%)</f>
        <v>5801446.9975533923</v>
      </c>
      <c r="F31" s="264">
        <f>E31+(E31*$F$10%)</f>
        <v>6002177.0636687391</v>
      </c>
      <c r="G31" s="264">
        <f>F31+(F31*$G$10%)</f>
        <v>5938553.9867938515</v>
      </c>
      <c r="H31" s="264">
        <f>G31+(G31*$H$10%)</f>
        <v>5752083.3916085241</v>
      </c>
      <c r="I31" s="264">
        <f>H31+(H31*$I$10%)</f>
        <v>5121079.843549069</v>
      </c>
      <c r="J31" s="264">
        <f>I31+(I31*$J$10%)</f>
        <v>5206601.8769363379</v>
      </c>
      <c r="K31" s="264">
        <f t="shared" ref="K31:K94" si="17">J31+(J31*$K$10%)</f>
        <v>5677278.6866113832</v>
      </c>
      <c r="L31" s="264">
        <f t="shared" ref="L31:L94" si="18">K31+(K31*$K$10%)</f>
        <v>6190504.679881053</v>
      </c>
      <c r="M31" s="264">
        <f t="shared" ref="M31:M94" si="19">L31+(L31*$K$10%)</f>
        <v>6750126.3029423002</v>
      </c>
      <c r="N31" s="264">
        <f t="shared" ref="N31:N94" si="20">M31+(M31*$K$10%)</f>
        <v>7360337.7207282847</v>
      </c>
      <c r="O31" s="320">
        <f t="shared" ref="O31:O94" si="21">N31+(N31*$K$10%)</f>
        <v>8025712.2506821221</v>
      </c>
      <c r="P31" s="321">
        <f t="shared" ref="P31:P94" si="22">SUM(D31:O31)</f>
        <v>73627349.79850845</v>
      </c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80"/>
      <c r="BK31" s="80"/>
      <c r="BL31" s="80"/>
      <c r="BM31" s="80"/>
      <c r="BN31" s="80"/>
      <c r="BO31" s="118">
        <v>5500000</v>
      </c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D31" s="129">
        <v>5.5</v>
      </c>
    </row>
    <row r="32" spans="1:82" s="124" customFormat="1">
      <c r="A32" s="265"/>
      <c r="B32" s="270">
        <v>6402</v>
      </c>
      <c r="C32" s="270" t="s">
        <v>24</v>
      </c>
      <c r="D32" s="264">
        <f>'CF 2017'!O36*1.05</f>
        <v>2109617.0900194156</v>
      </c>
      <c r="E32" s="264">
        <f t="shared" ref="E32:E95" si="23">D32+(D32*$E$10%)</f>
        <v>2109617.0900194156</v>
      </c>
      <c r="F32" s="264">
        <f t="shared" ref="F32:F95" si="24">E32+(E32*$F$10%)</f>
        <v>2182609.8413340873</v>
      </c>
      <c r="G32" s="264">
        <f>F32+(F32*$G$10%)</f>
        <v>2159474.1770159462</v>
      </c>
      <c r="H32" s="264">
        <f t="shared" ref="H32:H95" si="25">G32+(G32*$H$10%)</f>
        <v>2091666.6878576456</v>
      </c>
      <c r="I32" s="264">
        <f t="shared" ref="I32:I95" si="26">H32+(H32*$I$10%)</f>
        <v>1862210.8521996618</v>
      </c>
      <c r="J32" s="264">
        <f>76402443.15*1.1</f>
        <v>84042687.465000018</v>
      </c>
      <c r="K32" s="264">
        <f>I32+(I32*$K$10%)</f>
        <v>2030554.7132385112</v>
      </c>
      <c r="L32" s="264">
        <f t="shared" si="18"/>
        <v>2214116.8593152729</v>
      </c>
      <c r="M32" s="264">
        <f t="shared" si="19"/>
        <v>2414273.0233973735</v>
      </c>
      <c r="N32" s="264">
        <f t="shared" si="20"/>
        <v>2632523.3047124962</v>
      </c>
      <c r="O32" s="320">
        <f t="shared" si="21"/>
        <v>2870503.4114585062</v>
      </c>
      <c r="P32" s="321">
        <f t="shared" si="22"/>
        <v>108719854.51556835</v>
      </c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80"/>
      <c r="BK32" s="80"/>
      <c r="BL32" s="80"/>
      <c r="BM32" s="80"/>
      <c r="BN32" s="80"/>
      <c r="BO32" s="118">
        <v>2000000</v>
      </c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D32" s="129">
        <v>29.582894249999995</v>
      </c>
    </row>
    <row r="33" spans="1:82" s="124" customFormat="1">
      <c r="A33" s="265"/>
      <c r="B33" s="270">
        <v>6403</v>
      </c>
      <c r="C33" s="270" t="s">
        <v>25</v>
      </c>
      <c r="D33" s="264">
        <f>'CF 2017'!O37*1.05</f>
        <v>0</v>
      </c>
      <c r="E33" s="264">
        <f t="shared" si="23"/>
        <v>0</v>
      </c>
      <c r="F33" s="264">
        <f t="shared" si="24"/>
        <v>0</v>
      </c>
      <c r="G33" s="264">
        <f t="shared" ref="G33:G96" si="27">F33+(F33*$G$10%)</f>
        <v>0</v>
      </c>
      <c r="H33" s="264">
        <f t="shared" si="25"/>
        <v>0</v>
      </c>
      <c r="I33" s="264">
        <f>I30</f>
        <v>728043750</v>
      </c>
      <c r="J33" s="264"/>
      <c r="K33" s="264"/>
      <c r="L33" s="264"/>
      <c r="M33" s="264"/>
      <c r="N33" s="264"/>
      <c r="O33" s="320"/>
      <c r="P33" s="321">
        <f t="shared" si="22"/>
        <v>728043750</v>
      </c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80"/>
      <c r="BK33" s="80"/>
      <c r="BL33" s="80"/>
      <c r="BM33" s="80"/>
      <c r="BN33" s="80"/>
      <c r="BO33" s="118">
        <v>0</v>
      </c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D33" s="129"/>
    </row>
    <row r="34" spans="1:82" s="124" customFormat="1">
      <c r="A34" s="265"/>
      <c r="B34" s="270">
        <v>6404</v>
      </c>
      <c r="C34" s="270" t="s">
        <v>26</v>
      </c>
      <c r="D34" s="264">
        <f>'CF 2017'!O38*1.05</f>
        <v>0</v>
      </c>
      <c r="E34" s="264">
        <f t="shared" si="23"/>
        <v>0</v>
      </c>
      <c r="F34" s="264">
        <f t="shared" si="24"/>
        <v>0</v>
      </c>
      <c r="G34" s="264">
        <f t="shared" si="27"/>
        <v>0</v>
      </c>
      <c r="H34" s="264">
        <f t="shared" si="25"/>
        <v>0</v>
      </c>
      <c r="I34" s="264">
        <f t="shared" si="26"/>
        <v>0</v>
      </c>
      <c r="J34" s="264">
        <f t="shared" ref="J34:J95" si="28">I34+(I34*$J$10%)</f>
        <v>0</v>
      </c>
      <c r="K34" s="264">
        <f t="shared" si="17"/>
        <v>0</v>
      </c>
      <c r="L34" s="264">
        <f t="shared" si="18"/>
        <v>0</v>
      </c>
      <c r="M34" s="264">
        <f t="shared" si="19"/>
        <v>0</v>
      </c>
      <c r="N34" s="264">
        <f t="shared" si="20"/>
        <v>0</v>
      </c>
      <c r="O34" s="320">
        <f t="shared" si="21"/>
        <v>0</v>
      </c>
      <c r="P34" s="321">
        <f t="shared" si="22"/>
        <v>0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80"/>
      <c r="BK34" s="80"/>
      <c r="BL34" s="80"/>
      <c r="BM34" s="80"/>
      <c r="BN34" s="80"/>
      <c r="BO34" s="118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D34" s="129">
        <v>120</v>
      </c>
    </row>
    <row r="35" spans="1:82" s="124" customFormat="1">
      <c r="A35" s="265"/>
      <c r="B35" s="270">
        <v>6405</v>
      </c>
      <c r="C35" s="270" t="s">
        <v>27</v>
      </c>
      <c r="D35" s="264">
        <f>'CF 2017'!O39*1.05</f>
        <v>369182.99075339781</v>
      </c>
      <c r="E35" s="264">
        <f t="shared" si="23"/>
        <v>369182.99075339781</v>
      </c>
      <c r="F35" s="264">
        <f t="shared" si="24"/>
        <v>381956.72223346535</v>
      </c>
      <c r="G35" s="264">
        <f t="shared" si="27"/>
        <v>377907.98097779066</v>
      </c>
      <c r="H35" s="264">
        <f t="shared" si="25"/>
        <v>366041.67037508806</v>
      </c>
      <c r="I35" s="264">
        <f t="shared" si="26"/>
        <v>325886.89913494088</v>
      </c>
      <c r="J35" s="264">
        <f t="shared" si="28"/>
        <v>331329.21035049437</v>
      </c>
      <c r="K35" s="264">
        <f t="shared" si="17"/>
        <v>361281.37096617906</v>
      </c>
      <c r="L35" s="264">
        <f t="shared" si="18"/>
        <v>393941.20690152165</v>
      </c>
      <c r="M35" s="264">
        <f t="shared" si="19"/>
        <v>429553.49200541922</v>
      </c>
      <c r="N35" s="264">
        <f t="shared" si="20"/>
        <v>468385.12768270914</v>
      </c>
      <c r="O35" s="320">
        <f t="shared" si="21"/>
        <v>510727.14322522609</v>
      </c>
      <c r="P35" s="321">
        <f t="shared" si="22"/>
        <v>4685376.8053596299</v>
      </c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80"/>
      <c r="BK35" s="80"/>
      <c r="BL35" s="80"/>
      <c r="BM35" s="80"/>
      <c r="BN35" s="80"/>
      <c r="BO35" s="118">
        <v>250000</v>
      </c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D35" s="129">
        <v>0.25</v>
      </c>
    </row>
    <row r="36" spans="1:82" s="124" customFormat="1">
      <c r="A36" s="265"/>
      <c r="B36" s="270">
        <v>6406</v>
      </c>
      <c r="C36" s="270" t="s">
        <v>28</v>
      </c>
      <c r="D36" s="264">
        <f>'CF 2017'!O40*1.05</f>
        <v>0</v>
      </c>
      <c r="E36" s="264">
        <f t="shared" si="23"/>
        <v>0</v>
      </c>
      <c r="F36" s="264">
        <f t="shared" si="24"/>
        <v>0</v>
      </c>
      <c r="G36" s="264">
        <f t="shared" si="27"/>
        <v>0</v>
      </c>
      <c r="H36" s="264">
        <f t="shared" si="25"/>
        <v>0</v>
      </c>
      <c r="I36" s="264">
        <f t="shared" si="26"/>
        <v>0</v>
      </c>
      <c r="J36" s="264">
        <f t="shared" si="28"/>
        <v>0</v>
      </c>
      <c r="K36" s="264">
        <f t="shared" si="17"/>
        <v>0</v>
      </c>
      <c r="L36" s="264">
        <f t="shared" si="18"/>
        <v>0</v>
      </c>
      <c r="M36" s="264">
        <f t="shared" si="19"/>
        <v>0</v>
      </c>
      <c r="N36" s="264">
        <f t="shared" si="20"/>
        <v>0</v>
      </c>
      <c r="O36" s="320">
        <f t="shared" si="21"/>
        <v>0</v>
      </c>
      <c r="P36" s="321">
        <f t="shared" si="22"/>
        <v>0</v>
      </c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80"/>
      <c r="BK36" s="80"/>
      <c r="BL36" s="80"/>
      <c r="BM36" s="80"/>
      <c r="BN36" s="80"/>
      <c r="BO36" s="118">
        <v>0</v>
      </c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D36" s="129"/>
    </row>
    <row r="37" spans="1:82" s="124" customFormat="1">
      <c r="A37" s="265"/>
      <c r="B37" s="270">
        <v>6407</v>
      </c>
      <c r="C37" s="270" t="s">
        <v>29</v>
      </c>
      <c r="D37" s="264">
        <f>'CF 2017'!O41*1.05</f>
        <v>1054808.5450097078</v>
      </c>
      <c r="E37" s="264">
        <f t="shared" si="23"/>
        <v>1054808.5450097078</v>
      </c>
      <c r="F37" s="264">
        <f t="shared" si="24"/>
        <v>1091304.9206670437</v>
      </c>
      <c r="G37" s="264">
        <f t="shared" si="27"/>
        <v>1079737.0885079731</v>
      </c>
      <c r="H37" s="264">
        <f t="shared" si="25"/>
        <v>1045833.3439288228</v>
      </c>
      <c r="I37" s="264">
        <f t="shared" si="26"/>
        <v>931105.42609983089</v>
      </c>
      <c r="J37" s="264">
        <f t="shared" si="28"/>
        <v>946654.88671569794</v>
      </c>
      <c r="K37" s="264">
        <f t="shared" si="17"/>
        <v>1032232.4884747971</v>
      </c>
      <c r="L37" s="264">
        <f t="shared" si="18"/>
        <v>1125546.3054329189</v>
      </c>
      <c r="M37" s="264">
        <f t="shared" si="19"/>
        <v>1227295.6914440549</v>
      </c>
      <c r="N37" s="264">
        <f t="shared" si="20"/>
        <v>1338243.2219505976</v>
      </c>
      <c r="O37" s="320">
        <f t="shared" si="21"/>
        <v>1459220.4092149318</v>
      </c>
      <c r="P37" s="321">
        <f t="shared" si="22"/>
        <v>13386790.872456085</v>
      </c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80"/>
      <c r="BK37" s="80"/>
      <c r="BL37" s="80"/>
      <c r="BM37" s="80"/>
      <c r="BN37" s="80"/>
      <c r="BO37" s="118">
        <v>1000000</v>
      </c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D37" s="129">
        <v>1</v>
      </c>
    </row>
    <row r="38" spans="1:82" s="124" customFormat="1">
      <c r="A38" s="265"/>
      <c r="B38" s="270">
        <v>6408</v>
      </c>
      <c r="C38" s="270" t="s">
        <v>30</v>
      </c>
      <c r="D38" s="264">
        <f>'CF 2017'!O42*1.05</f>
        <v>17931745.265165031</v>
      </c>
      <c r="E38" s="264">
        <f t="shared" si="23"/>
        <v>17931745.265165031</v>
      </c>
      <c r="F38" s="264">
        <f t="shared" si="24"/>
        <v>18552183.65133974</v>
      </c>
      <c r="G38" s="264">
        <f t="shared" si="27"/>
        <v>18355530.504635539</v>
      </c>
      <c r="H38" s="264">
        <f t="shared" si="25"/>
        <v>17779166.846789982</v>
      </c>
      <c r="I38" s="264">
        <f t="shared" si="26"/>
        <v>15828792.243697122</v>
      </c>
      <c r="J38" s="264">
        <f t="shared" si="28"/>
        <v>16093133.074166862</v>
      </c>
      <c r="K38" s="264">
        <f t="shared" si="17"/>
        <v>17547952.304071549</v>
      </c>
      <c r="L38" s="264">
        <f t="shared" si="18"/>
        <v>19134287.192359619</v>
      </c>
      <c r="M38" s="264">
        <f t="shared" si="19"/>
        <v>20864026.75454893</v>
      </c>
      <c r="N38" s="264">
        <f t="shared" si="20"/>
        <v>22750134.773160156</v>
      </c>
      <c r="O38" s="320">
        <f t="shared" si="21"/>
        <v>24806746.956653837</v>
      </c>
      <c r="P38" s="321">
        <f t="shared" si="22"/>
        <v>227575444.83175343</v>
      </c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80"/>
      <c r="BK38" s="80"/>
      <c r="BL38" s="80"/>
      <c r="BM38" s="80"/>
      <c r="BN38" s="80"/>
      <c r="BO38" s="118">
        <v>17000000</v>
      </c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D38" s="129">
        <v>17</v>
      </c>
    </row>
    <row r="39" spans="1:82" s="124" customFormat="1">
      <c r="A39" s="265"/>
      <c r="B39" s="270">
        <v>6409</v>
      </c>
      <c r="C39" s="270" t="s">
        <v>31</v>
      </c>
      <c r="D39" s="264">
        <f>'CF 2017'!O43*1.05</f>
        <v>527404.2725048539</v>
      </c>
      <c r="E39" s="264">
        <f t="shared" si="23"/>
        <v>527404.2725048539</v>
      </c>
      <c r="F39" s="264">
        <f t="shared" si="24"/>
        <v>545652.46033352183</v>
      </c>
      <c r="G39" s="264">
        <f t="shared" si="27"/>
        <v>539868.54425398656</v>
      </c>
      <c r="H39" s="264">
        <f t="shared" si="25"/>
        <v>522916.67196441139</v>
      </c>
      <c r="I39" s="264">
        <f t="shared" si="26"/>
        <v>465552.71304991544</v>
      </c>
      <c r="J39" s="264">
        <f t="shared" si="28"/>
        <v>473327.44335784897</v>
      </c>
      <c r="K39" s="264">
        <f t="shared" si="17"/>
        <v>516116.24423739855</v>
      </c>
      <c r="L39" s="264">
        <f t="shared" si="18"/>
        <v>562773.15271645947</v>
      </c>
      <c r="M39" s="264">
        <f t="shared" si="19"/>
        <v>613647.84572202747</v>
      </c>
      <c r="N39" s="264">
        <f t="shared" si="20"/>
        <v>669121.6109752988</v>
      </c>
      <c r="O39" s="320">
        <f t="shared" si="21"/>
        <v>729610.20460746589</v>
      </c>
      <c r="P39" s="321">
        <f t="shared" si="22"/>
        <v>6693395.4362280425</v>
      </c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80"/>
      <c r="BK39" s="80"/>
      <c r="BL39" s="80"/>
      <c r="BM39" s="80"/>
      <c r="BN39" s="80"/>
      <c r="BO39" s="118">
        <v>500000</v>
      </c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D39" s="129">
        <v>0.5</v>
      </c>
    </row>
    <row r="40" spans="1:82" s="124" customFormat="1">
      <c r="A40" s="265"/>
      <c r="B40" s="270">
        <v>6410</v>
      </c>
      <c r="C40" s="270" t="s">
        <v>32</v>
      </c>
      <c r="D40" s="264">
        <f>'CF 2017'!O44*1.05</f>
        <v>52740427.250485398</v>
      </c>
      <c r="E40" s="264">
        <f t="shared" si="23"/>
        <v>52740427.250485398</v>
      </c>
      <c r="F40" s="264">
        <f t="shared" si="24"/>
        <v>54565246.033352189</v>
      </c>
      <c r="G40" s="264">
        <f t="shared" si="27"/>
        <v>53986854.425398663</v>
      </c>
      <c r="H40" s="264">
        <f t="shared" si="25"/>
        <v>52291667.196441144</v>
      </c>
      <c r="I40" s="264">
        <f t="shared" si="26"/>
        <v>46555271.304991551</v>
      </c>
      <c r="J40" s="264">
        <f t="shared" si="28"/>
        <v>47332744.335784905</v>
      </c>
      <c r="K40" s="264">
        <f t="shared" si="17"/>
        <v>51611624.423739865</v>
      </c>
      <c r="L40" s="264">
        <f t="shared" si="18"/>
        <v>56277315.271645956</v>
      </c>
      <c r="M40" s="264">
        <f t="shared" si="19"/>
        <v>61364784.572202757</v>
      </c>
      <c r="N40" s="264">
        <f t="shared" si="20"/>
        <v>66912161.097529888</v>
      </c>
      <c r="O40" s="320">
        <f t="shared" si="21"/>
        <v>72961020.460746601</v>
      </c>
      <c r="P40" s="321">
        <f t="shared" si="22"/>
        <v>669339543.62280428</v>
      </c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80"/>
      <c r="BK40" s="80"/>
      <c r="BL40" s="80"/>
      <c r="BM40" s="80"/>
      <c r="BN40" s="80"/>
      <c r="BO40" s="118">
        <v>50000000</v>
      </c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D40" s="129">
        <v>24.756499999999999</v>
      </c>
    </row>
    <row r="41" spans="1:82" s="124" customFormat="1">
      <c r="A41" s="265"/>
      <c r="B41" s="270">
        <v>6411</v>
      </c>
      <c r="C41" s="270" t="s">
        <v>33</v>
      </c>
      <c r="D41" s="264">
        <f>'CF 2017'!O45*1.05</f>
        <v>1582212.8175145616</v>
      </c>
      <c r="E41" s="264">
        <f t="shared" si="23"/>
        <v>1582212.8175145616</v>
      </c>
      <c r="F41" s="264">
        <f t="shared" si="24"/>
        <v>1636957.3810005654</v>
      </c>
      <c r="G41" s="264">
        <f t="shared" si="27"/>
        <v>1619605.6327619595</v>
      </c>
      <c r="H41" s="264">
        <f t="shared" si="25"/>
        <v>1568750.0158932339</v>
      </c>
      <c r="I41" s="264">
        <f t="shared" si="26"/>
        <v>1396658.1391497462</v>
      </c>
      <c r="J41" s="264">
        <f t="shared" si="28"/>
        <v>1419982.3300735469</v>
      </c>
      <c r="K41" s="264">
        <f t="shared" si="17"/>
        <v>1548348.7327121955</v>
      </c>
      <c r="L41" s="264">
        <f t="shared" si="18"/>
        <v>1688319.4581493782</v>
      </c>
      <c r="M41" s="264">
        <f t="shared" si="19"/>
        <v>1840943.5371660821</v>
      </c>
      <c r="N41" s="264">
        <f t="shared" si="20"/>
        <v>2007364.8329258959</v>
      </c>
      <c r="O41" s="320">
        <f t="shared" si="21"/>
        <v>2188830.6138223968</v>
      </c>
      <c r="P41" s="321">
        <f t="shared" si="22"/>
        <v>20080186.308684126</v>
      </c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80"/>
      <c r="BK41" s="80"/>
      <c r="BL41" s="80"/>
      <c r="BM41" s="80"/>
      <c r="BN41" s="80"/>
      <c r="BO41" s="118">
        <v>1500000</v>
      </c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D41" s="129">
        <v>1.5</v>
      </c>
    </row>
    <row r="42" spans="1:82" s="124" customFormat="1">
      <c r="A42" s="265"/>
      <c r="B42" s="270">
        <v>6412</v>
      </c>
      <c r="C42" s="270" t="s">
        <v>34</v>
      </c>
      <c r="D42" s="264">
        <f>'CF 2017'!O46*1.05</f>
        <v>63288512.700582467</v>
      </c>
      <c r="E42" s="264">
        <f t="shared" si="23"/>
        <v>63288512.700582467</v>
      </c>
      <c r="F42" s="264">
        <f t="shared" si="24"/>
        <v>65478295.240022615</v>
      </c>
      <c r="G42" s="264">
        <f t="shared" si="27"/>
        <v>64784225.310478382</v>
      </c>
      <c r="H42" s="264">
        <f t="shared" si="25"/>
        <v>62750000.635729358</v>
      </c>
      <c r="I42" s="264">
        <f t="shared" si="26"/>
        <v>55866325.565989845</v>
      </c>
      <c r="J42" s="264">
        <f t="shared" si="28"/>
        <v>56799293.202941865</v>
      </c>
      <c r="K42" s="264">
        <f t="shared" si="17"/>
        <v>61933949.30848781</v>
      </c>
      <c r="L42" s="264">
        <f t="shared" si="18"/>
        <v>67532778.32597512</v>
      </c>
      <c r="M42" s="264">
        <f t="shared" si="19"/>
        <v>73637741.48664327</v>
      </c>
      <c r="N42" s="264">
        <f t="shared" si="20"/>
        <v>80294593.317035824</v>
      </c>
      <c r="O42" s="320">
        <f t="shared" si="21"/>
        <v>87553224.552895874</v>
      </c>
      <c r="P42" s="321">
        <f t="shared" si="22"/>
        <v>803207452.34736502</v>
      </c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80"/>
      <c r="BK42" s="80"/>
      <c r="BL42" s="80"/>
      <c r="BM42" s="80"/>
      <c r="BN42" s="80"/>
      <c r="BO42" s="118">
        <v>60000000</v>
      </c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D42" s="129">
        <v>60</v>
      </c>
    </row>
    <row r="43" spans="1:82" s="124" customFormat="1">
      <c r="A43" s="265"/>
      <c r="B43" s="270">
        <v>6413</v>
      </c>
      <c r="C43" s="270" t="s">
        <v>35</v>
      </c>
      <c r="D43" s="264">
        <f>'CF 2017'!O47*1.05</f>
        <v>12898801.636118712</v>
      </c>
      <c r="E43" s="264">
        <f t="shared" si="23"/>
        <v>12898801.636118712</v>
      </c>
      <c r="F43" s="264">
        <f t="shared" si="24"/>
        <v>13345100.172728419</v>
      </c>
      <c r="G43" s="264">
        <f t="shared" si="27"/>
        <v>13203642.1108975</v>
      </c>
      <c r="H43" s="264">
        <f t="shared" si="25"/>
        <v>12789047.748615319</v>
      </c>
      <c r="I43" s="264">
        <f t="shared" si="26"/>
        <v>11386089.210592218</v>
      </c>
      <c r="J43" s="264">
        <f t="shared" si="28"/>
        <v>11576236.900409106</v>
      </c>
      <c r="K43" s="264">
        <f t="shared" si="17"/>
        <v>12622728.716206091</v>
      </c>
      <c r="L43" s="264">
        <f t="shared" si="18"/>
        <v>13763823.392151121</v>
      </c>
      <c r="M43" s="264">
        <f t="shared" si="19"/>
        <v>15008073.026801582</v>
      </c>
      <c r="N43" s="264">
        <f t="shared" si="20"/>
        <v>16364802.828424446</v>
      </c>
      <c r="O43" s="320">
        <f t="shared" si="21"/>
        <v>17844181.004114017</v>
      </c>
      <c r="P43" s="321">
        <f t="shared" si="22"/>
        <v>163701328.38317722</v>
      </c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80"/>
      <c r="BK43" s="80"/>
      <c r="BL43" s="80"/>
      <c r="BM43" s="80"/>
      <c r="BN43" s="80"/>
      <c r="BO43" s="118">
        <v>8500000</v>
      </c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D43" s="129">
        <v>8.5</v>
      </c>
    </row>
    <row r="44" spans="1:82" s="124" customFormat="1">
      <c r="A44" s="265"/>
      <c r="B44" s="270">
        <v>6414</v>
      </c>
      <c r="C44" s="270" t="s">
        <v>36</v>
      </c>
      <c r="D44" s="264">
        <f>'CF 2017'!O48*1.05</f>
        <v>0</v>
      </c>
      <c r="E44" s="264">
        <f t="shared" si="23"/>
        <v>0</v>
      </c>
      <c r="F44" s="264">
        <f t="shared" si="24"/>
        <v>0</v>
      </c>
      <c r="G44" s="264">
        <f t="shared" si="27"/>
        <v>0</v>
      </c>
      <c r="H44" s="264">
        <f t="shared" si="25"/>
        <v>0</v>
      </c>
      <c r="I44" s="264">
        <f t="shared" si="26"/>
        <v>0</v>
      </c>
      <c r="J44" s="264">
        <f t="shared" si="28"/>
        <v>0</v>
      </c>
      <c r="K44" s="264">
        <f t="shared" si="17"/>
        <v>0</v>
      </c>
      <c r="L44" s="264">
        <f t="shared" si="18"/>
        <v>0</v>
      </c>
      <c r="M44" s="264">
        <f t="shared" si="19"/>
        <v>0</v>
      </c>
      <c r="N44" s="264">
        <f t="shared" si="20"/>
        <v>0</v>
      </c>
      <c r="O44" s="320">
        <f t="shared" si="21"/>
        <v>0</v>
      </c>
      <c r="P44" s="321">
        <f t="shared" si="22"/>
        <v>0</v>
      </c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80"/>
      <c r="BK44" s="80"/>
      <c r="BL44" s="80"/>
      <c r="BM44" s="80"/>
      <c r="BN44" s="80"/>
      <c r="BO44" s="118">
        <v>0</v>
      </c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D44" s="129"/>
    </row>
    <row r="45" spans="1:82" s="124" customFormat="1">
      <c r="A45" s="265"/>
      <c r="B45" s="270">
        <v>6415</v>
      </c>
      <c r="C45" s="270" t="s">
        <v>37</v>
      </c>
      <c r="D45" s="264">
        <f>'CF 2017'!O49*1.05</f>
        <v>0</v>
      </c>
      <c r="E45" s="264">
        <f t="shared" si="23"/>
        <v>0</v>
      </c>
      <c r="F45" s="264">
        <f t="shared" si="24"/>
        <v>0</v>
      </c>
      <c r="G45" s="264">
        <f t="shared" si="27"/>
        <v>0</v>
      </c>
      <c r="H45" s="264">
        <f t="shared" si="25"/>
        <v>0</v>
      </c>
      <c r="I45" s="264">
        <f t="shared" si="26"/>
        <v>0</v>
      </c>
      <c r="J45" s="264">
        <f t="shared" si="28"/>
        <v>0</v>
      </c>
      <c r="K45" s="264">
        <f t="shared" si="17"/>
        <v>0</v>
      </c>
      <c r="L45" s="264">
        <f t="shared" si="18"/>
        <v>0</v>
      </c>
      <c r="M45" s="264">
        <f t="shared" si="19"/>
        <v>0</v>
      </c>
      <c r="N45" s="264">
        <f t="shared" si="20"/>
        <v>0</v>
      </c>
      <c r="O45" s="320">
        <f t="shared" si="21"/>
        <v>0</v>
      </c>
      <c r="P45" s="321">
        <f t="shared" si="22"/>
        <v>0</v>
      </c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80"/>
      <c r="BK45" s="80"/>
      <c r="BL45" s="80"/>
      <c r="BM45" s="80"/>
      <c r="BN45" s="80"/>
      <c r="BO45" s="118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D45" s="129">
        <v>2.5</v>
      </c>
    </row>
    <row r="46" spans="1:82" s="124" customFormat="1">
      <c r="A46" s="265"/>
      <c r="B46" s="270">
        <v>6416</v>
      </c>
      <c r="C46" s="270" t="s">
        <v>38</v>
      </c>
      <c r="D46" s="264">
        <f>'CF 2017'!O50*1.05</f>
        <v>13712511.085126201</v>
      </c>
      <c r="E46" s="264">
        <f t="shared" si="23"/>
        <v>13712511.085126201</v>
      </c>
      <c r="F46" s="264">
        <f t="shared" si="24"/>
        <v>14186963.968671566</v>
      </c>
      <c r="G46" s="264">
        <f t="shared" si="27"/>
        <v>14036582.150603648</v>
      </c>
      <c r="H46" s="264">
        <f t="shared" si="25"/>
        <v>13595833.471074693</v>
      </c>
      <c r="I46" s="264">
        <f t="shared" si="26"/>
        <v>12104370.539297799</v>
      </c>
      <c r="J46" s="264">
        <f t="shared" si="28"/>
        <v>12306513.52730407</v>
      </c>
      <c r="K46" s="264">
        <f t="shared" si="17"/>
        <v>13419022.350172359</v>
      </c>
      <c r="L46" s="264">
        <f t="shared" si="18"/>
        <v>14632101.970627941</v>
      </c>
      <c r="M46" s="264">
        <f t="shared" si="19"/>
        <v>15954843.988772709</v>
      </c>
      <c r="N46" s="264">
        <f t="shared" si="20"/>
        <v>17397161.885357764</v>
      </c>
      <c r="O46" s="320">
        <f t="shared" si="21"/>
        <v>18969865.319794107</v>
      </c>
      <c r="P46" s="321">
        <f t="shared" si="22"/>
        <v>174028281.34192908</v>
      </c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80"/>
      <c r="BK46" s="80"/>
      <c r="BL46" s="80"/>
      <c r="BM46" s="80"/>
      <c r="BN46" s="80"/>
      <c r="BO46" s="118">
        <v>13000000</v>
      </c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D46" s="129">
        <v>13</v>
      </c>
    </row>
    <row r="47" spans="1:82" s="124" customFormat="1">
      <c r="A47" s="265"/>
      <c r="B47" s="270">
        <v>6417</v>
      </c>
      <c r="C47" s="270" t="s">
        <v>39</v>
      </c>
      <c r="D47" s="264">
        <f>'CF 2017'!O51*1.05</f>
        <v>4219234.1800388312</v>
      </c>
      <c r="E47" s="264">
        <f t="shared" si="23"/>
        <v>4219234.1800388312</v>
      </c>
      <c r="F47" s="264">
        <f t="shared" si="24"/>
        <v>4365219.6826681746</v>
      </c>
      <c r="G47" s="264">
        <f t="shared" si="27"/>
        <v>4318948.3540318925</v>
      </c>
      <c r="H47" s="264">
        <f t="shared" si="25"/>
        <v>4183333.3757152911</v>
      </c>
      <c r="I47" s="264">
        <f t="shared" si="26"/>
        <v>3724421.7043993236</v>
      </c>
      <c r="J47" s="264">
        <f t="shared" si="28"/>
        <v>3786619.5468627918</v>
      </c>
      <c r="K47" s="264">
        <f t="shared" si="17"/>
        <v>4128929.9538991884</v>
      </c>
      <c r="L47" s="264">
        <f t="shared" si="18"/>
        <v>4502185.2217316758</v>
      </c>
      <c r="M47" s="264">
        <f t="shared" si="19"/>
        <v>4909182.7657762198</v>
      </c>
      <c r="N47" s="264">
        <f t="shared" si="20"/>
        <v>5352972.8878023904</v>
      </c>
      <c r="O47" s="320">
        <f t="shared" si="21"/>
        <v>5836881.6368597271</v>
      </c>
      <c r="P47" s="321">
        <f t="shared" si="22"/>
        <v>53547163.48982434</v>
      </c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80"/>
      <c r="BK47" s="80"/>
      <c r="BL47" s="80"/>
      <c r="BM47" s="80"/>
      <c r="BN47" s="80"/>
      <c r="BO47" s="118">
        <v>4000000</v>
      </c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D47" s="129">
        <v>4</v>
      </c>
    </row>
    <row r="48" spans="1:82" s="124" customFormat="1">
      <c r="A48" s="265"/>
      <c r="B48" s="270">
        <v>6418</v>
      </c>
      <c r="C48" s="270" t="s">
        <v>40</v>
      </c>
      <c r="D48" s="264">
        <f>'CF 2017'!O52*1.05</f>
        <v>6961736.3970640702</v>
      </c>
      <c r="E48" s="264">
        <f t="shared" si="23"/>
        <v>6961736.3970640702</v>
      </c>
      <c r="F48" s="264">
        <f t="shared" si="24"/>
        <v>7202612.4764024867</v>
      </c>
      <c r="G48" s="264">
        <f t="shared" si="27"/>
        <v>7126264.7841526214</v>
      </c>
      <c r="H48" s="264">
        <f t="shared" si="25"/>
        <v>6902500.0699302293</v>
      </c>
      <c r="I48" s="264">
        <f t="shared" si="26"/>
        <v>6145295.8122588834</v>
      </c>
      <c r="J48" s="264">
        <f t="shared" si="28"/>
        <v>6247922.2523236061</v>
      </c>
      <c r="K48" s="264">
        <f t="shared" si="17"/>
        <v>6812734.4239336606</v>
      </c>
      <c r="L48" s="264">
        <f t="shared" si="18"/>
        <v>7428605.615857264</v>
      </c>
      <c r="M48" s="264">
        <f t="shared" si="19"/>
        <v>8100151.5635307608</v>
      </c>
      <c r="N48" s="264">
        <f t="shared" si="20"/>
        <v>8832405.2648739424</v>
      </c>
      <c r="O48" s="320">
        <f t="shared" si="21"/>
        <v>9630854.700818548</v>
      </c>
      <c r="P48" s="321">
        <f t="shared" si="22"/>
        <v>88352819.758210152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80"/>
      <c r="BK48" s="80"/>
      <c r="BL48" s="80"/>
      <c r="BM48" s="80"/>
      <c r="BN48" s="80"/>
      <c r="BO48" s="118">
        <v>6600000</v>
      </c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D48" s="129">
        <v>6.6</v>
      </c>
    </row>
    <row r="49" spans="1:82" s="124" customFormat="1">
      <c r="A49" s="265"/>
      <c r="B49" s="270">
        <v>6419</v>
      </c>
      <c r="C49" s="270" t="s">
        <v>41</v>
      </c>
      <c r="D49" s="264">
        <f>'CF 2017'!O53*1.05</f>
        <v>6328851.2700582463</v>
      </c>
      <c r="E49" s="264">
        <f t="shared" si="23"/>
        <v>6328851.2700582463</v>
      </c>
      <c r="F49" s="264">
        <f t="shared" si="24"/>
        <v>6547829.5240022615</v>
      </c>
      <c r="G49" s="264">
        <f t="shared" si="27"/>
        <v>6478422.5310478378</v>
      </c>
      <c r="H49" s="264">
        <f t="shared" si="25"/>
        <v>6275000.0635729358</v>
      </c>
      <c r="I49" s="264">
        <f t="shared" si="26"/>
        <v>5586632.5565989846</v>
      </c>
      <c r="J49" s="264">
        <f t="shared" si="28"/>
        <v>5679929.3202941874</v>
      </c>
      <c r="K49" s="264">
        <f t="shared" si="17"/>
        <v>6193394.930848782</v>
      </c>
      <c r="L49" s="264">
        <f t="shared" si="18"/>
        <v>6753277.8325975128</v>
      </c>
      <c r="M49" s="264">
        <f t="shared" si="19"/>
        <v>7363774.1486643283</v>
      </c>
      <c r="N49" s="264">
        <f t="shared" si="20"/>
        <v>8029459.3317035837</v>
      </c>
      <c r="O49" s="320">
        <f t="shared" si="21"/>
        <v>8755322.4552895874</v>
      </c>
      <c r="P49" s="321">
        <f t="shared" si="22"/>
        <v>80320745.234736502</v>
      </c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80"/>
      <c r="BK49" s="80"/>
      <c r="BL49" s="80"/>
      <c r="BM49" s="80"/>
      <c r="BN49" s="80"/>
      <c r="BO49" s="118">
        <v>6000000</v>
      </c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D49" s="129">
        <v>6</v>
      </c>
    </row>
    <row r="50" spans="1:82" s="124" customFormat="1">
      <c r="A50" s="265"/>
      <c r="B50" s="270">
        <v>6420</v>
      </c>
      <c r="C50" s="270" t="s">
        <v>42</v>
      </c>
      <c r="D50" s="264">
        <f>'CF 2017'!O54*1.05</f>
        <v>2637021.3625242691</v>
      </c>
      <c r="E50" s="264">
        <f t="shared" si="23"/>
        <v>2637021.3625242691</v>
      </c>
      <c r="F50" s="264">
        <f t="shared" si="24"/>
        <v>2728262.3016676088</v>
      </c>
      <c r="G50" s="264">
        <f t="shared" si="27"/>
        <v>2699342.7212699326</v>
      </c>
      <c r="H50" s="264">
        <f t="shared" si="25"/>
        <v>2614583.3598220567</v>
      </c>
      <c r="I50" s="264">
        <f t="shared" si="26"/>
        <v>2327763.5652495772</v>
      </c>
      <c r="J50" s="264">
        <f t="shared" si="28"/>
        <v>2366637.2167892447</v>
      </c>
      <c r="K50" s="264">
        <f t="shared" si="17"/>
        <v>2580581.2211869927</v>
      </c>
      <c r="L50" s="264">
        <f t="shared" si="18"/>
        <v>2813865.7635822971</v>
      </c>
      <c r="M50" s="264">
        <f t="shared" si="19"/>
        <v>3068239.228610137</v>
      </c>
      <c r="N50" s="264">
        <f t="shared" si="20"/>
        <v>3345608.0548764938</v>
      </c>
      <c r="O50" s="320">
        <f t="shared" si="21"/>
        <v>3648051.0230373289</v>
      </c>
      <c r="P50" s="321">
        <f t="shared" si="22"/>
        <v>33466977.181140207</v>
      </c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80"/>
      <c r="BK50" s="80"/>
      <c r="BL50" s="80"/>
      <c r="BM50" s="80"/>
      <c r="BN50" s="80"/>
      <c r="BO50" s="118">
        <v>2500000</v>
      </c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D50" s="129">
        <v>2.5</v>
      </c>
    </row>
    <row r="51" spans="1:82" s="124" customFormat="1">
      <c r="A51" s="265"/>
      <c r="B51" s="270">
        <v>6421</v>
      </c>
      <c r="C51" s="270" t="s">
        <v>43</v>
      </c>
      <c r="D51" s="264">
        <f>'CF 2017'!O55*1.05</f>
        <v>3879750</v>
      </c>
      <c r="E51" s="264">
        <f t="shared" si="23"/>
        <v>3879750</v>
      </c>
      <c r="F51" s="264">
        <f t="shared" si="24"/>
        <v>4013989.3499999996</v>
      </c>
      <c r="G51" s="264">
        <f t="shared" si="27"/>
        <v>3971441.0628900002</v>
      </c>
      <c r="H51" s="264">
        <f t="shared" si="25"/>
        <v>3846737.8135152543</v>
      </c>
      <c r="I51" s="264">
        <f t="shared" si="26"/>
        <v>3424750.6753726308</v>
      </c>
      <c r="J51" s="264">
        <f t="shared" si="28"/>
        <v>3481944.0116513534</v>
      </c>
      <c r="K51" s="264">
        <f t="shared" si="17"/>
        <v>3796711.7503046361</v>
      </c>
      <c r="L51" s="264">
        <f t="shared" si="18"/>
        <v>4139934.4925321755</v>
      </c>
      <c r="M51" s="264">
        <f t="shared" si="19"/>
        <v>4514184.5706570847</v>
      </c>
      <c r="N51" s="264">
        <f t="shared" si="20"/>
        <v>4922266.8558444856</v>
      </c>
      <c r="O51" s="320">
        <f t="shared" si="21"/>
        <v>5367239.7796128271</v>
      </c>
      <c r="P51" s="321">
        <f t="shared" si="22"/>
        <v>49238700.362380438</v>
      </c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80"/>
      <c r="BK51" s="80"/>
      <c r="BL51" s="80"/>
      <c r="BM51" s="80"/>
      <c r="BN51" s="80"/>
      <c r="BO51" s="118">
        <v>0</v>
      </c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D51" s="129"/>
    </row>
    <row r="52" spans="1:82" s="124" customFormat="1">
      <c r="A52" s="265"/>
      <c r="B52" s="270">
        <v>6422</v>
      </c>
      <c r="C52" s="270" t="s">
        <v>44</v>
      </c>
      <c r="D52" s="264">
        <f>'CF 2017'!O56*1.05</f>
        <v>15822128.175145617</v>
      </c>
      <c r="E52" s="264">
        <f t="shared" si="23"/>
        <v>15822128.175145617</v>
      </c>
      <c r="F52" s="264">
        <f t="shared" si="24"/>
        <v>16369573.810005654</v>
      </c>
      <c r="G52" s="264">
        <f t="shared" si="27"/>
        <v>16196056.327619595</v>
      </c>
      <c r="H52" s="264">
        <f t="shared" si="25"/>
        <v>15687500.158932339</v>
      </c>
      <c r="I52" s="264">
        <f t="shared" si="26"/>
        <v>13966581.391497461</v>
      </c>
      <c r="J52" s="264">
        <f t="shared" si="28"/>
        <v>14199823.300735466</v>
      </c>
      <c r="K52" s="264">
        <f t="shared" si="17"/>
        <v>15483487.327121953</v>
      </c>
      <c r="L52" s="264">
        <f t="shared" si="18"/>
        <v>16883194.58149378</v>
      </c>
      <c r="M52" s="264">
        <f t="shared" si="19"/>
        <v>18409435.371660817</v>
      </c>
      <c r="N52" s="264">
        <f t="shared" si="20"/>
        <v>20073648.329258956</v>
      </c>
      <c r="O52" s="320">
        <f t="shared" si="21"/>
        <v>21888306.138223968</v>
      </c>
      <c r="P52" s="321">
        <f t="shared" si="22"/>
        <v>200801863.08684126</v>
      </c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80"/>
      <c r="BK52" s="80"/>
      <c r="BL52" s="80"/>
      <c r="BM52" s="80"/>
      <c r="BN52" s="80"/>
      <c r="BO52" s="118">
        <v>15000000</v>
      </c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D52" s="129">
        <v>11</v>
      </c>
    </row>
    <row r="53" spans="1:82" s="124" customFormat="1">
      <c r="A53" s="265"/>
      <c r="B53" s="270">
        <v>6423</v>
      </c>
      <c r="C53" s="270" t="s">
        <v>45</v>
      </c>
      <c r="D53" s="264">
        <f>'CF 2017'!O57*1.05</f>
        <v>13712511.085126201</v>
      </c>
      <c r="E53" s="264">
        <f t="shared" si="23"/>
        <v>13712511.085126201</v>
      </c>
      <c r="F53" s="264">
        <f t="shared" si="24"/>
        <v>14186963.968671566</v>
      </c>
      <c r="G53" s="264">
        <f t="shared" si="27"/>
        <v>14036582.150603648</v>
      </c>
      <c r="H53" s="264">
        <f t="shared" si="25"/>
        <v>13595833.471074693</v>
      </c>
      <c r="I53" s="264">
        <f t="shared" si="26"/>
        <v>12104370.539297799</v>
      </c>
      <c r="J53" s="264">
        <f t="shared" si="28"/>
        <v>12306513.52730407</v>
      </c>
      <c r="K53" s="264">
        <f t="shared" si="17"/>
        <v>13419022.350172359</v>
      </c>
      <c r="L53" s="264">
        <f t="shared" si="18"/>
        <v>14632101.970627941</v>
      </c>
      <c r="M53" s="264">
        <f t="shared" si="19"/>
        <v>15954843.988772709</v>
      </c>
      <c r="N53" s="264">
        <f t="shared" si="20"/>
        <v>17397161.885357764</v>
      </c>
      <c r="O53" s="320">
        <f t="shared" si="21"/>
        <v>18969865.319794107</v>
      </c>
      <c r="P53" s="321">
        <f t="shared" si="22"/>
        <v>174028281.34192908</v>
      </c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80"/>
      <c r="BK53" s="80"/>
      <c r="BL53" s="80"/>
      <c r="BM53" s="80"/>
      <c r="BN53" s="80"/>
      <c r="BO53" s="118">
        <v>13000000</v>
      </c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D53" s="129">
        <v>11</v>
      </c>
    </row>
    <row r="54" spans="1:82" s="124" customFormat="1">
      <c r="A54" s="265"/>
      <c r="B54" s="270">
        <v>6424</v>
      </c>
      <c r="C54" s="270" t="s">
        <v>46</v>
      </c>
      <c r="D54" s="264">
        <f>'CF 2017'!O58*1.05</f>
        <v>28169064</v>
      </c>
      <c r="E54" s="264">
        <f>+D54</f>
        <v>28169064</v>
      </c>
      <c r="F54" s="264">
        <f t="shared" ref="F54:O54" si="29">+E54</f>
        <v>28169064</v>
      </c>
      <c r="G54" s="264">
        <f t="shared" si="27"/>
        <v>27870471.921600003</v>
      </c>
      <c r="H54" s="264">
        <f t="shared" si="29"/>
        <v>27870471.921600003</v>
      </c>
      <c r="I54" s="264">
        <f t="shared" si="29"/>
        <v>27870471.921600003</v>
      </c>
      <c r="J54" s="264">
        <f t="shared" si="29"/>
        <v>27870471.921600003</v>
      </c>
      <c r="K54" s="264">
        <f t="shared" si="29"/>
        <v>27870471.921600003</v>
      </c>
      <c r="L54" s="264">
        <f t="shared" si="29"/>
        <v>27870471.921600003</v>
      </c>
      <c r="M54" s="264">
        <f t="shared" si="29"/>
        <v>27870471.921600003</v>
      </c>
      <c r="N54" s="264">
        <f t="shared" si="29"/>
        <v>27870471.921600003</v>
      </c>
      <c r="O54" s="264">
        <f t="shared" si="29"/>
        <v>27870471.921600003</v>
      </c>
      <c r="P54" s="321">
        <f t="shared" si="22"/>
        <v>335341439.29440004</v>
      </c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80"/>
      <c r="BK54" s="80"/>
      <c r="BL54" s="80"/>
      <c r="BM54" s="80"/>
      <c r="BN54" s="80"/>
      <c r="BO54" s="118">
        <v>0</v>
      </c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D54" s="129"/>
    </row>
    <row r="55" spans="1:82" s="124" customFormat="1">
      <c r="A55" s="265"/>
      <c r="B55" s="269" t="s">
        <v>47</v>
      </c>
      <c r="C55" s="270"/>
      <c r="D55" s="264">
        <f>'CF 2017'!O59*1.05</f>
        <v>0</v>
      </c>
      <c r="E55" s="264">
        <f t="shared" si="23"/>
        <v>0</v>
      </c>
      <c r="F55" s="264">
        <f t="shared" si="24"/>
        <v>0</v>
      </c>
      <c r="G55" s="264">
        <f t="shared" si="27"/>
        <v>0</v>
      </c>
      <c r="H55" s="264">
        <f t="shared" si="25"/>
        <v>0</v>
      </c>
      <c r="I55" s="264">
        <f t="shared" si="26"/>
        <v>0</v>
      </c>
      <c r="J55" s="264">
        <f t="shared" si="28"/>
        <v>0</v>
      </c>
      <c r="K55" s="264">
        <f t="shared" si="17"/>
        <v>0</v>
      </c>
      <c r="L55" s="264">
        <f t="shared" si="18"/>
        <v>0</v>
      </c>
      <c r="M55" s="264">
        <f t="shared" si="19"/>
        <v>0</v>
      </c>
      <c r="N55" s="264">
        <f t="shared" si="20"/>
        <v>0</v>
      </c>
      <c r="O55" s="320">
        <f t="shared" si="21"/>
        <v>0</v>
      </c>
      <c r="P55" s="321">
        <f t="shared" si="22"/>
        <v>0</v>
      </c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80"/>
      <c r="BK55" s="80"/>
      <c r="BL55" s="80"/>
      <c r="BM55" s="80"/>
      <c r="BN55" s="80"/>
      <c r="BO55" s="118">
        <v>0</v>
      </c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D55" s="129"/>
    </row>
    <row r="56" spans="1:82" s="124" customFormat="1">
      <c r="A56" s="265"/>
      <c r="B56" s="270">
        <v>6300</v>
      </c>
      <c r="C56" s="270" t="s">
        <v>48</v>
      </c>
      <c r="D56" s="264">
        <f>'CF 2017'!O60*1.05</f>
        <v>4008272.4710368891</v>
      </c>
      <c r="E56" s="264">
        <f t="shared" si="23"/>
        <v>4008272.4710368891</v>
      </c>
      <c r="F56" s="264">
        <f t="shared" si="24"/>
        <v>4146958.6985347653</v>
      </c>
      <c r="G56" s="264">
        <f t="shared" si="27"/>
        <v>4103000.936330297</v>
      </c>
      <c r="H56" s="264">
        <f t="shared" si="25"/>
        <v>3974166.7069295258</v>
      </c>
      <c r="I56" s="264">
        <f t="shared" si="26"/>
        <v>3538200.6191793568</v>
      </c>
      <c r="J56" s="264">
        <f t="shared" si="28"/>
        <v>3597288.5695196516</v>
      </c>
      <c r="K56" s="264">
        <f t="shared" si="17"/>
        <v>3922483.4562042281</v>
      </c>
      <c r="L56" s="264">
        <f t="shared" si="18"/>
        <v>4277075.9606450908</v>
      </c>
      <c r="M56" s="264">
        <f t="shared" si="19"/>
        <v>4663723.6274874071</v>
      </c>
      <c r="N56" s="264">
        <f t="shared" si="20"/>
        <v>5085324.2434122693</v>
      </c>
      <c r="O56" s="320">
        <f t="shared" si="21"/>
        <v>5545037.5550167384</v>
      </c>
      <c r="P56" s="321">
        <f t="shared" si="22"/>
        <v>50869805.315333113</v>
      </c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80"/>
      <c r="BK56" s="80"/>
      <c r="BL56" s="80"/>
      <c r="BM56" s="80"/>
      <c r="BN56" s="80"/>
      <c r="BO56" s="118">
        <v>0</v>
      </c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D56" s="129">
        <v>0</v>
      </c>
    </row>
    <row r="57" spans="1:82" s="124" customFormat="1">
      <c r="A57" s="265"/>
      <c r="B57" s="270">
        <v>6301</v>
      </c>
      <c r="C57" s="270" t="s">
        <v>49</v>
      </c>
      <c r="D57" s="264">
        <f>'CF 2017'!O61*1.05</f>
        <v>502289.78333795618</v>
      </c>
      <c r="E57" s="264">
        <f t="shared" si="23"/>
        <v>502289.78333795618</v>
      </c>
      <c r="F57" s="264">
        <f t="shared" si="24"/>
        <v>519669.00984144944</v>
      </c>
      <c r="G57" s="264">
        <f t="shared" si="27"/>
        <v>514160.51833713014</v>
      </c>
      <c r="H57" s="264">
        <f t="shared" si="25"/>
        <v>498015.87806134427</v>
      </c>
      <c r="I57" s="264">
        <f t="shared" si="26"/>
        <v>443383.53623801481</v>
      </c>
      <c r="J57" s="264">
        <f t="shared" si="28"/>
        <v>450788.04129318963</v>
      </c>
      <c r="K57" s="264">
        <f t="shared" si="17"/>
        <v>491539.28022609401</v>
      </c>
      <c r="L57" s="264">
        <f t="shared" si="18"/>
        <v>535974.43115853297</v>
      </c>
      <c r="M57" s="264">
        <f t="shared" si="19"/>
        <v>584426.51973526436</v>
      </c>
      <c r="N57" s="264">
        <f t="shared" si="20"/>
        <v>637258.67711933225</v>
      </c>
      <c r="O57" s="320">
        <f t="shared" si="21"/>
        <v>694866.86153091991</v>
      </c>
      <c r="P57" s="321">
        <f t="shared" si="22"/>
        <v>6374662.3202171838</v>
      </c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80"/>
      <c r="BK57" s="80"/>
      <c r="BL57" s="80"/>
      <c r="BM57" s="80"/>
      <c r="BN57" s="80"/>
      <c r="BO57" s="118">
        <v>0</v>
      </c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D57" s="129"/>
    </row>
    <row r="58" spans="1:82" s="124" customFormat="1">
      <c r="A58" s="265"/>
      <c r="B58" s="270">
        <v>6302</v>
      </c>
      <c r="C58" s="270" t="s">
        <v>50</v>
      </c>
      <c r="D58" s="264">
        <f>'CF 2017'!O62*1.05</f>
        <v>42192341.800388306</v>
      </c>
      <c r="E58" s="264">
        <f t="shared" si="23"/>
        <v>42192341.800388306</v>
      </c>
      <c r="F58" s="264">
        <f t="shared" si="24"/>
        <v>43652196.826681741</v>
      </c>
      <c r="G58" s="264">
        <f t="shared" si="27"/>
        <v>43189483.540318921</v>
      </c>
      <c r="H58" s="264">
        <f t="shared" si="25"/>
        <v>41833333.757152908</v>
      </c>
      <c r="I58" s="264">
        <f t="shared" si="26"/>
        <v>37244217.043993235</v>
      </c>
      <c r="J58" s="264">
        <f t="shared" si="28"/>
        <v>37866195.468627915</v>
      </c>
      <c r="K58" s="264">
        <f t="shared" si="17"/>
        <v>41289299.538991883</v>
      </c>
      <c r="L58" s="264">
        <f t="shared" si="18"/>
        <v>45021852.217316754</v>
      </c>
      <c r="M58" s="264">
        <f t="shared" si="19"/>
        <v>49091827.657762192</v>
      </c>
      <c r="N58" s="264">
        <f t="shared" si="20"/>
        <v>53529728.8780239</v>
      </c>
      <c r="O58" s="320">
        <f t="shared" si="21"/>
        <v>58368816.368597262</v>
      </c>
      <c r="P58" s="321">
        <f t="shared" si="22"/>
        <v>535471634.89824331</v>
      </c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80"/>
      <c r="BK58" s="80"/>
      <c r="BL58" s="80"/>
      <c r="BM58" s="80"/>
      <c r="BN58" s="80"/>
      <c r="BO58" s="118">
        <v>40000000</v>
      </c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D58" s="129">
        <v>17.661297916666669</v>
      </c>
    </row>
    <row r="59" spans="1:82" s="124" customFormat="1">
      <c r="A59" s="265"/>
      <c r="B59" s="270">
        <v>6303</v>
      </c>
      <c r="C59" s="270" t="s">
        <v>51</v>
      </c>
      <c r="D59" s="264">
        <f>'CF 2017'!O63*1.05</f>
        <v>5274042.7250485383</v>
      </c>
      <c r="E59" s="264">
        <f t="shared" si="23"/>
        <v>5274042.7250485383</v>
      </c>
      <c r="F59" s="264">
        <f t="shared" si="24"/>
        <v>5456524.6033352176</v>
      </c>
      <c r="G59" s="264">
        <f t="shared" si="27"/>
        <v>5398685.4425398652</v>
      </c>
      <c r="H59" s="264">
        <f t="shared" si="25"/>
        <v>5229166.7196441134</v>
      </c>
      <c r="I59" s="264">
        <f t="shared" si="26"/>
        <v>4655527.1304991543</v>
      </c>
      <c r="J59" s="264">
        <f t="shared" si="28"/>
        <v>4733274.4335784893</v>
      </c>
      <c r="K59" s="264">
        <f t="shared" si="17"/>
        <v>5161162.4423739854</v>
      </c>
      <c r="L59" s="264">
        <f t="shared" si="18"/>
        <v>5627731.5271645943</v>
      </c>
      <c r="M59" s="264">
        <f t="shared" si="19"/>
        <v>6136478.457220274</v>
      </c>
      <c r="N59" s="264">
        <f t="shared" si="20"/>
        <v>6691216.1097529875</v>
      </c>
      <c r="O59" s="320">
        <f t="shared" si="21"/>
        <v>7296102.0460746577</v>
      </c>
      <c r="P59" s="321">
        <f t="shared" si="22"/>
        <v>66933954.362280414</v>
      </c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80"/>
      <c r="BK59" s="80"/>
      <c r="BL59" s="80"/>
      <c r="BM59" s="80"/>
      <c r="BN59" s="80"/>
      <c r="BO59" s="118">
        <v>5000000</v>
      </c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D59" s="129">
        <v>5</v>
      </c>
    </row>
    <row r="60" spans="1:82" s="124" customFormat="1">
      <c r="A60" s="265"/>
      <c r="B60" s="270">
        <v>6304</v>
      </c>
      <c r="C60" s="270" t="s">
        <v>52</v>
      </c>
      <c r="D60" s="264">
        <f>'CF 2017'!O64*1.05</f>
        <v>10548085.450097077</v>
      </c>
      <c r="E60" s="264">
        <f t="shared" si="23"/>
        <v>10548085.450097077</v>
      </c>
      <c r="F60" s="264">
        <f t="shared" si="24"/>
        <v>10913049.206670435</v>
      </c>
      <c r="G60" s="264">
        <f t="shared" si="27"/>
        <v>10797370.88507973</v>
      </c>
      <c r="H60" s="264">
        <f t="shared" si="25"/>
        <v>10458333.439288227</v>
      </c>
      <c r="I60" s="264">
        <f t="shared" si="26"/>
        <v>9311054.2609983087</v>
      </c>
      <c r="J60" s="264">
        <f t="shared" si="28"/>
        <v>9466548.8671569787</v>
      </c>
      <c r="K60" s="264">
        <f t="shared" si="17"/>
        <v>10322324.884747971</v>
      </c>
      <c r="L60" s="264">
        <f t="shared" si="18"/>
        <v>11255463.054329189</v>
      </c>
      <c r="M60" s="264">
        <f t="shared" si="19"/>
        <v>12272956.914440548</v>
      </c>
      <c r="N60" s="264">
        <f t="shared" si="20"/>
        <v>13382432.219505975</v>
      </c>
      <c r="O60" s="320">
        <f t="shared" si="21"/>
        <v>14592204.092149315</v>
      </c>
      <c r="P60" s="321">
        <f t="shared" si="22"/>
        <v>133867908.72456083</v>
      </c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80"/>
      <c r="BK60" s="80"/>
      <c r="BL60" s="80"/>
      <c r="BM60" s="80"/>
      <c r="BN60" s="80"/>
      <c r="BO60" s="118">
        <v>10000000</v>
      </c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D60" s="129">
        <v>10</v>
      </c>
    </row>
    <row r="61" spans="1:82" s="124" customFormat="1">
      <c r="A61" s="265"/>
      <c r="B61" s="270">
        <v>6306</v>
      </c>
      <c r="C61" s="270" t="s">
        <v>53</v>
      </c>
      <c r="D61" s="264">
        <f>'CF 2017'!O65*1.05</f>
        <v>4504032.4871914526</v>
      </c>
      <c r="E61" s="264">
        <f t="shared" si="23"/>
        <v>4504032.4871914526</v>
      </c>
      <c r="F61" s="264">
        <f t="shared" si="24"/>
        <v>4659872.0112482766</v>
      </c>
      <c r="G61" s="264">
        <f t="shared" si="27"/>
        <v>4610477.3679290451</v>
      </c>
      <c r="H61" s="264">
        <f t="shared" si="25"/>
        <v>4465708.3785760729</v>
      </c>
      <c r="I61" s="264">
        <f t="shared" si="26"/>
        <v>3975820.1694462779</v>
      </c>
      <c r="J61" s="264">
        <f t="shared" si="28"/>
        <v>4042216.3662760304</v>
      </c>
      <c r="K61" s="264">
        <f t="shared" si="17"/>
        <v>4407632.7257873835</v>
      </c>
      <c r="L61" s="264">
        <f t="shared" si="18"/>
        <v>4806082.724198563</v>
      </c>
      <c r="M61" s="264">
        <f t="shared" si="19"/>
        <v>5240552.6024661139</v>
      </c>
      <c r="N61" s="264">
        <f t="shared" si="20"/>
        <v>5714298.5577290505</v>
      </c>
      <c r="O61" s="320">
        <f t="shared" si="21"/>
        <v>6230871.1473477567</v>
      </c>
      <c r="P61" s="321">
        <f t="shared" si="22"/>
        <v>57161597.025387481</v>
      </c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80"/>
      <c r="BK61" s="80"/>
      <c r="BL61" s="80"/>
      <c r="BM61" s="80"/>
      <c r="BN61" s="80"/>
      <c r="BO61" s="118">
        <v>4270000</v>
      </c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D61" s="129">
        <v>4.2699999999999996</v>
      </c>
    </row>
    <row r="62" spans="1:82" s="124" customFormat="1">
      <c r="A62" s="265"/>
      <c r="B62" s="270">
        <v>6307</v>
      </c>
      <c r="C62" s="270" t="s">
        <v>54</v>
      </c>
      <c r="D62" s="264">
        <f>'CF 2017'!O66*1.05</f>
        <v>70672172.515650436</v>
      </c>
      <c r="E62" s="264">
        <f t="shared" si="23"/>
        <v>70672172.515650436</v>
      </c>
      <c r="F62" s="264">
        <f t="shared" si="24"/>
        <v>73117429.684691936</v>
      </c>
      <c r="G62" s="264">
        <f t="shared" si="27"/>
        <v>72342384.930034205</v>
      </c>
      <c r="H62" s="264">
        <f t="shared" si="25"/>
        <v>70070834.04323113</v>
      </c>
      <c r="I62" s="264">
        <f t="shared" si="26"/>
        <v>62384063.548688672</v>
      </c>
      <c r="J62" s="264">
        <f t="shared" si="28"/>
        <v>63425877.409951769</v>
      </c>
      <c r="K62" s="264">
        <f t="shared" si="17"/>
        <v>69159576.727811411</v>
      </c>
      <c r="L62" s="264">
        <f t="shared" si="18"/>
        <v>75411602.46400556</v>
      </c>
      <c r="M62" s="264">
        <f t="shared" si="19"/>
        <v>82228811.326751664</v>
      </c>
      <c r="N62" s="264">
        <f t="shared" si="20"/>
        <v>89662295.870690018</v>
      </c>
      <c r="O62" s="320">
        <f t="shared" si="21"/>
        <v>97767767.417400405</v>
      </c>
      <c r="P62" s="321">
        <f t="shared" si="22"/>
        <v>896914988.45455766</v>
      </c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80"/>
      <c r="BK62" s="80"/>
      <c r="BL62" s="80"/>
      <c r="BM62" s="80"/>
      <c r="BN62" s="80"/>
      <c r="BO62" s="118">
        <v>67000000</v>
      </c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D62" s="129">
        <v>67.479608333333331</v>
      </c>
    </row>
    <row r="63" spans="1:82" s="124" customFormat="1">
      <c r="A63" s="265"/>
      <c r="B63" s="270"/>
      <c r="C63" s="270"/>
      <c r="D63" s="264">
        <f>'CF 2017'!O67*1.05</f>
        <v>0</v>
      </c>
      <c r="E63" s="264">
        <f t="shared" si="23"/>
        <v>0</v>
      </c>
      <c r="F63" s="264">
        <f t="shared" si="24"/>
        <v>0</v>
      </c>
      <c r="G63" s="264">
        <f t="shared" si="27"/>
        <v>0</v>
      </c>
      <c r="H63" s="264">
        <f t="shared" si="25"/>
        <v>0</v>
      </c>
      <c r="I63" s="264">
        <f t="shared" si="26"/>
        <v>0</v>
      </c>
      <c r="J63" s="264">
        <f t="shared" si="28"/>
        <v>0</v>
      </c>
      <c r="K63" s="264">
        <f t="shared" si="17"/>
        <v>0</v>
      </c>
      <c r="L63" s="264">
        <f t="shared" si="18"/>
        <v>0</v>
      </c>
      <c r="M63" s="264">
        <f t="shared" si="19"/>
        <v>0</v>
      </c>
      <c r="N63" s="264">
        <f t="shared" si="20"/>
        <v>0</v>
      </c>
      <c r="O63" s="320">
        <f t="shared" si="21"/>
        <v>0</v>
      </c>
      <c r="P63" s="321">
        <f t="shared" si="22"/>
        <v>0</v>
      </c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80"/>
      <c r="BK63" s="80"/>
      <c r="BL63" s="80"/>
      <c r="BM63" s="80"/>
      <c r="BN63" s="80"/>
      <c r="BO63" s="118">
        <v>0</v>
      </c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D63" s="129"/>
    </row>
    <row r="64" spans="1:82" s="124" customFormat="1">
      <c r="A64" s="265"/>
      <c r="B64" s="269" t="s">
        <v>55</v>
      </c>
      <c r="C64" s="270"/>
      <c r="D64" s="264">
        <f>'CF 2017'!O68*1.05</f>
        <v>0</v>
      </c>
      <c r="E64" s="264">
        <f t="shared" si="23"/>
        <v>0</v>
      </c>
      <c r="F64" s="264">
        <f t="shared" si="24"/>
        <v>0</v>
      </c>
      <c r="G64" s="264">
        <f t="shared" si="27"/>
        <v>0</v>
      </c>
      <c r="H64" s="264">
        <f t="shared" si="25"/>
        <v>0</v>
      </c>
      <c r="I64" s="264">
        <f t="shared" si="26"/>
        <v>0</v>
      </c>
      <c r="J64" s="264">
        <f t="shared" si="28"/>
        <v>0</v>
      </c>
      <c r="K64" s="264">
        <f t="shared" si="17"/>
        <v>0</v>
      </c>
      <c r="L64" s="264">
        <f t="shared" si="18"/>
        <v>0</v>
      </c>
      <c r="M64" s="264">
        <f t="shared" si="19"/>
        <v>0</v>
      </c>
      <c r="N64" s="264">
        <f t="shared" si="20"/>
        <v>0</v>
      </c>
      <c r="O64" s="320">
        <f t="shared" si="21"/>
        <v>0</v>
      </c>
      <c r="P64" s="321">
        <f t="shared" si="22"/>
        <v>0</v>
      </c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80"/>
      <c r="BK64" s="80"/>
      <c r="BL64" s="80"/>
      <c r="BM64" s="80"/>
      <c r="BN64" s="80"/>
      <c r="BO64" s="118">
        <v>0</v>
      </c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D64" s="129"/>
    </row>
    <row r="65" spans="1:82" s="124" customFormat="1">
      <c r="A65" s="265"/>
      <c r="B65" s="270">
        <v>6500</v>
      </c>
      <c r="C65" s="270" t="s">
        <v>56</v>
      </c>
      <c r="D65" s="264">
        <f>'CF 2017'!O69*1.05</f>
        <v>1582212.8175145616</v>
      </c>
      <c r="E65" s="264">
        <f t="shared" si="23"/>
        <v>1582212.8175145616</v>
      </c>
      <c r="F65" s="264">
        <f t="shared" si="24"/>
        <v>1636957.3810005654</v>
      </c>
      <c r="G65" s="264">
        <f t="shared" si="27"/>
        <v>1619605.6327619595</v>
      </c>
      <c r="H65" s="264">
        <f t="shared" si="25"/>
        <v>1568750.0158932339</v>
      </c>
      <c r="I65" s="264">
        <f t="shared" si="26"/>
        <v>1396658.1391497462</v>
      </c>
      <c r="J65" s="264">
        <f t="shared" si="28"/>
        <v>1419982.3300735469</v>
      </c>
      <c r="K65" s="264">
        <f t="shared" si="17"/>
        <v>1548348.7327121955</v>
      </c>
      <c r="L65" s="264">
        <f t="shared" si="18"/>
        <v>1688319.4581493782</v>
      </c>
      <c r="M65" s="264">
        <f t="shared" si="19"/>
        <v>1840943.5371660821</v>
      </c>
      <c r="N65" s="264">
        <f t="shared" si="20"/>
        <v>2007364.8329258959</v>
      </c>
      <c r="O65" s="320">
        <f t="shared" si="21"/>
        <v>2188830.6138223968</v>
      </c>
      <c r="P65" s="321">
        <f t="shared" si="22"/>
        <v>20080186.308684126</v>
      </c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80"/>
      <c r="BK65" s="80"/>
      <c r="BL65" s="80"/>
      <c r="BM65" s="80"/>
      <c r="BN65" s="80"/>
      <c r="BO65" s="118">
        <v>1500000</v>
      </c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D65" s="129">
        <v>1.5</v>
      </c>
    </row>
    <row r="66" spans="1:82" s="124" customFormat="1">
      <c r="A66" s="265"/>
      <c r="B66" s="270">
        <v>6501</v>
      </c>
      <c r="C66" s="270" t="s">
        <v>57</v>
      </c>
      <c r="D66" s="264">
        <f>'CF 2017'!O70*1.05</f>
        <v>0</v>
      </c>
      <c r="E66" s="264">
        <f t="shared" si="23"/>
        <v>0</v>
      </c>
      <c r="F66" s="264">
        <f t="shared" si="24"/>
        <v>0</v>
      </c>
      <c r="G66" s="264">
        <f t="shared" si="27"/>
        <v>0</v>
      </c>
      <c r="H66" s="264">
        <f t="shared" si="25"/>
        <v>0</v>
      </c>
      <c r="I66" s="264">
        <f t="shared" si="26"/>
        <v>0</v>
      </c>
      <c r="J66" s="264">
        <f t="shared" si="28"/>
        <v>0</v>
      </c>
      <c r="K66" s="264">
        <f t="shared" si="17"/>
        <v>0</v>
      </c>
      <c r="L66" s="264">
        <f t="shared" si="18"/>
        <v>0</v>
      </c>
      <c r="M66" s="264">
        <f t="shared" si="19"/>
        <v>0</v>
      </c>
      <c r="N66" s="264">
        <f t="shared" si="20"/>
        <v>0</v>
      </c>
      <c r="O66" s="320">
        <f t="shared" si="21"/>
        <v>0</v>
      </c>
      <c r="P66" s="321">
        <f t="shared" si="22"/>
        <v>0</v>
      </c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80"/>
      <c r="BK66" s="80"/>
      <c r="BL66" s="80"/>
      <c r="BM66" s="80"/>
      <c r="BN66" s="80"/>
      <c r="BO66" s="118">
        <v>0</v>
      </c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D66" s="129"/>
    </row>
    <row r="67" spans="1:82" s="124" customFormat="1">
      <c r="A67" s="265"/>
      <c r="B67" s="270"/>
      <c r="C67" s="270"/>
      <c r="D67" s="264">
        <f>'CF 2017'!O71*1.05</f>
        <v>0</v>
      </c>
      <c r="E67" s="264">
        <f t="shared" si="23"/>
        <v>0</v>
      </c>
      <c r="F67" s="264">
        <f t="shared" si="24"/>
        <v>0</v>
      </c>
      <c r="G67" s="264">
        <f t="shared" si="27"/>
        <v>0</v>
      </c>
      <c r="H67" s="264">
        <f t="shared" si="25"/>
        <v>0</v>
      </c>
      <c r="I67" s="264">
        <f t="shared" si="26"/>
        <v>0</v>
      </c>
      <c r="J67" s="264">
        <f t="shared" si="28"/>
        <v>0</v>
      </c>
      <c r="K67" s="264">
        <f t="shared" si="17"/>
        <v>0</v>
      </c>
      <c r="L67" s="264">
        <f t="shared" si="18"/>
        <v>0</v>
      </c>
      <c r="M67" s="264">
        <f t="shared" si="19"/>
        <v>0</v>
      </c>
      <c r="N67" s="264">
        <f t="shared" si="20"/>
        <v>0</v>
      </c>
      <c r="O67" s="320">
        <f t="shared" si="21"/>
        <v>0</v>
      </c>
      <c r="P67" s="321">
        <f t="shared" si="22"/>
        <v>0</v>
      </c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80"/>
      <c r="BK67" s="80"/>
      <c r="BL67" s="80"/>
      <c r="BM67" s="80"/>
      <c r="BN67" s="80"/>
      <c r="BO67" s="118">
        <v>0</v>
      </c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D67" s="129"/>
    </row>
    <row r="68" spans="1:82" s="124" customFormat="1">
      <c r="A68" s="265"/>
      <c r="B68" s="269" t="s">
        <v>58</v>
      </c>
      <c r="C68" s="270"/>
      <c r="D68" s="264">
        <f>'CF 2017'!O72*1.05</f>
        <v>0</v>
      </c>
      <c r="E68" s="264">
        <f t="shared" si="23"/>
        <v>0</v>
      </c>
      <c r="F68" s="264">
        <f t="shared" si="24"/>
        <v>0</v>
      </c>
      <c r="G68" s="264">
        <f t="shared" si="27"/>
        <v>0</v>
      </c>
      <c r="H68" s="264">
        <f t="shared" si="25"/>
        <v>0</v>
      </c>
      <c r="I68" s="264">
        <f t="shared" si="26"/>
        <v>0</v>
      </c>
      <c r="J68" s="264">
        <f t="shared" si="28"/>
        <v>0</v>
      </c>
      <c r="K68" s="264">
        <f t="shared" si="17"/>
        <v>0</v>
      </c>
      <c r="L68" s="264">
        <f t="shared" si="18"/>
        <v>0</v>
      </c>
      <c r="M68" s="264">
        <f t="shared" si="19"/>
        <v>0</v>
      </c>
      <c r="N68" s="264">
        <f t="shared" si="20"/>
        <v>0</v>
      </c>
      <c r="O68" s="320">
        <f t="shared" si="21"/>
        <v>0</v>
      </c>
      <c r="P68" s="321">
        <f t="shared" si="22"/>
        <v>0</v>
      </c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80"/>
      <c r="BK68" s="80"/>
      <c r="BL68" s="80"/>
      <c r="BM68" s="80"/>
      <c r="BN68" s="80"/>
      <c r="BO68" s="118">
        <v>0</v>
      </c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D68" s="129"/>
    </row>
    <row r="69" spans="1:82" s="124" customFormat="1">
      <c r="A69" s="265"/>
      <c r="B69" s="270">
        <v>6600</v>
      </c>
      <c r="C69" s="270" t="s">
        <v>59</v>
      </c>
      <c r="D69" s="264">
        <f>'CF 2017'!O73*1.09</f>
        <v>6349506.301435343</v>
      </c>
      <c r="E69" s="264">
        <f t="shared" si="23"/>
        <v>6349506.301435343</v>
      </c>
      <c r="F69" s="264">
        <f t="shared" si="24"/>
        <v>6569199.2194650052</v>
      </c>
      <c r="G69" s="264">
        <v>50000000</v>
      </c>
      <c r="H69" s="264">
        <f>F69</f>
        <v>6569199.2194650052</v>
      </c>
      <c r="I69" s="264">
        <f t="shared" si="26"/>
        <v>5848558.0650896942</v>
      </c>
      <c r="J69" s="264">
        <f t="shared" si="28"/>
        <v>5946228.9847766915</v>
      </c>
      <c r="K69" s="264">
        <f t="shared" si="17"/>
        <v>6483768.0850005047</v>
      </c>
      <c r="L69" s="264">
        <f t="shared" si="18"/>
        <v>7069900.7198845511</v>
      </c>
      <c r="M69" s="264">
        <f t="shared" si="19"/>
        <v>7709019.7449621148</v>
      </c>
      <c r="N69" s="264">
        <f t="shared" si="20"/>
        <v>8405915.1299066897</v>
      </c>
      <c r="O69" s="320">
        <f t="shared" si="21"/>
        <v>9165809.8576502558</v>
      </c>
      <c r="P69" s="321">
        <f t="shared" si="22"/>
        <v>126466611.62907116</v>
      </c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80"/>
      <c r="BK69" s="80"/>
      <c r="BL69" s="80"/>
      <c r="BM69" s="80"/>
      <c r="BN69" s="80"/>
      <c r="BO69" s="118">
        <v>4000000</v>
      </c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D69" s="129">
        <v>4</v>
      </c>
    </row>
    <row r="70" spans="1:82" s="124" customFormat="1">
      <c r="A70" s="265"/>
      <c r="B70" s="270">
        <v>6600</v>
      </c>
      <c r="C70" s="270" t="s">
        <v>60</v>
      </c>
      <c r="D70" s="264">
        <f>'CF 2017'!O74*1.05</f>
        <v>0</v>
      </c>
      <c r="E70" s="264">
        <f t="shared" si="23"/>
        <v>0</v>
      </c>
      <c r="F70" s="264">
        <f t="shared" si="24"/>
        <v>0</v>
      </c>
      <c r="G70" s="264">
        <f>+'CF 2019'!G69</f>
        <v>19000000</v>
      </c>
      <c r="H70" s="264"/>
      <c r="I70" s="264">
        <f t="shared" si="26"/>
        <v>0</v>
      </c>
      <c r="J70" s="264">
        <f t="shared" si="28"/>
        <v>0</v>
      </c>
      <c r="K70" s="264">
        <f t="shared" si="17"/>
        <v>0</v>
      </c>
      <c r="L70" s="264">
        <f t="shared" si="18"/>
        <v>0</v>
      </c>
      <c r="M70" s="264">
        <f t="shared" si="19"/>
        <v>0</v>
      </c>
      <c r="N70" s="264">
        <f t="shared" si="20"/>
        <v>0</v>
      </c>
      <c r="O70" s="320">
        <f t="shared" si="21"/>
        <v>0</v>
      </c>
      <c r="P70" s="321">
        <f t="shared" si="22"/>
        <v>19000000</v>
      </c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80"/>
      <c r="BK70" s="80"/>
      <c r="BL70" s="80"/>
      <c r="BM70" s="80"/>
      <c r="BN70" s="80"/>
      <c r="BO70" s="118">
        <v>0</v>
      </c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D70" s="129"/>
    </row>
    <row r="71" spans="1:82" s="124" customFormat="1">
      <c r="A71" s="265"/>
      <c r="B71" s="270"/>
      <c r="C71" s="270"/>
      <c r="D71" s="264">
        <f>'CF 2017'!O75*1.05</f>
        <v>0</v>
      </c>
      <c r="E71" s="264">
        <f t="shared" si="23"/>
        <v>0</v>
      </c>
      <c r="F71" s="264">
        <f t="shared" si="24"/>
        <v>0</v>
      </c>
      <c r="G71" s="264">
        <f t="shared" si="27"/>
        <v>0</v>
      </c>
      <c r="H71" s="264">
        <f t="shared" si="25"/>
        <v>0</v>
      </c>
      <c r="I71" s="264">
        <f t="shared" si="26"/>
        <v>0</v>
      </c>
      <c r="J71" s="264">
        <f t="shared" si="28"/>
        <v>0</v>
      </c>
      <c r="K71" s="264">
        <f t="shared" si="17"/>
        <v>0</v>
      </c>
      <c r="L71" s="264">
        <f t="shared" si="18"/>
        <v>0</v>
      </c>
      <c r="M71" s="264">
        <f t="shared" si="19"/>
        <v>0</v>
      </c>
      <c r="N71" s="264">
        <f t="shared" si="20"/>
        <v>0</v>
      </c>
      <c r="O71" s="320">
        <f t="shared" si="21"/>
        <v>0</v>
      </c>
      <c r="P71" s="321">
        <f t="shared" si="22"/>
        <v>0</v>
      </c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80"/>
      <c r="BK71" s="80"/>
      <c r="BL71" s="80"/>
      <c r="BM71" s="80"/>
      <c r="BN71" s="80"/>
      <c r="BO71" s="118">
        <v>0</v>
      </c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D71" s="129"/>
    </row>
    <row r="72" spans="1:82" s="124" customFormat="1">
      <c r="A72" s="265"/>
      <c r="B72" s="269" t="s">
        <v>61</v>
      </c>
      <c r="C72" s="270"/>
      <c r="D72" s="264">
        <f>'CF 2017'!O76*1.05</f>
        <v>0</v>
      </c>
      <c r="E72" s="264">
        <f t="shared" si="23"/>
        <v>0</v>
      </c>
      <c r="F72" s="264">
        <f t="shared" si="24"/>
        <v>0</v>
      </c>
      <c r="G72" s="264">
        <f t="shared" si="27"/>
        <v>0</v>
      </c>
      <c r="H72" s="264">
        <f t="shared" si="25"/>
        <v>0</v>
      </c>
      <c r="I72" s="264">
        <f t="shared" si="26"/>
        <v>0</v>
      </c>
      <c r="J72" s="264">
        <f t="shared" si="28"/>
        <v>0</v>
      </c>
      <c r="K72" s="264">
        <f t="shared" si="17"/>
        <v>0</v>
      </c>
      <c r="L72" s="264">
        <f t="shared" si="18"/>
        <v>0</v>
      </c>
      <c r="M72" s="264">
        <f t="shared" si="19"/>
        <v>0</v>
      </c>
      <c r="N72" s="264">
        <f t="shared" si="20"/>
        <v>0</v>
      </c>
      <c r="O72" s="320">
        <f t="shared" si="21"/>
        <v>0</v>
      </c>
      <c r="P72" s="321">
        <f t="shared" si="22"/>
        <v>0</v>
      </c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80"/>
      <c r="BK72" s="80"/>
      <c r="BL72" s="80"/>
      <c r="BM72" s="80"/>
      <c r="BN72" s="80"/>
      <c r="BO72" s="118">
        <v>0</v>
      </c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D72" s="129"/>
    </row>
    <row r="73" spans="1:82" s="124" customFormat="1">
      <c r="A73" s="265"/>
      <c r="B73" s="270">
        <v>6200</v>
      </c>
      <c r="C73" s="270" t="s">
        <v>62</v>
      </c>
      <c r="D73" s="264">
        <f>'CF 2017'!O77*1.05</f>
        <v>9493276.9050873704</v>
      </c>
      <c r="E73" s="264">
        <f t="shared" si="23"/>
        <v>9493276.9050873704</v>
      </c>
      <c r="F73" s="264">
        <f t="shared" si="24"/>
        <v>9821744.2860033922</v>
      </c>
      <c r="G73" s="264">
        <f t="shared" si="27"/>
        <v>9717633.7965717576</v>
      </c>
      <c r="H73" s="264">
        <f t="shared" si="25"/>
        <v>9412500.0953594036</v>
      </c>
      <c r="I73" s="264">
        <f t="shared" si="26"/>
        <v>8379948.8348984774</v>
      </c>
      <c r="J73" s="264">
        <f t="shared" si="28"/>
        <v>8519893.9804412816</v>
      </c>
      <c r="K73" s="264">
        <f t="shared" si="17"/>
        <v>9290092.3962731734</v>
      </c>
      <c r="L73" s="264">
        <f t="shared" si="18"/>
        <v>10129916.748896269</v>
      </c>
      <c r="M73" s="264">
        <f t="shared" si="19"/>
        <v>11045661.222996492</v>
      </c>
      <c r="N73" s="264">
        <f t="shared" si="20"/>
        <v>12044188.997555375</v>
      </c>
      <c r="O73" s="320">
        <f t="shared" si="21"/>
        <v>13132983.682934381</v>
      </c>
      <c r="P73" s="321">
        <f t="shared" si="22"/>
        <v>120481117.85210475</v>
      </c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80"/>
      <c r="BK73" s="80"/>
      <c r="BL73" s="80"/>
      <c r="BM73" s="80"/>
      <c r="BN73" s="80"/>
      <c r="BO73" s="118">
        <v>9000000</v>
      </c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D73" s="129">
        <v>9</v>
      </c>
    </row>
    <row r="74" spans="1:82" s="124" customFormat="1">
      <c r="A74" s="265"/>
      <c r="B74" s="270">
        <v>6201</v>
      </c>
      <c r="C74" s="270" t="s">
        <v>63</v>
      </c>
      <c r="D74" s="264">
        <f>'CF 2017'!O78*1.05</f>
        <v>4219234.1800388312</v>
      </c>
      <c r="E74" s="264">
        <f t="shared" si="23"/>
        <v>4219234.1800388312</v>
      </c>
      <c r="F74" s="264">
        <f t="shared" si="24"/>
        <v>4365219.6826681746</v>
      </c>
      <c r="G74" s="264">
        <f t="shared" si="27"/>
        <v>4318948.3540318925</v>
      </c>
      <c r="H74" s="264">
        <f t="shared" si="25"/>
        <v>4183333.3757152911</v>
      </c>
      <c r="I74" s="264">
        <f t="shared" si="26"/>
        <v>3724421.7043993236</v>
      </c>
      <c r="J74" s="264">
        <f t="shared" si="28"/>
        <v>3786619.5468627918</v>
      </c>
      <c r="K74" s="264">
        <f t="shared" si="17"/>
        <v>4128929.9538991884</v>
      </c>
      <c r="L74" s="264">
        <f t="shared" si="18"/>
        <v>4502185.2217316758</v>
      </c>
      <c r="M74" s="264">
        <f t="shared" si="19"/>
        <v>4909182.7657762198</v>
      </c>
      <c r="N74" s="264">
        <f t="shared" si="20"/>
        <v>5352972.8878023904</v>
      </c>
      <c r="O74" s="320">
        <f t="shared" si="21"/>
        <v>5836881.6368597271</v>
      </c>
      <c r="P74" s="321">
        <f t="shared" si="22"/>
        <v>53547163.48982434</v>
      </c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80"/>
      <c r="BK74" s="80"/>
      <c r="BL74" s="80"/>
      <c r="BM74" s="80"/>
      <c r="BN74" s="80"/>
      <c r="BO74" s="118">
        <v>4000000</v>
      </c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D74" s="129">
        <v>4</v>
      </c>
    </row>
    <row r="75" spans="1:82" s="124" customFormat="1">
      <c r="A75" s="265"/>
      <c r="B75" s="270">
        <v>6210</v>
      </c>
      <c r="C75" s="270" t="s">
        <v>64</v>
      </c>
      <c r="D75" s="264">
        <f>'CF 2017'!O79*1.05</f>
        <v>1582212.8175145616</v>
      </c>
      <c r="E75" s="264">
        <f t="shared" si="23"/>
        <v>1582212.8175145616</v>
      </c>
      <c r="F75" s="264">
        <f t="shared" si="24"/>
        <v>1636957.3810005654</v>
      </c>
      <c r="G75" s="264">
        <f t="shared" si="27"/>
        <v>1619605.6327619595</v>
      </c>
      <c r="H75" s="264">
        <f t="shared" si="25"/>
        <v>1568750.0158932339</v>
      </c>
      <c r="I75" s="264">
        <f t="shared" si="26"/>
        <v>1396658.1391497462</v>
      </c>
      <c r="J75" s="264">
        <f t="shared" si="28"/>
        <v>1419982.3300735469</v>
      </c>
      <c r="K75" s="264">
        <f t="shared" si="17"/>
        <v>1548348.7327121955</v>
      </c>
      <c r="L75" s="264">
        <f t="shared" si="18"/>
        <v>1688319.4581493782</v>
      </c>
      <c r="M75" s="264">
        <f t="shared" si="19"/>
        <v>1840943.5371660821</v>
      </c>
      <c r="N75" s="264">
        <f t="shared" si="20"/>
        <v>2007364.8329258959</v>
      </c>
      <c r="O75" s="320">
        <f t="shared" si="21"/>
        <v>2188830.6138223968</v>
      </c>
      <c r="P75" s="321">
        <f t="shared" si="22"/>
        <v>20080186.308684126</v>
      </c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80"/>
      <c r="BK75" s="80"/>
      <c r="BL75" s="80"/>
      <c r="BM75" s="80"/>
      <c r="BN75" s="80"/>
      <c r="BO75" s="118">
        <v>1500000</v>
      </c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D75" s="129">
        <v>1.5</v>
      </c>
    </row>
    <row r="76" spans="1:82" s="124" customFormat="1">
      <c r="A76" s="265"/>
      <c r="B76" s="270">
        <v>6211</v>
      </c>
      <c r="C76" s="270" t="s">
        <v>65</v>
      </c>
      <c r="D76" s="264">
        <f>'CF 2017'!O80*1.05</f>
        <v>527404.2725048539</v>
      </c>
      <c r="E76" s="264">
        <f t="shared" si="23"/>
        <v>527404.2725048539</v>
      </c>
      <c r="F76" s="264">
        <f t="shared" si="24"/>
        <v>545652.46033352183</v>
      </c>
      <c r="G76" s="264">
        <f t="shared" si="27"/>
        <v>539868.54425398656</v>
      </c>
      <c r="H76" s="264">
        <f t="shared" si="25"/>
        <v>522916.67196441139</v>
      </c>
      <c r="I76" s="264">
        <f t="shared" si="26"/>
        <v>465552.71304991544</v>
      </c>
      <c r="J76" s="264">
        <f t="shared" si="28"/>
        <v>473327.44335784897</v>
      </c>
      <c r="K76" s="264">
        <f t="shared" si="17"/>
        <v>516116.24423739855</v>
      </c>
      <c r="L76" s="264">
        <f t="shared" si="18"/>
        <v>562773.15271645947</v>
      </c>
      <c r="M76" s="264">
        <f t="shared" si="19"/>
        <v>613647.84572202747</v>
      </c>
      <c r="N76" s="264">
        <f t="shared" si="20"/>
        <v>669121.6109752988</v>
      </c>
      <c r="O76" s="320">
        <f t="shared" si="21"/>
        <v>729610.20460746589</v>
      </c>
      <c r="P76" s="321">
        <f t="shared" si="22"/>
        <v>6693395.4362280425</v>
      </c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80"/>
      <c r="BK76" s="80"/>
      <c r="BL76" s="80"/>
      <c r="BM76" s="80"/>
      <c r="BN76" s="80"/>
      <c r="BO76" s="118">
        <v>500000</v>
      </c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D76" s="129">
        <v>0.5</v>
      </c>
    </row>
    <row r="77" spans="1:82" s="124" customFormat="1">
      <c r="A77" s="265"/>
      <c r="B77" s="270">
        <v>6220</v>
      </c>
      <c r="C77" s="270" t="s">
        <v>66</v>
      </c>
      <c r="D77" s="264">
        <f>'CF 2017'!O81*1.05</f>
        <v>1054808.5450097078</v>
      </c>
      <c r="E77" s="264">
        <f t="shared" si="23"/>
        <v>1054808.5450097078</v>
      </c>
      <c r="F77" s="264">
        <f t="shared" si="24"/>
        <v>1091304.9206670437</v>
      </c>
      <c r="G77" s="264">
        <f t="shared" si="27"/>
        <v>1079737.0885079731</v>
      </c>
      <c r="H77" s="264">
        <f t="shared" si="25"/>
        <v>1045833.3439288228</v>
      </c>
      <c r="I77" s="264">
        <f t="shared" si="26"/>
        <v>931105.42609983089</v>
      </c>
      <c r="J77" s="264">
        <f t="shared" si="28"/>
        <v>946654.88671569794</v>
      </c>
      <c r="K77" s="264">
        <f t="shared" si="17"/>
        <v>1032232.4884747971</v>
      </c>
      <c r="L77" s="264">
        <f t="shared" si="18"/>
        <v>1125546.3054329189</v>
      </c>
      <c r="M77" s="264">
        <f t="shared" si="19"/>
        <v>1227295.6914440549</v>
      </c>
      <c r="N77" s="264">
        <f t="shared" si="20"/>
        <v>1338243.2219505976</v>
      </c>
      <c r="O77" s="320">
        <f t="shared" si="21"/>
        <v>1459220.4092149318</v>
      </c>
      <c r="P77" s="321">
        <f t="shared" si="22"/>
        <v>13386790.872456085</v>
      </c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80"/>
      <c r="BK77" s="80"/>
      <c r="BL77" s="80"/>
      <c r="BM77" s="80"/>
      <c r="BN77" s="80"/>
      <c r="BO77" s="118">
        <v>1000000</v>
      </c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D77" s="129">
        <v>1</v>
      </c>
    </row>
    <row r="78" spans="1:82" s="124" customFormat="1">
      <c r="A78" s="265"/>
      <c r="B78" s="270">
        <v>6221</v>
      </c>
      <c r="C78" s="270" t="s">
        <v>67</v>
      </c>
      <c r="D78" s="264">
        <f>'CF 2017'!O82*1.05</f>
        <v>527404.2725048539</v>
      </c>
      <c r="E78" s="264">
        <f t="shared" si="23"/>
        <v>527404.2725048539</v>
      </c>
      <c r="F78" s="264">
        <f t="shared" si="24"/>
        <v>545652.46033352183</v>
      </c>
      <c r="G78" s="264">
        <f t="shared" si="27"/>
        <v>539868.54425398656</v>
      </c>
      <c r="H78" s="264">
        <f t="shared" si="25"/>
        <v>522916.67196441139</v>
      </c>
      <c r="I78" s="264">
        <f t="shared" si="26"/>
        <v>465552.71304991544</v>
      </c>
      <c r="J78" s="264">
        <f t="shared" si="28"/>
        <v>473327.44335784897</v>
      </c>
      <c r="K78" s="264">
        <f t="shared" si="17"/>
        <v>516116.24423739855</v>
      </c>
      <c r="L78" s="264">
        <f t="shared" si="18"/>
        <v>562773.15271645947</v>
      </c>
      <c r="M78" s="264">
        <f t="shared" si="19"/>
        <v>613647.84572202747</v>
      </c>
      <c r="N78" s="264">
        <f t="shared" si="20"/>
        <v>669121.6109752988</v>
      </c>
      <c r="O78" s="320">
        <f t="shared" si="21"/>
        <v>729610.20460746589</v>
      </c>
      <c r="P78" s="321">
        <f t="shared" si="22"/>
        <v>6693395.4362280425</v>
      </c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80"/>
      <c r="BK78" s="80"/>
      <c r="BL78" s="80"/>
      <c r="BM78" s="80"/>
      <c r="BN78" s="80"/>
      <c r="BO78" s="118">
        <v>500000</v>
      </c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D78" s="129">
        <v>0.5</v>
      </c>
    </row>
    <row r="79" spans="1:82" s="124" customFormat="1">
      <c r="A79" s="265"/>
      <c r="B79" s="270">
        <v>6230</v>
      </c>
      <c r="C79" s="270" t="s">
        <v>68</v>
      </c>
      <c r="D79" s="264">
        <f>'CF 2017'!O83*1.05</f>
        <v>3269906.489530093</v>
      </c>
      <c r="E79" s="264">
        <f t="shared" si="23"/>
        <v>3269906.489530093</v>
      </c>
      <c r="F79" s="264">
        <f t="shared" si="24"/>
        <v>3383045.254067834</v>
      </c>
      <c r="G79" s="264">
        <f t="shared" si="27"/>
        <v>3347184.9743747152</v>
      </c>
      <c r="H79" s="264">
        <f t="shared" si="25"/>
        <v>3242083.3661793494</v>
      </c>
      <c r="I79" s="264">
        <f t="shared" si="26"/>
        <v>2886426.820909475</v>
      </c>
      <c r="J79" s="264">
        <f t="shared" si="28"/>
        <v>2934630.1488186629</v>
      </c>
      <c r="K79" s="264">
        <f t="shared" si="17"/>
        <v>3199920.71427187</v>
      </c>
      <c r="L79" s="264">
        <f t="shared" si="18"/>
        <v>3489193.546842047</v>
      </c>
      <c r="M79" s="264">
        <f t="shared" si="19"/>
        <v>3804616.6434765682</v>
      </c>
      <c r="N79" s="264">
        <f t="shared" si="20"/>
        <v>4148553.9880468501</v>
      </c>
      <c r="O79" s="320">
        <f t="shared" si="21"/>
        <v>4523583.2685662853</v>
      </c>
      <c r="P79" s="321">
        <f t="shared" si="22"/>
        <v>41499051.704613842</v>
      </c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80"/>
      <c r="BK79" s="80"/>
      <c r="BL79" s="80"/>
      <c r="BM79" s="80"/>
      <c r="BN79" s="80"/>
      <c r="BO79" s="118">
        <v>3225500</v>
      </c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D79" s="129">
        <v>9.9999999999999992E-2</v>
      </c>
    </row>
    <row r="80" spans="1:82" s="124" customFormat="1">
      <c r="A80" s="265"/>
      <c r="B80" s="270">
        <v>6231</v>
      </c>
      <c r="C80" s="270" t="s">
        <v>69</v>
      </c>
      <c r="D80" s="264">
        <f>'CF 2017'!O84*1.05</f>
        <v>2109617.0900194156</v>
      </c>
      <c r="E80" s="264">
        <f t="shared" si="23"/>
        <v>2109617.0900194156</v>
      </c>
      <c r="F80" s="264">
        <f t="shared" si="24"/>
        <v>2182609.8413340873</v>
      </c>
      <c r="G80" s="264">
        <f t="shared" si="27"/>
        <v>2159474.1770159462</v>
      </c>
      <c r="H80" s="264">
        <f t="shared" si="25"/>
        <v>2091666.6878576456</v>
      </c>
      <c r="I80" s="264">
        <f t="shared" si="26"/>
        <v>1862210.8521996618</v>
      </c>
      <c r="J80" s="264">
        <f t="shared" si="28"/>
        <v>1893309.7734313959</v>
      </c>
      <c r="K80" s="264">
        <f t="shared" si="17"/>
        <v>2064464.9769495942</v>
      </c>
      <c r="L80" s="264">
        <f t="shared" si="18"/>
        <v>2251092.6108658379</v>
      </c>
      <c r="M80" s="264">
        <f t="shared" si="19"/>
        <v>2454591.3828881099</v>
      </c>
      <c r="N80" s="264">
        <f t="shared" si="20"/>
        <v>2676486.4439011952</v>
      </c>
      <c r="O80" s="320">
        <f t="shared" si="21"/>
        <v>2918440.8184298635</v>
      </c>
      <c r="P80" s="321">
        <f t="shared" si="22"/>
        <v>26773581.74491217</v>
      </c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80"/>
      <c r="BK80" s="80"/>
      <c r="BL80" s="80"/>
      <c r="BM80" s="80"/>
      <c r="BN80" s="80"/>
      <c r="BO80" s="118">
        <v>8000000</v>
      </c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D80" s="129">
        <v>0</v>
      </c>
    </row>
    <row r="81" spans="1:82" s="124" customFormat="1">
      <c r="A81" s="265"/>
      <c r="B81" s="270">
        <v>6240</v>
      </c>
      <c r="C81" s="270" t="s">
        <v>70</v>
      </c>
      <c r="D81" s="264">
        <f>'CF 2017'!O85*1.05</f>
        <v>4746638.4525436852</v>
      </c>
      <c r="E81" s="264">
        <f t="shared" si="23"/>
        <v>4746638.4525436852</v>
      </c>
      <c r="F81" s="264">
        <f t="shared" si="24"/>
        <v>4910872.1430016961</v>
      </c>
      <c r="G81" s="264">
        <f t="shared" si="27"/>
        <v>4858816.8982858788</v>
      </c>
      <c r="H81" s="264">
        <f t="shared" si="25"/>
        <v>4706250.0476797018</v>
      </c>
      <c r="I81" s="264">
        <f t="shared" si="26"/>
        <v>4189974.4174492387</v>
      </c>
      <c r="J81" s="264">
        <f t="shared" si="28"/>
        <v>4259946.9902206408</v>
      </c>
      <c r="K81" s="264">
        <f t="shared" si="17"/>
        <v>4645046.1981365867</v>
      </c>
      <c r="L81" s="264">
        <f t="shared" si="18"/>
        <v>5064958.3744481346</v>
      </c>
      <c r="M81" s="264">
        <f t="shared" si="19"/>
        <v>5522830.611498246</v>
      </c>
      <c r="N81" s="264">
        <f t="shared" si="20"/>
        <v>6022094.4987776875</v>
      </c>
      <c r="O81" s="320">
        <f t="shared" si="21"/>
        <v>6566491.8414671905</v>
      </c>
      <c r="P81" s="321">
        <f t="shared" si="22"/>
        <v>60240558.926052377</v>
      </c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80"/>
      <c r="BK81" s="80"/>
      <c r="BL81" s="80"/>
      <c r="BM81" s="80"/>
      <c r="BN81" s="80"/>
      <c r="BO81" s="118">
        <v>4500000</v>
      </c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D81" s="129">
        <v>4.5</v>
      </c>
    </row>
    <row r="82" spans="1:82" s="124" customFormat="1">
      <c r="A82" s="265"/>
      <c r="B82" s="270">
        <v>6241</v>
      </c>
      <c r="C82" s="270" t="s">
        <v>71</v>
      </c>
      <c r="D82" s="264">
        <f>'CF 2017'!O86*1.05</f>
        <v>2109617.0900194156</v>
      </c>
      <c r="E82" s="264">
        <f t="shared" si="23"/>
        <v>2109617.0900194156</v>
      </c>
      <c r="F82" s="264">
        <f t="shared" si="24"/>
        <v>2182609.8413340873</v>
      </c>
      <c r="G82" s="264">
        <f t="shared" si="27"/>
        <v>2159474.1770159462</v>
      </c>
      <c r="H82" s="264">
        <f t="shared" si="25"/>
        <v>2091666.6878576456</v>
      </c>
      <c r="I82" s="264">
        <f t="shared" si="26"/>
        <v>1862210.8521996618</v>
      </c>
      <c r="J82" s="264">
        <f t="shared" si="28"/>
        <v>1893309.7734313959</v>
      </c>
      <c r="K82" s="264">
        <f t="shared" si="17"/>
        <v>2064464.9769495942</v>
      </c>
      <c r="L82" s="264">
        <f t="shared" si="18"/>
        <v>2251092.6108658379</v>
      </c>
      <c r="M82" s="264">
        <f t="shared" si="19"/>
        <v>2454591.3828881099</v>
      </c>
      <c r="N82" s="264">
        <f t="shared" si="20"/>
        <v>2676486.4439011952</v>
      </c>
      <c r="O82" s="320">
        <f t="shared" si="21"/>
        <v>2918440.8184298635</v>
      </c>
      <c r="P82" s="321">
        <f t="shared" si="22"/>
        <v>26773581.74491217</v>
      </c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80"/>
      <c r="BK82" s="80"/>
      <c r="BL82" s="80"/>
      <c r="BM82" s="80"/>
      <c r="BN82" s="80"/>
      <c r="BO82" s="118">
        <v>2000000</v>
      </c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D82" s="129">
        <v>2</v>
      </c>
    </row>
    <row r="83" spans="1:82" s="124" customFormat="1">
      <c r="A83" s="265"/>
      <c r="B83" s="270">
        <v>6250</v>
      </c>
      <c r="C83" s="270" t="s">
        <v>72</v>
      </c>
      <c r="D83" s="264">
        <f>'CF 2017'!O87*1.05</f>
        <v>36074452.239332005</v>
      </c>
      <c r="E83" s="264">
        <f t="shared" si="23"/>
        <v>36074452.239332005</v>
      </c>
      <c r="F83" s="264">
        <f t="shared" si="24"/>
        <v>37322628.286812894</v>
      </c>
      <c r="G83" s="264">
        <f t="shared" si="27"/>
        <v>36927008.42697268</v>
      </c>
      <c r="H83" s="264">
        <f t="shared" si="25"/>
        <v>35767500.362365738</v>
      </c>
      <c r="I83" s="264">
        <f t="shared" si="26"/>
        <v>31843805.572614215</v>
      </c>
      <c r="J83" s="264">
        <f t="shared" si="28"/>
        <v>32375597.12567687</v>
      </c>
      <c r="K83" s="264">
        <f t="shared" si="17"/>
        <v>35302351.10583806</v>
      </c>
      <c r="L83" s="264">
        <f t="shared" si="18"/>
        <v>38493683.645805821</v>
      </c>
      <c r="M83" s="264">
        <f t="shared" si="19"/>
        <v>41973512.64738667</v>
      </c>
      <c r="N83" s="264">
        <f t="shared" si="20"/>
        <v>45767918.190710425</v>
      </c>
      <c r="O83" s="320">
        <f t="shared" si="21"/>
        <v>49905337.995150648</v>
      </c>
      <c r="P83" s="321">
        <f t="shared" si="22"/>
        <v>457828247.83799809</v>
      </c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80"/>
      <c r="BK83" s="80"/>
      <c r="BL83" s="80"/>
      <c r="BM83" s="80"/>
      <c r="BN83" s="80"/>
      <c r="BO83" s="118">
        <v>39000000</v>
      </c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D83" s="129">
        <v>39</v>
      </c>
    </row>
    <row r="84" spans="1:82" s="124" customFormat="1">
      <c r="A84" s="265"/>
      <c r="B84" s="270"/>
      <c r="C84" s="270"/>
      <c r="D84" s="264">
        <f>'CF 2017'!O88*1.05</f>
        <v>0</v>
      </c>
      <c r="E84" s="264">
        <f t="shared" si="23"/>
        <v>0</v>
      </c>
      <c r="F84" s="264">
        <f t="shared" si="24"/>
        <v>0</v>
      </c>
      <c r="G84" s="264">
        <f t="shared" si="27"/>
        <v>0</v>
      </c>
      <c r="H84" s="264">
        <f t="shared" si="25"/>
        <v>0</v>
      </c>
      <c r="I84" s="264">
        <f t="shared" si="26"/>
        <v>0</v>
      </c>
      <c r="J84" s="264">
        <f t="shared" si="28"/>
        <v>0</v>
      </c>
      <c r="K84" s="264">
        <f t="shared" si="17"/>
        <v>0</v>
      </c>
      <c r="L84" s="264">
        <f t="shared" si="18"/>
        <v>0</v>
      </c>
      <c r="M84" s="264">
        <f t="shared" si="19"/>
        <v>0</v>
      </c>
      <c r="N84" s="264">
        <f t="shared" si="20"/>
        <v>0</v>
      </c>
      <c r="O84" s="320">
        <f t="shared" si="21"/>
        <v>0</v>
      </c>
      <c r="P84" s="321">
        <f t="shared" si="22"/>
        <v>0</v>
      </c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80"/>
      <c r="BK84" s="80"/>
      <c r="BL84" s="80"/>
      <c r="BM84" s="80"/>
      <c r="BN84" s="80"/>
      <c r="BO84" s="118">
        <v>0</v>
      </c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D84" s="129"/>
    </row>
    <row r="85" spans="1:82">
      <c r="A85" s="265"/>
      <c r="B85" s="269" t="s">
        <v>73</v>
      </c>
      <c r="C85" s="270"/>
      <c r="D85" s="264">
        <f>'CF 2017'!O89*1.05</f>
        <v>0</v>
      </c>
      <c r="E85" s="264">
        <f t="shared" si="23"/>
        <v>0</v>
      </c>
      <c r="F85" s="264">
        <f t="shared" si="24"/>
        <v>0</v>
      </c>
      <c r="G85" s="264">
        <f t="shared" si="27"/>
        <v>0</v>
      </c>
      <c r="H85" s="264">
        <f t="shared" si="25"/>
        <v>0</v>
      </c>
      <c r="I85" s="264">
        <f t="shared" si="26"/>
        <v>0</v>
      </c>
      <c r="J85" s="264">
        <f t="shared" si="28"/>
        <v>0</v>
      </c>
      <c r="K85" s="264">
        <f t="shared" si="17"/>
        <v>0</v>
      </c>
      <c r="L85" s="264">
        <f t="shared" si="18"/>
        <v>0</v>
      </c>
      <c r="M85" s="264">
        <f t="shared" si="19"/>
        <v>0</v>
      </c>
      <c r="N85" s="264">
        <f t="shared" si="20"/>
        <v>0</v>
      </c>
      <c r="O85" s="320">
        <f t="shared" si="21"/>
        <v>0</v>
      </c>
      <c r="P85" s="321">
        <f t="shared" si="22"/>
        <v>0</v>
      </c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80"/>
      <c r="BK85" s="80"/>
      <c r="BL85" s="80"/>
      <c r="BM85" s="80"/>
      <c r="BN85" s="80"/>
      <c r="BO85" s="117">
        <v>0</v>
      </c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D85" s="73"/>
    </row>
    <row r="86" spans="1:82">
      <c r="A86" s="265"/>
      <c r="B86" s="270">
        <v>6000</v>
      </c>
      <c r="C86" s="270" t="s">
        <v>74</v>
      </c>
      <c r="D86" s="264">
        <f>'CF 2017'!O90*1.05</f>
        <v>0</v>
      </c>
      <c r="E86" s="264">
        <f t="shared" si="23"/>
        <v>0</v>
      </c>
      <c r="F86" s="264">
        <f t="shared" si="24"/>
        <v>0</v>
      </c>
      <c r="G86" s="264">
        <f t="shared" si="27"/>
        <v>0</v>
      </c>
      <c r="H86" s="264">
        <f t="shared" si="25"/>
        <v>0</v>
      </c>
      <c r="I86" s="264">
        <f t="shared" si="26"/>
        <v>0</v>
      </c>
      <c r="J86" s="264">
        <f t="shared" si="28"/>
        <v>0</v>
      </c>
      <c r="K86" s="264">
        <f t="shared" si="17"/>
        <v>0</v>
      </c>
      <c r="L86" s="264">
        <f t="shared" si="18"/>
        <v>0</v>
      </c>
      <c r="M86" s="264">
        <f t="shared" si="19"/>
        <v>0</v>
      </c>
      <c r="N86" s="264">
        <f t="shared" si="20"/>
        <v>0</v>
      </c>
      <c r="O86" s="320">
        <f t="shared" si="21"/>
        <v>0</v>
      </c>
      <c r="P86" s="321">
        <f t="shared" si="22"/>
        <v>0</v>
      </c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80"/>
      <c r="BK86" s="80"/>
      <c r="BL86" s="80"/>
      <c r="BM86" s="80"/>
      <c r="BN86" s="80"/>
      <c r="BO86" s="117">
        <v>0</v>
      </c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D86" s="73"/>
    </row>
    <row r="87" spans="1:82">
      <c r="A87" s="265"/>
      <c r="B87" s="270">
        <v>6001</v>
      </c>
      <c r="C87" s="270" t="s">
        <v>75</v>
      </c>
      <c r="D87" s="264">
        <f>'CF 2017'!O91*1.05-10000000-10000000-10000000</f>
        <v>1223865377.7651751</v>
      </c>
      <c r="E87" s="264">
        <f t="shared" si="23"/>
        <v>1223865377.7651751</v>
      </c>
      <c r="F87" s="264">
        <f t="shared" si="24"/>
        <v>1266211119.83585</v>
      </c>
      <c r="G87" s="264">
        <f t="shared" si="27"/>
        <v>1252789281.9655902</v>
      </c>
      <c r="H87" s="264">
        <f t="shared" si="25"/>
        <v>1213451698.5118706</v>
      </c>
      <c r="I87" s="264">
        <f t="shared" si="26"/>
        <v>1080336047.1851184</v>
      </c>
      <c r="J87" s="264">
        <f t="shared" si="28"/>
        <v>1098377659.1731098</v>
      </c>
      <c r="K87" s="264">
        <f t="shared" si="17"/>
        <v>1197670999.5623589</v>
      </c>
      <c r="L87" s="264">
        <f t="shared" si="18"/>
        <v>1305940457.9227962</v>
      </c>
      <c r="M87" s="264">
        <f t="shared" si="19"/>
        <v>1423997475.3190172</v>
      </c>
      <c r="N87" s="264">
        <f t="shared" si="20"/>
        <v>1552726847.0878563</v>
      </c>
      <c r="O87" s="320">
        <f>N87+(N87*$K$10%)-111862539</f>
        <v>1581230815.0645986</v>
      </c>
      <c r="P87" s="321">
        <f t="shared" si="22"/>
        <v>15420463157.158516</v>
      </c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80"/>
      <c r="BK87" s="80"/>
      <c r="BL87" s="80"/>
      <c r="BM87" s="80"/>
      <c r="BN87" s="80"/>
      <c r="BO87" s="117">
        <v>1100000000</v>
      </c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D87" s="73">
        <v>1000</v>
      </c>
    </row>
    <row r="88" spans="1:82">
      <c r="A88" s="265"/>
      <c r="B88" s="270">
        <v>6002</v>
      </c>
      <c r="C88" s="270" t="s">
        <v>76</v>
      </c>
      <c r="D88" s="264">
        <f>'CF 2017'!O92*1.05</f>
        <v>94932769.050873682</v>
      </c>
      <c r="E88" s="264">
        <f t="shared" si="23"/>
        <v>94932769.050873682</v>
      </c>
      <c r="F88" s="264">
        <f t="shared" si="24"/>
        <v>98217442.8600339</v>
      </c>
      <c r="G88" s="264">
        <f t="shared" si="27"/>
        <v>97176337.965717554</v>
      </c>
      <c r="H88" s="264">
        <f t="shared" si="25"/>
        <v>94125000.953594029</v>
      </c>
      <c r="I88" s="264">
        <f t="shared" si="26"/>
        <v>83799488.348984763</v>
      </c>
      <c r="J88" s="264">
        <f t="shared" si="28"/>
        <v>85198939.804412797</v>
      </c>
      <c r="K88" s="264">
        <f t="shared" si="17"/>
        <v>92900923.962731719</v>
      </c>
      <c r="L88" s="264">
        <f t="shared" si="18"/>
        <v>101299167.48896268</v>
      </c>
      <c r="M88" s="264">
        <f t="shared" si="19"/>
        <v>110456612.22996491</v>
      </c>
      <c r="N88" s="264">
        <f t="shared" si="20"/>
        <v>120441889.97555375</v>
      </c>
      <c r="O88" s="320">
        <f t="shared" si="21"/>
        <v>131329836.82934383</v>
      </c>
      <c r="P88" s="321">
        <f t="shared" si="22"/>
        <v>1204811178.5210474</v>
      </c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80"/>
      <c r="BK88" s="80"/>
      <c r="BL88" s="80"/>
      <c r="BM88" s="80"/>
      <c r="BN88" s="80"/>
      <c r="BO88" s="117">
        <v>90000000</v>
      </c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D88" s="73">
        <v>90</v>
      </c>
    </row>
    <row r="89" spans="1:82">
      <c r="A89" s="265"/>
      <c r="B89" s="270">
        <v>6020</v>
      </c>
      <c r="C89" s="270" t="s">
        <v>77</v>
      </c>
      <c r="D89" s="264">
        <f>('CF 2017'!O93*1.05)-20000000</f>
        <v>1298510681.2621341</v>
      </c>
      <c r="E89" s="264">
        <f t="shared" si="23"/>
        <v>1298510681.2621341</v>
      </c>
      <c r="F89" s="264">
        <f t="shared" si="24"/>
        <v>1343439150.8338039</v>
      </c>
      <c r="G89" s="264">
        <f t="shared" si="27"/>
        <v>1329198695.8349657</v>
      </c>
      <c r="H89" s="264">
        <f t="shared" si="25"/>
        <v>1287461856.7857478</v>
      </c>
      <c r="I89" s="264">
        <f t="shared" si="26"/>
        <v>1146227291.0963511</v>
      </c>
      <c r="J89" s="264">
        <f t="shared" si="28"/>
        <v>1165369286.8576601</v>
      </c>
      <c r="K89" s="264">
        <f t="shared" si="17"/>
        <v>1270718670.3895926</v>
      </c>
      <c r="L89" s="264">
        <f t="shared" si="18"/>
        <v>1385591638.192812</v>
      </c>
      <c r="M89" s="264">
        <f t="shared" si="19"/>
        <v>1510849122.2854424</v>
      </c>
      <c r="N89" s="264">
        <f t="shared" si="20"/>
        <v>1647429882.9400463</v>
      </c>
      <c r="O89" s="320">
        <f t="shared" si="21"/>
        <v>1796357544.3578267</v>
      </c>
      <c r="P89" s="321">
        <f t="shared" si="22"/>
        <v>16479664502.098516</v>
      </c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80"/>
      <c r="BK89" s="80"/>
      <c r="BL89" s="80"/>
      <c r="BM89" s="80"/>
      <c r="BN89" s="80"/>
      <c r="BO89" s="117">
        <v>1300000000</v>
      </c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D89" s="73">
        <v>1000</v>
      </c>
    </row>
    <row r="90" spans="1:82">
      <c r="A90" s="265"/>
      <c r="B90" s="270">
        <v>6021</v>
      </c>
      <c r="C90" s="270" t="s">
        <v>78</v>
      </c>
      <c r="D90" s="264">
        <f>'CF 2017'!O94*1.05</f>
        <v>94932769.050873682</v>
      </c>
      <c r="E90" s="264">
        <f t="shared" si="23"/>
        <v>94932769.050873682</v>
      </c>
      <c r="F90" s="264">
        <f t="shared" si="24"/>
        <v>98217442.8600339</v>
      </c>
      <c r="G90" s="264">
        <f t="shared" si="27"/>
        <v>97176337.965717554</v>
      </c>
      <c r="H90" s="264">
        <f t="shared" si="25"/>
        <v>94125000.953594029</v>
      </c>
      <c r="I90" s="264">
        <f t="shared" si="26"/>
        <v>83799488.348984763</v>
      </c>
      <c r="J90" s="264">
        <f t="shared" si="28"/>
        <v>85198939.804412797</v>
      </c>
      <c r="K90" s="264">
        <f t="shared" si="17"/>
        <v>92900923.962731719</v>
      </c>
      <c r="L90" s="264">
        <f t="shared" si="18"/>
        <v>101299167.48896268</v>
      </c>
      <c r="M90" s="264">
        <f t="shared" si="19"/>
        <v>110456612.22996491</v>
      </c>
      <c r="N90" s="264">
        <f t="shared" si="20"/>
        <v>120441889.97555375</v>
      </c>
      <c r="O90" s="320">
        <f t="shared" si="21"/>
        <v>131329836.82934383</v>
      </c>
      <c r="P90" s="321">
        <f t="shared" si="22"/>
        <v>1204811178.5210474</v>
      </c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80"/>
      <c r="BK90" s="80"/>
      <c r="BL90" s="80"/>
      <c r="BM90" s="80"/>
      <c r="BN90" s="80"/>
      <c r="BO90" s="117">
        <v>90000000</v>
      </c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D90" s="73">
        <v>90</v>
      </c>
    </row>
    <row r="91" spans="1:82" ht="16.5" customHeight="1">
      <c r="A91" s="265"/>
      <c r="B91" s="270">
        <v>6030</v>
      </c>
      <c r="C91" s="270" t="s">
        <v>79</v>
      </c>
      <c r="D91" s="264">
        <f>'CF 2017'!O95*1.05</f>
        <v>4219234.1800388312</v>
      </c>
      <c r="E91" s="264">
        <f t="shared" si="23"/>
        <v>4219234.1800388312</v>
      </c>
      <c r="F91" s="264">
        <f t="shared" si="24"/>
        <v>4365219.6826681746</v>
      </c>
      <c r="G91" s="264">
        <f t="shared" si="27"/>
        <v>4318948.3540318925</v>
      </c>
      <c r="H91" s="264">
        <f t="shared" si="25"/>
        <v>4183333.3757152911</v>
      </c>
      <c r="I91" s="264">
        <f t="shared" si="26"/>
        <v>3724421.7043993236</v>
      </c>
      <c r="J91" s="264">
        <f t="shared" si="28"/>
        <v>3786619.5468627918</v>
      </c>
      <c r="K91" s="264">
        <f t="shared" si="17"/>
        <v>4128929.9538991884</v>
      </c>
      <c r="L91" s="264">
        <f t="shared" si="18"/>
        <v>4502185.2217316758</v>
      </c>
      <c r="M91" s="264">
        <f t="shared" si="19"/>
        <v>4909182.7657762198</v>
      </c>
      <c r="N91" s="264">
        <f t="shared" si="20"/>
        <v>5352972.8878023904</v>
      </c>
      <c r="O91" s="320">
        <f t="shared" si="21"/>
        <v>5836881.6368597271</v>
      </c>
      <c r="P91" s="321">
        <f t="shared" si="22"/>
        <v>53547163.48982434</v>
      </c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80"/>
      <c r="BK91" s="80"/>
      <c r="BL91" s="80"/>
      <c r="BM91" s="80"/>
      <c r="BN91" s="80"/>
      <c r="BO91" s="117">
        <v>4000000</v>
      </c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D91" s="73">
        <v>4</v>
      </c>
    </row>
    <row r="92" spans="1:82" ht="16.5" customHeight="1">
      <c r="A92" s="265"/>
      <c r="B92" s="270">
        <v>6040</v>
      </c>
      <c r="C92" s="270" t="s">
        <v>80</v>
      </c>
      <c r="D92" s="264">
        <f>'CF 2017'!O96*1.05</f>
        <v>0</v>
      </c>
      <c r="E92" s="264">
        <f t="shared" si="23"/>
        <v>0</v>
      </c>
      <c r="F92" s="264">
        <f t="shared" si="24"/>
        <v>0</v>
      </c>
      <c r="G92" s="264">
        <f t="shared" si="27"/>
        <v>0</v>
      </c>
      <c r="H92" s="264">
        <f t="shared" si="25"/>
        <v>0</v>
      </c>
      <c r="I92" s="264">
        <f t="shared" si="26"/>
        <v>0</v>
      </c>
      <c r="J92" s="264">
        <f t="shared" si="28"/>
        <v>0</v>
      </c>
      <c r="K92" s="264">
        <f t="shared" si="17"/>
        <v>0</v>
      </c>
      <c r="L92" s="264">
        <f t="shared" si="18"/>
        <v>0</v>
      </c>
      <c r="M92" s="264">
        <f t="shared" si="19"/>
        <v>0</v>
      </c>
      <c r="N92" s="264">
        <f t="shared" si="20"/>
        <v>0</v>
      </c>
      <c r="O92" s="320">
        <f t="shared" si="21"/>
        <v>0</v>
      </c>
      <c r="P92" s="321">
        <f t="shared" si="22"/>
        <v>0</v>
      </c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80"/>
      <c r="BK92" s="80"/>
      <c r="BL92" s="80"/>
      <c r="BM92" s="80"/>
      <c r="BN92" s="80"/>
      <c r="BO92" s="117">
        <v>0</v>
      </c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D92" s="73"/>
    </row>
    <row r="93" spans="1:82">
      <c r="A93" s="265"/>
      <c r="B93" s="270">
        <v>6041</v>
      </c>
      <c r="C93" s="270" t="s">
        <v>81</v>
      </c>
      <c r="D93" s="264">
        <f>'CF 2017'!O97*1.05</f>
        <v>0</v>
      </c>
      <c r="E93" s="264">
        <f t="shared" si="23"/>
        <v>0</v>
      </c>
      <c r="F93" s="264">
        <f t="shared" si="24"/>
        <v>0</v>
      </c>
      <c r="G93" s="264">
        <f t="shared" si="27"/>
        <v>0</v>
      </c>
      <c r="H93" s="264">
        <f t="shared" si="25"/>
        <v>0</v>
      </c>
      <c r="I93" s="264">
        <f t="shared" si="26"/>
        <v>0</v>
      </c>
      <c r="J93" s="264">
        <f t="shared" si="28"/>
        <v>0</v>
      </c>
      <c r="K93" s="264">
        <f t="shared" si="17"/>
        <v>0</v>
      </c>
      <c r="L93" s="264">
        <f t="shared" si="18"/>
        <v>0</v>
      </c>
      <c r="M93" s="264">
        <f t="shared" si="19"/>
        <v>0</v>
      </c>
      <c r="N93" s="264">
        <f t="shared" si="20"/>
        <v>0</v>
      </c>
      <c r="O93" s="320">
        <f t="shared" si="21"/>
        <v>0</v>
      </c>
      <c r="P93" s="321">
        <f t="shared" si="22"/>
        <v>0</v>
      </c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80"/>
      <c r="BK93" s="80"/>
      <c r="BL93" s="80"/>
      <c r="BM93" s="80"/>
      <c r="BN93" s="80"/>
      <c r="BO93" s="117">
        <v>0</v>
      </c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D93" s="73"/>
    </row>
    <row r="94" spans="1:82">
      <c r="A94" s="265"/>
      <c r="B94" s="270">
        <v>6050</v>
      </c>
      <c r="C94" s="270" t="s">
        <v>82</v>
      </c>
      <c r="D94" s="264">
        <f>'CF 2017'!O98*1.05</f>
        <v>121302982.67611638</v>
      </c>
      <c r="E94" s="264">
        <f t="shared" si="23"/>
        <v>121302982.67611638</v>
      </c>
      <c r="F94" s="264">
        <f t="shared" si="24"/>
        <v>125500065.87671</v>
      </c>
      <c r="G94" s="264">
        <f t="shared" si="27"/>
        <v>124169765.17841689</v>
      </c>
      <c r="H94" s="264">
        <f t="shared" si="25"/>
        <v>120270834.5518146</v>
      </c>
      <c r="I94" s="264">
        <f t="shared" si="26"/>
        <v>107077124.00148053</v>
      </c>
      <c r="J94" s="264">
        <f t="shared" si="28"/>
        <v>108865311.97230525</v>
      </c>
      <c r="K94" s="264">
        <f t="shared" si="17"/>
        <v>118706736.17460166</v>
      </c>
      <c r="L94" s="264">
        <f t="shared" si="18"/>
        <v>129437825.12478566</v>
      </c>
      <c r="M94" s="264">
        <f t="shared" si="19"/>
        <v>141139004.51606628</v>
      </c>
      <c r="N94" s="264">
        <f t="shared" si="20"/>
        <v>153897970.5243187</v>
      </c>
      <c r="O94" s="320">
        <f t="shared" si="21"/>
        <v>167810347.05971712</v>
      </c>
      <c r="P94" s="321">
        <f t="shared" si="22"/>
        <v>1539480950.3324497</v>
      </c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80"/>
      <c r="BK94" s="80"/>
      <c r="BL94" s="80"/>
      <c r="BM94" s="80"/>
      <c r="BN94" s="80"/>
      <c r="BO94" s="117">
        <v>115000000</v>
      </c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D94" s="73">
        <v>115</v>
      </c>
    </row>
    <row r="95" spans="1:82">
      <c r="A95" s="265"/>
      <c r="B95" s="270">
        <v>6051</v>
      </c>
      <c r="C95" s="270" t="s">
        <v>83</v>
      </c>
      <c r="D95" s="264">
        <f>'CF 2017'!O99*1.05</f>
        <v>632885.1270058247</v>
      </c>
      <c r="E95" s="264">
        <f t="shared" si="23"/>
        <v>632885.1270058247</v>
      </c>
      <c r="F95" s="264">
        <f t="shared" si="24"/>
        <v>654782.95240022615</v>
      </c>
      <c r="G95" s="264">
        <f t="shared" si="27"/>
        <v>647842.25310478383</v>
      </c>
      <c r="H95" s="264">
        <f t="shared" si="25"/>
        <v>627500.00635729358</v>
      </c>
      <c r="I95" s="264">
        <f t="shared" si="26"/>
        <v>558663.25565989851</v>
      </c>
      <c r="J95" s="264">
        <f t="shared" si="28"/>
        <v>567992.93202941876</v>
      </c>
      <c r="K95" s="264">
        <f t="shared" ref="K95:K100" si="30">J95+(J95*$K$10%)</f>
        <v>619339.4930848782</v>
      </c>
      <c r="L95" s="264">
        <f t="shared" ref="L95:L98" si="31">K95+(K95*$K$10%)</f>
        <v>675327.78325975128</v>
      </c>
      <c r="M95" s="264">
        <f t="shared" ref="M95:M98" si="32">L95+(L95*$K$10%)</f>
        <v>736377.41486643278</v>
      </c>
      <c r="N95" s="264">
        <f t="shared" ref="N95:N98" si="33">M95+(M95*$K$10%)</f>
        <v>802945.9331703583</v>
      </c>
      <c r="O95" s="320">
        <f t="shared" ref="O95:O98" si="34">N95+(N95*$K$10%)</f>
        <v>875532.24552895874</v>
      </c>
      <c r="P95" s="321">
        <f t="shared" ref="P95:P108" si="35">SUM(D95:O95)</f>
        <v>8032074.5234736493</v>
      </c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80"/>
      <c r="BK95" s="80"/>
      <c r="BL95" s="80"/>
      <c r="BM95" s="80"/>
      <c r="BN95" s="80"/>
      <c r="BO95" s="117">
        <v>600000</v>
      </c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D95" s="73">
        <v>0.6</v>
      </c>
    </row>
    <row r="96" spans="1:82">
      <c r="A96" s="265"/>
      <c r="B96" s="270">
        <v>6052</v>
      </c>
      <c r="C96" s="270" t="s">
        <v>84</v>
      </c>
      <c r="D96" s="264">
        <f>'CF 2017'!O100*1.05</f>
        <v>527404.2725048539</v>
      </c>
      <c r="E96" s="264">
        <f t="shared" ref="E96:E98" si="36">D96+(D96*$E$10%)</f>
        <v>527404.2725048539</v>
      </c>
      <c r="F96" s="264">
        <f t="shared" ref="F96:F98" si="37">E96+(E96*$F$10%)</f>
        <v>545652.46033352183</v>
      </c>
      <c r="G96" s="264">
        <f t="shared" si="27"/>
        <v>539868.54425398656</v>
      </c>
      <c r="H96" s="264">
        <f t="shared" ref="H96:H101" si="38">G96+(G96*$H$10%)</f>
        <v>522916.67196441139</v>
      </c>
      <c r="I96" s="264">
        <f t="shared" ref="I96:I101" si="39">H96+(H96*$I$10%)</f>
        <v>465552.71304991544</v>
      </c>
      <c r="J96" s="264">
        <f t="shared" ref="J96:J101" si="40">I96+(I96*$J$10%)</f>
        <v>473327.44335784897</v>
      </c>
      <c r="K96" s="264">
        <f t="shared" si="30"/>
        <v>516116.24423739855</v>
      </c>
      <c r="L96" s="264">
        <f t="shared" si="31"/>
        <v>562773.15271645947</v>
      </c>
      <c r="M96" s="264">
        <f t="shared" si="32"/>
        <v>613647.84572202747</v>
      </c>
      <c r="N96" s="264">
        <f t="shared" si="33"/>
        <v>669121.6109752988</v>
      </c>
      <c r="O96" s="320">
        <f t="shared" si="34"/>
        <v>729610.20460746589</v>
      </c>
      <c r="P96" s="321">
        <f t="shared" si="35"/>
        <v>6693395.4362280425</v>
      </c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80"/>
      <c r="BK96" s="80"/>
      <c r="BL96" s="80"/>
      <c r="BM96" s="80"/>
      <c r="BN96" s="80"/>
      <c r="BO96" s="117">
        <v>500000</v>
      </c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D96" s="73">
        <v>0.5</v>
      </c>
    </row>
    <row r="97" spans="1:82">
      <c r="A97" s="265"/>
      <c r="B97" s="270">
        <v>6090</v>
      </c>
      <c r="C97" s="270" t="s">
        <v>85</v>
      </c>
      <c r="D97" s="264">
        <f>'CF 2017'!O101*1.05</f>
        <v>1054808.5450097078</v>
      </c>
      <c r="E97" s="264">
        <f t="shared" si="36"/>
        <v>1054808.5450097078</v>
      </c>
      <c r="F97" s="264">
        <f t="shared" si="37"/>
        <v>1091304.9206670437</v>
      </c>
      <c r="G97" s="264">
        <f t="shared" ref="G97:G98" si="41">F97+(F97*$G$10%)</f>
        <v>1079737.0885079731</v>
      </c>
      <c r="H97" s="264">
        <f t="shared" si="38"/>
        <v>1045833.3439288228</v>
      </c>
      <c r="I97" s="264">
        <f t="shared" si="39"/>
        <v>931105.42609983089</v>
      </c>
      <c r="J97" s="264">
        <f t="shared" si="40"/>
        <v>946654.88671569794</v>
      </c>
      <c r="K97" s="264">
        <f t="shared" si="30"/>
        <v>1032232.4884747971</v>
      </c>
      <c r="L97" s="264">
        <f t="shared" si="31"/>
        <v>1125546.3054329189</v>
      </c>
      <c r="M97" s="264">
        <f t="shared" si="32"/>
        <v>1227295.6914440549</v>
      </c>
      <c r="N97" s="264">
        <f t="shared" si="33"/>
        <v>1338243.2219505976</v>
      </c>
      <c r="O97" s="320">
        <f t="shared" si="34"/>
        <v>1459220.4092149318</v>
      </c>
      <c r="P97" s="321">
        <f t="shared" si="35"/>
        <v>13386790.872456085</v>
      </c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80"/>
      <c r="BK97" s="80"/>
      <c r="BL97" s="80"/>
      <c r="BM97" s="80"/>
      <c r="BN97" s="80"/>
      <c r="BO97" s="117">
        <v>1000000</v>
      </c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D97" s="73">
        <v>1</v>
      </c>
    </row>
    <row r="98" spans="1:82">
      <c r="A98" s="265"/>
      <c r="B98" s="270"/>
      <c r="C98" s="270" t="s">
        <v>86</v>
      </c>
      <c r="D98" s="264">
        <f>'CF 2017'!O102*1.05</f>
        <v>68562555.425631016</v>
      </c>
      <c r="E98" s="264">
        <f t="shared" si="36"/>
        <v>68562555.425631016</v>
      </c>
      <c r="F98" s="264">
        <f t="shared" si="37"/>
        <v>70934819.843357846</v>
      </c>
      <c r="G98" s="264">
        <f t="shared" si="41"/>
        <v>70182910.75301826</v>
      </c>
      <c r="H98" s="264">
        <f t="shared" si="38"/>
        <v>67979167.355373487</v>
      </c>
      <c r="I98" s="264">
        <f t="shared" si="39"/>
        <v>60521852.696489014</v>
      </c>
      <c r="J98" s="264">
        <f t="shared" si="40"/>
        <v>61532567.636520371</v>
      </c>
      <c r="K98" s="264">
        <f t="shared" si="30"/>
        <v>67095111.750861816</v>
      </c>
      <c r="L98" s="264">
        <f t="shared" si="31"/>
        <v>73160509.853139728</v>
      </c>
      <c r="M98" s="264">
        <f t="shared" si="32"/>
        <v>79774219.943863571</v>
      </c>
      <c r="N98" s="264">
        <f t="shared" si="33"/>
        <v>86985809.426788837</v>
      </c>
      <c r="O98" s="320">
        <f t="shared" si="34"/>
        <v>94849326.598970547</v>
      </c>
      <c r="P98" s="321">
        <f t="shared" si="35"/>
        <v>870141406.70964563</v>
      </c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80"/>
      <c r="BK98" s="80"/>
      <c r="BL98" s="80"/>
      <c r="BM98" s="80"/>
      <c r="BN98" s="80"/>
      <c r="BO98" s="117">
        <v>65000000</v>
      </c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D98" s="73">
        <v>65</v>
      </c>
    </row>
    <row r="99" spans="1:82">
      <c r="A99" s="265"/>
      <c r="B99" s="270"/>
      <c r="C99" s="270" t="s">
        <v>87</v>
      </c>
      <c r="D99" s="264">
        <f>'CF 2017'!O103*1.05</f>
        <v>0</v>
      </c>
      <c r="E99" s="264"/>
      <c r="F99" s="264"/>
      <c r="G99" s="264"/>
      <c r="H99" s="264">
        <f t="shared" si="38"/>
        <v>0</v>
      </c>
      <c r="I99" s="264">
        <f t="shared" si="39"/>
        <v>0</v>
      </c>
      <c r="J99" s="264">
        <f t="shared" si="40"/>
        <v>0</v>
      </c>
      <c r="K99" s="264">
        <f t="shared" si="30"/>
        <v>0</v>
      </c>
      <c r="L99" s="264"/>
      <c r="M99" s="264"/>
      <c r="N99" s="264"/>
      <c r="O99" s="320"/>
      <c r="P99" s="321">
        <f t="shared" si="35"/>
        <v>0</v>
      </c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80"/>
      <c r="BK99" s="80"/>
      <c r="BL99" s="80"/>
      <c r="BM99" s="80"/>
      <c r="BN99" s="80"/>
      <c r="BO99" s="117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D99" s="73"/>
    </row>
    <row r="100" spans="1:82">
      <c r="A100" s="265"/>
      <c r="B100" s="270"/>
      <c r="C100" s="270" t="s">
        <v>88</v>
      </c>
      <c r="D100" s="264">
        <f>'CF 2017'!O104*1.05</f>
        <v>0</v>
      </c>
      <c r="E100" s="264"/>
      <c r="F100" s="264"/>
      <c r="G100" s="264"/>
      <c r="H100" s="264">
        <f t="shared" si="38"/>
        <v>0</v>
      </c>
      <c r="I100" s="264">
        <f t="shared" si="39"/>
        <v>0</v>
      </c>
      <c r="J100" s="264">
        <f t="shared" si="40"/>
        <v>0</v>
      </c>
      <c r="K100" s="264">
        <f t="shared" si="30"/>
        <v>0</v>
      </c>
      <c r="L100" s="264"/>
      <c r="M100" s="264"/>
      <c r="N100" s="264"/>
      <c r="O100" s="320"/>
      <c r="P100" s="321">
        <f t="shared" si="35"/>
        <v>0</v>
      </c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80"/>
      <c r="BK100" s="80"/>
      <c r="BL100" s="80"/>
      <c r="BM100" s="80"/>
      <c r="BN100" s="80"/>
      <c r="BO100" s="117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D100" s="73"/>
    </row>
    <row r="101" spans="1:82">
      <c r="A101" s="265"/>
      <c r="B101" s="270"/>
      <c r="C101" s="270" t="s">
        <v>89</v>
      </c>
      <c r="D101" s="264">
        <v>69566000</v>
      </c>
      <c r="E101" s="264"/>
      <c r="F101" s="264"/>
      <c r="G101" s="264"/>
      <c r="H101" s="264">
        <f t="shared" si="38"/>
        <v>0</v>
      </c>
      <c r="I101" s="264">
        <f t="shared" si="39"/>
        <v>0</v>
      </c>
      <c r="J101" s="264">
        <f t="shared" si="40"/>
        <v>0</v>
      </c>
      <c r="K101" s="264"/>
      <c r="L101" s="264"/>
      <c r="M101" s="264"/>
      <c r="N101" s="264"/>
      <c r="O101" s="320"/>
      <c r="P101" s="321">
        <f t="shared" si="35"/>
        <v>69566000</v>
      </c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163"/>
      <c r="BH101" s="163"/>
      <c r="BI101" s="163"/>
      <c r="BJ101" s="80"/>
      <c r="BK101" s="80"/>
      <c r="BL101" s="80"/>
      <c r="BM101" s="80"/>
      <c r="BN101" s="80"/>
      <c r="BO101" s="117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D101" s="73"/>
    </row>
    <row r="102" spans="1:82">
      <c r="A102" s="265"/>
      <c r="B102" s="607" t="s">
        <v>90</v>
      </c>
      <c r="C102" s="607"/>
      <c r="D102" s="267">
        <f>SUM(D28:D101)</f>
        <v>4171245713.1819596</v>
      </c>
      <c r="E102" s="267">
        <f t="shared" ref="E102:J102" si="42">SUM(E28:E101)</f>
        <v>4101679713.1819596</v>
      </c>
      <c r="F102" s="267">
        <f t="shared" si="42"/>
        <v>4217432867.8936543</v>
      </c>
      <c r="G102" s="267">
        <f t="shared" si="42"/>
        <v>4242945777.536243</v>
      </c>
      <c r="H102" s="267">
        <f t="shared" si="42"/>
        <v>4073188785.9094086</v>
      </c>
      <c r="I102" s="267">
        <f t="shared" si="42"/>
        <v>4437327516.2399454</v>
      </c>
      <c r="J102" s="267">
        <f t="shared" si="42"/>
        <v>3840754415.3216305</v>
      </c>
      <c r="K102" s="267">
        <f>SUM(K28:K101)</f>
        <v>4030014377.1063962</v>
      </c>
      <c r="L102" s="267">
        <f t="shared" ref="L102:O102" si="43">SUM(L28:L101)</f>
        <v>4325993031.1351023</v>
      </c>
      <c r="M102" s="267">
        <f t="shared" si="43"/>
        <v>4648728155.4880047</v>
      </c>
      <c r="N102" s="267">
        <f t="shared" si="43"/>
        <v>5000638535.0824051</v>
      </c>
      <c r="O102" s="322">
        <f t="shared" si="43"/>
        <v>5272499073.9921427</v>
      </c>
      <c r="P102" s="323">
        <f>SUM(D102:O102)</f>
        <v>52362447962.068855</v>
      </c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>
        <f>SUM(P30:P101)</f>
        <v>52362447962.068848</v>
      </c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82"/>
      <c r="BK102" s="82"/>
      <c r="BL102" s="82"/>
      <c r="BM102" s="82"/>
      <c r="BN102" s="82"/>
      <c r="BO102" s="119">
        <v>3807445500</v>
      </c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D102" s="73">
        <v>3363.3003004999996</v>
      </c>
    </row>
    <row r="103" spans="1:82">
      <c r="A103" s="265"/>
      <c r="B103" s="270"/>
      <c r="C103" s="270" t="s">
        <v>112</v>
      </c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320"/>
      <c r="P103" s="321">
        <f t="shared" si="35"/>
        <v>0</v>
      </c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80"/>
      <c r="BK103" s="80"/>
      <c r="BL103" s="80"/>
      <c r="BM103" s="80"/>
      <c r="BN103" s="80"/>
      <c r="BO103" s="117">
        <v>117000000</v>
      </c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D103" s="73"/>
    </row>
    <row r="104" spans="1:82" ht="30">
      <c r="A104" s="265"/>
      <c r="B104" s="270"/>
      <c r="C104" s="271" t="s">
        <v>230</v>
      </c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320"/>
      <c r="P104" s="321">
        <f t="shared" si="35"/>
        <v>0</v>
      </c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80"/>
      <c r="BK104" s="80"/>
      <c r="BL104" s="80"/>
      <c r="BM104" s="80"/>
      <c r="BN104" s="80"/>
      <c r="BO104" s="117">
        <v>0</v>
      </c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D104" s="73">
        <v>30</v>
      </c>
    </row>
    <row r="105" spans="1:82">
      <c r="A105" s="265"/>
      <c r="B105" s="270"/>
      <c r="C105" s="274" t="s">
        <v>338</v>
      </c>
      <c r="D105" s="264">
        <v>350000000</v>
      </c>
      <c r="E105" s="264">
        <v>350000000</v>
      </c>
      <c r="F105" s="264">
        <v>350000000</v>
      </c>
      <c r="G105" s="264">
        <v>350000000</v>
      </c>
      <c r="H105" s="264">
        <v>350000000</v>
      </c>
      <c r="I105" s="264">
        <v>350000000</v>
      </c>
      <c r="J105" s="264">
        <v>350000000</v>
      </c>
      <c r="K105" s="264">
        <v>350000000</v>
      </c>
      <c r="L105" s="264">
        <v>350000000</v>
      </c>
      <c r="M105" s="264">
        <v>350000000</v>
      </c>
      <c r="N105" s="264">
        <v>350000000</v>
      </c>
      <c r="O105" s="264">
        <v>350000000</v>
      </c>
      <c r="P105" s="321">
        <f t="shared" si="35"/>
        <v>4200000000</v>
      </c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>
        <f>+P105+'CF 2017'!P113</f>
        <v>7200000000</v>
      </c>
      <c r="AL105" s="163"/>
      <c r="AM105" s="163"/>
      <c r="AN105" s="163"/>
      <c r="AO105" s="163"/>
      <c r="AP105" s="163"/>
      <c r="AQ105" s="190"/>
      <c r="AR105" s="190"/>
      <c r="AT105" s="163">
        <f>P105+'CF 2017'!P109</f>
        <v>5400000000</v>
      </c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80"/>
      <c r="BK105" s="80"/>
      <c r="BL105" s="80"/>
      <c r="BM105" s="80"/>
      <c r="BN105" s="80"/>
      <c r="BO105" s="117">
        <v>80000000</v>
      </c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D105" s="73"/>
    </row>
    <row r="106" spans="1:82" s="182" customFormat="1">
      <c r="A106" s="265"/>
      <c r="B106" s="273"/>
      <c r="C106" s="272" t="s">
        <v>380</v>
      </c>
      <c r="D106" s="264">
        <v>250000000</v>
      </c>
      <c r="E106" s="264">
        <v>250000000</v>
      </c>
      <c r="F106" s="264">
        <v>250000000</v>
      </c>
      <c r="G106" s="264">
        <v>250000000</v>
      </c>
      <c r="H106" s="264">
        <v>250000000</v>
      </c>
      <c r="I106" s="264">
        <v>750000000</v>
      </c>
      <c r="J106" s="264">
        <v>750000000</v>
      </c>
      <c r="K106" s="264">
        <f t="shared" ref="K106:O106" si="44">+J106</f>
        <v>750000000</v>
      </c>
      <c r="L106" s="264">
        <v>1000000000</v>
      </c>
      <c r="M106" s="264"/>
      <c r="N106" s="264"/>
      <c r="O106" s="264">
        <f t="shared" si="44"/>
        <v>0</v>
      </c>
      <c r="P106" s="321">
        <f t="shared" si="35"/>
        <v>4500000000</v>
      </c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90"/>
      <c r="AR106" s="190"/>
      <c r="AS106" s="163">
        <f>+P106-5000000000</f>
        <v>-500000000</v>
      </c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80" t="e">
        <f>+P106+'CF 2017'!#REF!</f>
        <v>#REF!</v>
      </c>
      <c r="BK106" s="80"/>
      <c r="BL106" s="80"/>
      <c r="BM106" s="80"/>
      <c r="BN106" s="80"/>
      <c r="BO106" s="188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D106" s="183"/>
    </row>
    <row r="107" spans="1:82">
      <c r="A107" s="265"/>
      <c r="B107" s="273"/>
      <c r="C107" s="274" t="s">
        <v>96</v>
      </c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320"/>
      <c r="P107" s="321">
        <f t="shared" si="35"/>
        <v>0</v>
      </c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80" t="e">
        <f>+BJ106-8000000000</f>
        <v>#REF!</v>
      </c>
      <c r="BK107" s="80"/>
      <c r="BL107" s="80"/>
      <c r="BM107" s="80"/>
      <c r="BN107" s="80"/>
      <c r="BO107" s="118"/>
      <c r="BP107" s="80" t="e">
        <f>#REF!-650000000</f>
        <v>#REF!</v>
      </c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D107" s="73"/>
    </row>
    <row r="108" spans="1:82" ht="45">
      <c r="A108" s="265"/>
      <c r="B108" s="273"/>
      <c r="C108" s="274" t="str">
        <f>+'CF 2017'!C113</f>
        <v>Pinbuk ke Yayasan ( untuk angsuran pinjaman pihak ke 3 yang 8 M)</v>
      </c>
      <c r="D108" s="264">
        <v>300000000</v>
      </c>
      <c r="E108" s="264">
        <v>400000000</v>
      </c>
      <c r="F108" s="264">
        <v>400000000</v>
      </c>
      <c r="G108" s="264">
        <v>400000000</v>
      </c>
      <c r="H108" s="264">
        <v>400000000</v>
      </c>
      <c r="I108" s="264">
        <v>400000000</v>
      </c>
      <c r="J108" s="264">
        <v>400000000</v>
      </c>
      <c r="K108" s="264">
        <v>400000000</v>
      </c>
      <c r="L108" s="264">
        <v>400000000</v>
      </c>
      <c r="M108" s="264">
        <v>400000000</v>
      </c>
      <c r="N108" s="264">
        <v>400000000</v>
      </c>
      <c r="O108" s="264">
        <v>400000000</v>
      </c>
      <c r="P108" s="321">
        <f t="shared" si="35"/>
        <v>4700000000</v>
      </c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>
        <f>+P108+'CF 2017'!P113</f>
        <v>7700000000</v>
      </c>
      <c r="AL108" s="163"/>
      <c r="AM108" s="163"/>
      <c r="AN108" s="163"/>
      <c r="AO108" s="163"/>
      <c r="AP108" s="163"/>
      <c r="AQ108" s="190"/>
      <c r="AR108" s="190"/>
      <c r="AS108" s="163">
        <f>+P108+'CF 2017'!P113</f>
        <v>7700000000</v>
      </c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80">
        <f>+P108+P106</f>
        <v>9200000000</v>
      </c>
      <c r="BK108" s="80"/>
      <c r="BL108" s="80"/>
      <c r="BM108" s="80"/>
      <c r="BN108" s="80"/>
      <c r="BO108" s="118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D108" s="73"/>
    </row>
    <row r="109" spans="1:82" ht="30">
      <c r="A109" s="265"/>
      <c r="B109" s="273"/>
      <c r="C109" s="276" t="s">
        <v>144</v>
      </c>
      <c r="D109" s="264">
        <v>120000000</v>
      </c>
      <c r="E109" s="264">
        <f>D109</f>
        <v>120000000</v>
      </c>
      <c r="F109" s="264">
        <f t="shared" ref="F109:O109" si="45">E109</f>
        <v>120000000</v>
      </c>
      <c r="G109" s="264">
        <f t="shared" si="45"/>
        <v>120000000</v>
      </c>
      <c r="H109" s="264">
        <f t="shared" si="45"/>
        <v>120000000</v>
      </c>
      <c r="I109" s="264">
        <f t="shared" si="45"/>
        <v>120000000</v>
      </c>
      <c r="J109" s="264">
        <f t="shared" si="45"/>
        <v>120000000</v>
      </c>
      <c r="K109" s="264">
        <f t="shared" si="45"/>
        <v>120000000</v>
      </c>
      <c r="L109" s="264">
        <f t="shared" si="45"/>
        <v>120000000</v>
      </c>
      <c r="M109" s="264">
        <f t="shared" si="45"/>
        <v>120000000</v>
      </c>
      <c r="N109" s="264">
        <f t="shared" si="45"/>
        <v>120000000</v>
      </c>
      <c r="O109" s="320">
        <f t="shared" si="45"/>
        <v>120000000</v>
      </c>
      <c r="P109" s="321">
        <f>SUM(D109:O109)</f>
        <v>1440000000</v>
      </c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82" t="e">
        <f>BJ106-8000000000</f>
        <v>#REF!</v>
      </c>
      <c r="BK109" s="82"/>
      <c r="BL109" s="82"/>
      <c r="BM109" s="82"/>
      <c r="BN109" s="82"/>
      <c r="BO109" s="119">
        <v>120000000</v>
      </c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D109" s="73"/>
    </row>
    <row r="110" spans="1:82">
      <c r="A110" s="265"/>
      <c r="B110" s="273"/>
      <c r="C110" s="276" t="str">
        <f>'CF 2017'!C117</f>
        <v>Gedung Baru A, B dan E</v>
      </c>
      <c r="D110" s="264">
        <f>D178</f>
        <v>1715625000</v>
      </c>
      <c r="E110" s="264">
        <f t="shared" ref="E110:O110" si="46">E178</f>
        <v>1715625000</v>
      </c>
      <c r="F110" s="264">
        <f t="shared" si="46"/>
        <v>1715625000</v>
      </c>
      <c r="G110" s="264">
        <f t="shared" si="46"/>
        <v>1313000000</v>
      </c>
      <c r="H110" s="264">
        <f t="shared" si="46"/>
        <v>1313000000</v>
      </c>
      <c r="I110" s="264">
        <f t="shared" si="46"/>
        <v>1313000000</v>
      </c>
      <c r="J110" s="264">
        <f t="shared" si="46"/>
        <v>1313000000</v>
      </c>
      <c r="K110" s="264">
        <f t="shared" si="46"/>
        <v>1313000000</v>
      </c>
      <c r="L110" s="264">
        <f t="shared" si="46"/>
        <v>1313000000</v>
      </c>
      <c r="M110" s="264">
        <f t="shared" si="46"/>
        <v>1425000000</v>
      </c>
      <c r="N110" s="264">
        <f t="shared" si="46"/>
        <v>1500000000</v>
      </c>
      <c r="O110" s="264">
        <f t="shared" si="46"/>
        <v>1500000000</v>
      </c>
      <c r="P110" s="321">
        <f>SUM(D110:O110)</f>
        <v>17449875000</v>
      </c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>
        <f>+P110+'CF 2017'!P117</f>
        <v>37296000000</v>
      </c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82"/>
      <c r="BK110" s="82"/>
      <c r="BL110" s="82"/>
      <c r="BM110" s="82"/>
      <c r="BN110" s="82"/>
      <c r="BO110" s="119">
        <v>250000000</v>
      </c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D110" s="73">
        <v>250</v>
      </c>
    </row>
    <row r="111" spans="1:82">
      <c r="A111" s="608" t="s">
        <v>102</v>
      </c>
      <c r="B111" s="609"/>
      <c r="C111" s="609"/>
      <c r="D111" s="267">
        <f>SUM(D102:D110)</f>
        <v>6906870713.1819592</v>
      </c>
      <c r="E111" s="267">
        <f t="shared" ref="E111:O111" si="47">SUM(E102:E110)</f>
        <v>6937304713.1819592</v>
      </c>
      <c r="F111" s="267">
        <f t="shared" si="47"/>
        <v>7053057867.8936539</v>
      </c>
      <c r="G111" s="267">
        <f t="shared" si="47"/>
        <v>6675945777.5362434</v>
      </c>
      <c r="H111" s="267">
        <f t="shared" si="47"/>
        <v>6506188785.9094086</v>
      </c>
      <c r="I111" s="267">
        <f t="shared" si="47"/>
        <v>7370327516.2399454</v>
      </c>
      <c r="J111" s="267">
        <f t="shared" si="47"/>
        <v>6773754415.3216305</v>
      </c>
      <c r="K111" s="267">
        <f t="shared" si="47"/>
        <v>6963014377.1063957</v>
      </c>
      <c r="L111" s="267">
        <f t="shared" si="47"/>
        <v>7508993031.1351023</v>
      </c>
      <c r="M111" s="267">
        <f t="shared" si="47"/>
        <v>6943728155.4880047</v>
      </c>
      <c r="N111" s="267">
        <f t="shared" si="47"/>
        <v>7370638535.0824051</v>
      </c>
      <c r="O111" s="267">
        <f t="shared" si="47"/>
        <v>7642499073.9921427</v>
      </c>
      <c r="P111" s="323">
        <f>SUM(P102:P110)</f>
        <v>84652322962.068848</v>
      </c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82"/>
      <c r="BK111" s="82"/>
      <c r="BL111" s="82"/>
      <c r="BM111" s="82"/>
      <c r="BN111" s="82"/>
      <c r="BO111" s="119">
        <v>4497701504</v>
      </c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D111" s="73">
        <f>SUM(CD102:CD110)</f>
        <v>3643.3003004999996</v>
      </c>
    </row>
    <row r="112" spans="1:82">
      <c r="A112" s="265"/>
      <c r="B112" s="269"/>
      <c r="C112" s="270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32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  <c r="BG112" s="153"/>
      <c r="BH112" s="153"/>
      <c r="BI112" s="153"/>
      <c r="BJ112" s="80"/>
      <c r="BK112" s="80"/>
      <c r="BL112" s="80"/>
      <c r="BM112" s="80"/>
      <c r="BN112" s="80"/>
      <c r="BO112" s="118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</row>
    <row r="113" spans="1:82">
      <c r="A113" s="610" t="s">
        <v>103</v>
      </c>
      <c r="B113" s="611"/>
      <c r="C113" s="611"/>
      <c r="D113" s="278">
        <f t="shared" ref="D113" si="48">+D25-D111</f>
        <v>56702657.128396034</v>
      </c>
      <c r="E113" s="278">
        <f t="shared" ref="E113:O113" si="49">+E25-E111</f>
        <v>94037640.141659737</v>
      </c>
      <c r="F113" s="278">
        <f t="shared" si="49"/>
        <v>427545515.50859356</v>
      </c>
      <c r="G113" s="278">
        <f t="shared" si="49"/>
        <v>213197617.06891251</v>
      </c>
      <c r="H113" s="278">
        <f t="shared" si="49"/>
        <v>186569995.05117798</v>
      </c>
      <c r="I113" s="278">
        <f t="shared" si="49"/>
        <v>3981495412.5316324</v>
      </c>
      <c r="J113" s="278">
        <f t="shared" si="49"/>
        <v>3231049854.7143688</v>
      </c>
      <c r="K113" s="278">
        <f t="shared" si="49"/>
        <v>2247869194.9961815</v>
      </c>
      <c r="L113" s="278">
        <f t="shared" si="49"/>
        <v>869694027.66405964</v>
      </c>
      <c r="M113" s="278">
        <f t="shared" si="49"/>
        <v>1311520689.2319012</v>
      </c>
      <c r="N113" s="278">
        <f t="shared" si="49"/>
        <v>1360690163.9552956</v>
      </c>
      <c r="O113" s="278">
        <f t="shared" si="49"/>
        <v>1130494004.7982759</v>
      </c>
      <c r="P113" s="281">
        <f>+P25-P111</f>
        <v>1130494004.7982788</v>
      </c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  <c r="BJ113" s="122"/>
      <c r="BK113" s="122"/>
      <c r="BL113" s="122"/>
      <c r="BM113" s="122"/>
      <c r="BN113" s="122"/>
      <c r="BO113" s="120">
        <v>-852293618.15999985</v>
      </c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>
        <f>+CC25-CC111</f>
        <v>0</v>
      </c>
      <c r="CD113" s="76">
        <f>+CD25-CD111</f>
        <v>-3643.3003004999996</v>
      </c>
    </row>
    <row r="114" spans="1:82">
      <c r="A114" s="279"/>
      <c r="B114" s="279"/>
      <c r="C114" s="279"/>
      <c r="D114" s="324"/>
      <c r="E114" s="324"/>
      <c r="F114" s="324"/>
      <c r="G114" s="324"/>
      <c r="H114" s="324"/>
      <c r="I114" s="324"/>
      <c r="J114" s="324"/>
      <c r="K114" s="324"/>
      <c r="L114" s="324"/>
      <c r="M114" s="324"/>
      <c r="N114" s="324"/>
      <c r="O114" s="324"/>
      <c r="P114" s="324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82"/>
      <c r="BK114" s="82"/>
      <c r="BL114" s="82"/>
      <c r="BM114" s="82"/>
      <c r="BN114" s="82"/>
      <c r="BO114" s="119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</row>
    <row r="115" spans="1:82">
      <c r="A115" s="279"/>
      <c r="B115" s="279"/>
      <c r="C115" s="279"/>
      <c r="D115" s="324"/>
      <c r="E115" s="324"/>
      <c r="F115" s="324"/>
      <c r="G115" s="324"/>
      <c r="H115" s="324"/>
      <c r="I115" s="324"/>
      <c r="J115" s="324"/>
      <c r="K115" s="324"/>
      <c r="L115" s="324"/>
      <c r="M115" s="324"/>
      <c r="N115" s="324"/>
      <c r="O115" s="324"/>
      <c r="P115" s="324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  <c r="BG115" s="153"/>
      <c r="BH115" s="153"/>
      <c r="BI115" s="153"/>
      <c r="BJ115" s="82"/>
      <c r="BK115" s="82"/>
      <c r="BL115" s="82"/>
      <c r="BM115" s="82"/>
      <c r="BN115" s="82"/>
      <c r="BO115" s="119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</row>
    <row r="116" spans="1:82">
      <c r="A116" s="279"/>
      <c r="B116" s="279"/>
      <c r="C116" s="279"/>
      <c r="D116" s="324"/>
      <c r="E116" s="324"/>
      <c r="F116" s="324"/>
      <c r="G116" s="324"/>
      <c r="H116" s="324"/>
      <c r="I116" s="324"/>
      <c r="J116" s="324"/>
      <c r="K116" s="324"/>
      <c r="L116" s="324"/>
      <c r="M116" s="324"/>
      <c r="N116" s="324"/>
      <c r="O116" s="324"/>
      <c r="P116" s="324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  <c r="BG116" s="153"/>
      <c r="BH116" s="153"/>
      <c r="BI116" s="153"/>
      <c r="BJ116" s="82"/>
      <c r="BK116" s="82"/>
      <c r="BL116" s="82"/>
      <c r="BM116" s="82"/>
      <c r="BN116" s="82"/>
      <c r="BO116" s="119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</row>
    <row r="117" spans="1:82">
      <c r="A117" s="279"/>
      <c r="B117" s="279"/>
      <c r="C117" s="279"/>
      <c r="D117" s="324"/>
      <c r="E117" s="324"/>
      <c r="F117" s="324"/>
      <c r="G117" s="324"/>
      <c r="H117" s="324"/>
      <c r="I117" s="324"/>
      <c r="J117" s="324"/>
      <c r="K117" s="324"/>
      <c r="L117" s="324"/>
      <c r="M117" s="324"/>
      <c r="N117" s="324"/>
      <c r="O117" s="324"/>
      <c r="P117" s="324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82"/>
      <c r="BK117" s="82"/>
      <c r="BL117" s="82"/>
      <c r="BM117" s="82"/>
      <c r="BN117" s="82"/>
      <c r="BO117" s="119"/>
      <c r="BP117" s="82"/>
      <c r="BQ117" s="82"/>
      <c r="BR117" s="82"/>
      <c r="BS117" s="82"/>
      <c r="BT117" s="82"/>
      <c r="BU117" s="82"/>
      <c r="BV117" s="82"/>
      <c r="BW117" s="82"/>
      <c r="BX117" s="82"/>
      <c r="BY117" s="82"/>
      <c r="BZ117" s="82"/>
      <c r="CA117" s="82"/>
      <c r="CB117" s="82"/>
      <c r="CC117" s="82"/>
      <c r="CD117" s="82"/>
    </row>
    <row r="118" spans="1:82">
      <c r="A118" s="279"/>
      <c r="B118" s="279"/>
      <c r="C118" s="279"/>
      <c r="D118" s="324"/>
      <c r="E118" s="324"/>
      <c r="F118" s="324"/>
      <c r="G118" s="324"/>
      <c r="H118" s="324"/>
      <c r="I118" s="324"/>
      <c r="J118" s="324"/>
      <c r="K118" s="324"/>
      <c r="L118" s="324"/>
      <c r="M118" s="324"/>
      <c r="N118" s="324"/>
      <c r="O118" s="324"/>
      <c r="P118" s="324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82"/>
      <c r="BK118" s="82"/>
      <c r="BL118" s="82"/>
      <c r="BM118" s="82"/>
      <c r="BN118" s="82"/>
      <c r="BO118" s="119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</row>
    <row r="119" spans="1:82">
      <c r="A119" s="279"/>
      <c r="B119" s="279"/>
      <c r="C119" s="279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82"/>
      <c r="BK119" s="82"/>
      <c r="BL119" s="82"/>
      <c r="BM119" s="82"/>
      <c r="BN119" s="82"/>
      <c r="BO119" s="119"/>
      <c r="BP119" s="82"/>
      <c r="BQ119" s="82"/>
      <c r="BR119" s="82"/>
      <c r="BS119" s="82"/>
      <c r="BT119" s="82"/>
      <c r="BU119" s="82"/>
      <c r="BV119" s="82"/>
      <c r="BW119" s="82"/>
      <c r="BX119" s="82"/>
      <c r="BY119" s="82"/>
      <c r="BZ119" s="82"/>
      <c r="CA119" s="82"/>
      <c r="CB119" s="82"/>
      <c r="CC119" s="82"/>
      <c r="CD119" s="82"/>
    </row>
    <row r="120" spans="1:82">
      <c r="A120" s="279"/>
      <c r="B120" s="279"/>
      <c r="C120" s="279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82"/>
      <c r="BK120" s="82"/>
      <c r="BL120" s="82"/>
      <c r="BM120" s="82"/>
      <c r="BN120" s="82"/>
      <c r="BO120" s="119"/>
      <c r="BP120" s="82"/>
      <c r="BQ120" s="82"/>
      <c r="BR120" s="82"/>
      <c r="BS120" s="82"/>
      <c r="BT120" s="82"/>
      <c r="BU120" s="82"/>
      <c r="BV120" s="82"/>
      <c r="BW120" s="82"/>
      <c r="BX120" s="82"/>
      <c r="BY120" s="82"/>
      <c r="BZ120" s="82"/>
      <c r="CA120" s="82"/>
      <c r="CB120" s="82"/>
      <c r="CC120" s="82"/>
      <c r="CD120" s="82"/>
    </row>
    <row r="121" spans="1:82">
      <c r="A121" s="279"/>
      <c r="B121" s="279"/>
      <c r="C121" s="279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82"/>
      <c r="BK121" s="82"/>
      <c r="BL121" s="82"/>
      <c r="BM121" s="82"/>
      <c r="BN121" s="82"/>
      <c r="BO121" s="119"/>
      <c r="BP121" s="82"/>
      <c r="BQ121" s="82"/>
      <c r="BR121" s="82"/>
      <c r="BS121" s="82"/>
      <c r="BT121" s="82"/>
      <c r="BU121" s="82"/>
      <c r="BV121" s="82"/>
      <c r="BW121" s="82"/>
      <c r="BX121" s="82"/>
      <c r="BY121" s="82"/>
      <c r="BZ121" s="82"/>
      <c r="CA121" s="82"/>
      <c r="CB121" s="82"/>
      <c r="CC121" s="82"/>
      <c r="CD121" s="82"/>
    </row>
    <row r="122" spans="1:82">
      <c r="A122" s="279"/>
      <c r="B122" s="279"/>
      <c r="C122" s="279"/>
      <c r="D122" s="324"/>
      <c r="E122" s="324"/>
      <c r="F122" s="324"/>
      <c r="G122" s="324"/>
      <c r="H122" s="324"/>
      <c r="I122" s="324"/>
      <c r="J122" s="324"/>
      <c r="K122" s="324"/>
      <c r="L122" s="324"/>
      <c r="M122" s="324"/>
      <c r="N122" s="324"/>
      <c r="O122" s="324"/>
      <c r="P122" s="324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82"/>
      <c r="BK122" s="82"/>
      <c r="BL122" s="82"/>
      <c r="BM122" s="82"/>
      <c r="BN122" s="82"/>
      <c r="BO122" s="119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  <c r="CA122" s="82"/>
      <c r="CB122" s="82"/>
      <c r="CC122" s="82"/>
      <c r="CD122" s="82"/>
    </row>
    <row r="123" spans="1:82">
      <c r="A123" s="279"/>
      <c r="B123" s="279"/>
      <c r="C123" s="279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82"/>
      <c r="BK123" s="82"/>
      <c r="BL123" s="82"/>
      <c r="BM123" s="82"/>
      <c r="BN123" s="82"/>
      <c r="BO123" s="119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</row>
    <row r="124" spans="1:82">
      <c r="A124" s="279"/>
      <c r="B124" s="279"/>
      <c r="C124" s="279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82"/>
      <c r="BK124" s="82"/>
      <c r="BL124" s="82"/>
      <c r="BM124" s="82"/>
      <c r="BN124" s="82"/>
      <c r="BO124" s="119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</row>
    <row r="125" spans="1:82">
      <c r="A125" s="279"/>
      <c r="B125" s="279"/>
      <c r="C125" s="279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82"/>
      <c r="BK125" s="82"/>
      <c r="BL125" s="82"/>
      <c r="BM125" s="82"/>
      <c r="BN125" s="82"/>
      <c r="BO125" s="119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</row>
    <row r="126" spans="1:82">
      <c r="A126" s="279"/>
      <c r="B126" s="279"/>
      <c r="C126" s="279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82"/>
      <c r="BK126" s="82"/>
      <c r="BL126" s="82"/>
      <c r="BM126" s="82"/>
      <c r="BN126" s="82"/>
      <c r="BO126" s="119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</row>
    <row r="127" spans="1:82">
      <c r="A127" s="279"/>
      <c r="B127" s="279"/>
      <c r="C127" s="279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82"/>
      <c r="BK127" s="82"/>
      <c r="BL127" s="82"/>
      <c r="BM127" s="82"/>
      <c r="BN127" s="82"/>
      <c r="BO127" s="119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</row>
    <row r="128" spans="1:82">
      <c r="A128" s="279"/>
      <c r="B128" s="279"/>
      <c r="C128" s="279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82"/>
      <c r="BK128" s="82"/>
      <c r="BL128" s="82"/>
      <c r="BM128" s="82"/>
      <c r="BN128" s="82"/>
      <c r="BO128" s="119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</row>
    <row r="129" spans="1:82">
      <c r="A129" s="279"/>
      <c r="B129" s="279"/>
      <c r="C129" s="279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82"/>
      <c r="BK129" s="82"/>
      <c r="BL129" s="82"/>
      <c r="BM129" s="82"/>
      <c r="BN129" s="82"/>
      <c r="BO129" s="119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</row>
    <row r="130" spans="1:82">
      <c r="A130" s="279"/>
      <c r="B130" s="279"/>
      <c r="C130" s="279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82"/>
      <c r="BK130" s="82"/>
      <c r="BL130" s="82"/>
      <c r="BM130" s="82"/>
      <c r="BN130" s="82"/>
      <c r="BO130" s="119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</row>
    <row r="131" spans="1:82">
      <c r="A131" s="279"/>
      <c r="B131" s="279"/>
      <c r="C131" s="279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82"/>
      <c r="BK131" s="82"/>
      <c r="BL131" s="82"/>
      <c r="BM131" s="82"/>
      <c r="BN131" s="82"/>
      <c r="BO131" s="119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</row>
    <row r="132" spans="1:82">
      <c r="A132" s="279"/>
      <c r="B132" s="279"/>
      <c r="C132" s="279"/>
      <c r="D132" s="324"/>
      <c r="E132" s="324"/>
      <c r="F132" s="324"/>
      <c r="G132" s="324"/>
      <c r="H132" s="324"/>
      <c r="I132" s="324"/>
      <c r="J132" s="324"/>
      <c r="K132" s="324"/>
      <c r="L132" s="324"/>
      <c r="M132" s="324"/>
      <c r="N132" s="324"/>
      <c r="O132" s="324"/>
      <c r="P132" s="324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82"/>
      <c r="BK132" s="82"/>
      <c r="BL132" s="82"/>
      <c r="BM132" s="82"/>
      <c r="BN132" s="82"/>
      <c r="BO132" s="119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</row>
    <row r="133" spans="1:82">
      <c r="A133" s="279"/>
      <c r="B133" s="279"/>
      <c r="C133" s="279"/>
      <c r="D133" s="324"/>
      <c r="E133" s="324"/>
      <c r="F133" s="324"/>
      <c r="G133" s="324"/>
      <c r="H133" s="324"/>
      <c r="I133" s="324"/>
      <c r="J133" s="324"/>
      <c r="K133" s="324"/>
      <c r="L133" s="324"/>
      <c r="M133" s="324"/>
      <c r="N133" s="324"/>
      <c r="O133" s="324"/>
      <c r="P133" s="324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82"/>
      <c r="BK133" s="82"/>
      <c r="BL133" s="82"/>
      <c r="BM133" s="82"/>
      <c r="BN133" s="82"/>
      <c r="BO133" s="119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</row>
    <row r="134" spans="1:82">
      <c r="A134" s="279"/>
      <c r="B134" s="279"/>
      <c r="C134" s="279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82"/>
      <c r="BK134" s="82"/>
      <c r="BL134" s="82"/>
      <c r="BM134" s="82"/>
      <c r="BN134" s="82"/>
      <c r="BO134" s="119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</row>
    <row r="135" spans="1:82">
      <c r="A135" s="279"/>
      <c r="B135" s="279"/>
      <c r="C135" s="279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82"/>
      <c r="BK135" s="82"/>
      <c r="BL135" s="82"/>
      <c r="BM135" s="82"/>
      <c r="BN135" s="82"/>
      <c r="BO135" s="119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</row>
    <row r="136" spans="1:82">
      <c r="A136" s="279"/>
      <c r="B136" s="279"/>
      <c r="C136" s="279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82"/>
      <c r="BK136" s="82"/>
      <c r="BL136" s="82"/>
      <c r="BM136" s="82"/>
      <c r="BN136" s="82"/>
      <c r="BO136" s="119"/>
      <c r="BP136" s="82"/>
      <c r="BQ136" s="82"/>
      <c r="BR136" s="82"/>
      <c r="BS136" s="82"/>
      <c r="BT136" s="82"/>
      <c r="BU136" s="82"/>
      <c r="BV136" s="82"/>
      <c r="BW136" s="82"/>
      <c r="BX136" s="82"/>
      <c r="BY136" s="82"/>
      <c r="BZ136" s="82"/>
      <c r="CA136" s="82"/>
      <c r="CB136" s="82"/>
      <c r="CC136" s="82"/>
      <c r="CD136" s="82"/>
    </row>
    <row r="137" spans="1:82">
      <c r="A137" s="279"/>
      <c r="B137" s="279"/>
      <c r="C137" s="279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82"/>
      <c r="BK137" s="82"/>
      <c r="BL137" s="82"/>
      <c r="BM137" s="82"/>
      <c r="BN137" s="82"/>
      <c r="BO137" s="119"/>
      <c r="BP137" s="82"/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2"/>
      <c r="CC137" s="82"/>
      <c r="CD137" s="82"/>
    </row>
    <row r="138" spans="1:82">
      <c r="A138" s="279"/>
      <c r="B138" s="279"/>
      <c r="C138" s="279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82"/>
      <c r="BK138" s="82"/>
      <c r="BL138" s="82"/>
      <c r="BM138" s="82"/>
      <c r="BN138" s="82"/>
      <c r="BO138" s="119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  <c r="CA138" s="82"/>
      <c r="CB138" s="82"/>
      <c r="CC138" s="82"/>
      <c r="CD138" s="82"/>
    </row>
    <row r="139" spans="1:82">
      <c r="A139" s="279"/>
      <c r="B139" s="279"/>
      <c r="C139" s="279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82"/>
      <c r="BK139" s="82"/>
      <c r="BL139" s="82"/>
      <c r="BM139" s="82"/>
      <c r="BN139" s="82"/>
      <c r="BO139" s="119"/>
      <c r="BP139" s="82"/>
      <c r="BQ139" s="82"/>
      <c r="BR139" s="82"/>
      <c r="BS139" s="82"/>
      <c r="BT139" s="82"/>
      <c r="BU139" s="82"/>
      <c r="BV139" s="82"/>
      <c r="BW139" s="82"/>
      <c r="BX139" s="82"/>
      <c r="BY139" s="82"/>
      <c r="BZ139" s="82"/>
      <c r="CA139" s="82"/>
      <c r="CB139" s="82"/>
      <c r="CC139" s="82"/>
      <c r="CD139" s="82"/>
    </row>
    <row r="140" spans="1:82">
      <c r="A140" s="279"/>
      <c r="B140" s="279"/>
      <c r="C140" s="279"/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82"/>
      <c r="BK140" s="82"/>
      <c r="BL140" s="82"/>
      <c r="BM140" s="82"/>
      <c r="BN140" s="82"/>
      <c r="BO140" s="119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</row>
    <row r="141" spans="1:82">
      <c r="A141" s="279"/>
      <c r="B141" s="279"/>
      <c r="C141" s="279"/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82"/>
      <c r="BK141" s="82"/>
      <c r="BL141" s="82"/>
      <c r="BM141" s="82"/>
      <c r="BN141" s="82"/>
      <c r="BO141" s="119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</row>
    <row r="142" spans="1:82">
      <c r="A142" s="279"/>
      <c r="B142" s="279"/>
      <c r="C142" s="279"/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153"/>
      <c r="BE142" s="153"/>
      <c r="BF142" s="153"/>
      <c r="BG142" s="153"/>
      <c r="BH142" s="153"/>
      <c r="BI142" s="153"/>
      <c r="BJ142" s="82"/>
      <c r="BK142" s="82"/>
      <c r="BL142" s="82"/>
      <c r="BM142" s="82"/>
      <c r="BN142" s="82"/>
      <c r="BO142" s="119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</row>
    <row r="143" spans="1:82">
      <c r="A143" s="279"/>
      <c r="B143" s="279"/>
      <c r="C143" s="279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153"/>
      <c r="BE143" s="153"/>
      <c r="BF143" s="153"/>
      <c r="BG143" s="153"/>
      <c r="BH143" s="153"/>
      <c r="BI143" s="153"/>
      <c r="BJ143" s="82"/>
      <c r="BK143" s="82"/>
      <c r="BL143" s="82"/>
      <c r="BM143" s="82"/>
      <c r="BN143" s="82"/>
      <c r="BO143" s="119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</row>
    <row r="144" spans="1:82">
      <c r="A144" s="279"/>
      <c r="B144" s="279"/>
      <c r="C144" s="279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153"/>
      <c r="BE144" s="153"/>
      <c r="BF144" s="153"/>
      <c r="BG144" s="153"/>
      <c r="BH144" s="153"/>
      <c r="BI144" s="153"/>
      <c r="BJ144" s="82"/>
      <c r="BK144" s="82"/>
      <c r="BL144" s="82"/>
      <c r="BM144" s="82"/>
      <c r="BN144" s="82"/>
      <c r="BO144" s="119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</row>
    <row r="145" spans="1:82">
      <c r="A145" s="279"/>
      <c r="B145" s="279"/>
      <c r="C145" s="279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153"/>
      <c r="BE145" s="153"/>
      <c r="BF145" s="153"/>
      <c r="BG145" s="153"/>
      <c r="BH145" s="153"/>
      <c r="BI145" s="153"/>
      <c r="BJ145" s="82"/>
      <c r="BK145" s="82"/>
      <c r="BL145" s="82"/>
      <c r="BM145" s="82"/>
      <c r="BN145" s="82"/>
      <c r="BO145" s="119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</row>
    <row r="146" spans="1:82">
      <c r="A146" s="279"/>
      <c r="B146" s="279"/>
      <c r="C146" s="279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3"/>
      <c r="BF146" s="153"/>
      <c r="BG146" s="153"/>
      <c r="BH146" s="153"/>
      <c r="BI146" s="153"/>
      <c r="BJ146" s="82"/>
      <c r="BK146" s="82"/>
      <c r="BL146" s="82"/>
      <c r="BM146" s="82"/>
      <c r="BN146" s="82"/>
      <c r="BO146" s="119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</row>
    <row r="147" spans="1:82">
      <c r="A147" s="279"/>
      <c r="B147" s="279"/>
      <c r="C147" s="279"/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3"/>
      <c r="BG147" s="153"/>
      <c r="BH147" s="153"/>
      <c r="BI147" s="153"/>
      <c r="BJ147" s="82"/>
      <c r="BK147" s="82"/>
      <c r="BL147" s="82"/>
      <c r="BM147" s="82"/>
      <c r="BN147" s="82"/>
      <c r="BO147" s="119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</row>
    <row r="148" spans="1:82">
      <c r="A148" s="279"/>
      <c r="B148" s="279"/>
      <c r="C148" s="279"/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3"/>
      <c r="BG148" s="153"/>
      <c r="BH148" s="153"/>
      <c r="BI148" s="153"/>
      <c r="BJ148" s="82"/>
      <c r="BK148" s="82"/>
      <c r="BL148" s="82"/>
      <c r="BM148" s="82"/>
      <c r="BN148" s="82"/>
      <c r="BO148" s="119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</row>
    <row r="149" spans="1:82">
      <c r="A149" s="279"/>
      <c r="B149" s="279"/>
      <c r="C149" s="279"/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82"/>
      <c r="BK149" s="82"/>
      <c r="BL149" s="82"/>
      <c r="BM149" s="82"/>
      <c r="BN149" s="82"/>
      <c r="BO149" s="119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</row>
    <row r="150" spans="1:82">
      <c r="A150" s="279"/>
      <c r="B150" s="279"/>
      <c r="C150" s="279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82"/>
      <c r="BK150" s="82"/>
      <c r="BL150" s="82"/>
      <c r="BM150" s="82"/>
      <c r="BN150" s="82"/>
      <c r="BO150" s="119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</row>
    <row r="151" spans="1:82">
      <c r="A151" s="279"/>
      <c r="B151" s="279"/>
      <c r="C151" s="279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82"/>
      <c r="BK151" s="82"/>
      <c r="BL151" s="82"/>
      <c r="BM151" s="82"/>
      <c r="BN151" s="82"/>
      <c r="BO151" s="119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</row>
    <row r="152" spans="1:82">
      <c r="A152" s="279"/>
      <c r="B152" s="279"/>
      <c r="C152" s="279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82"/>
      <c r="BK152" s="82"/>
      <c r="BL152" s="82"/>
      <c r="BM152" s="82"/>
      <c r="BN152" s="82"/>
      <c r="BO152" s="119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</row>
    <row r="153" spans="1:82">
      <c r="A153" s="279"/>
      <c r="B153" s="279"/>
      <c r="C153" s="279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82"/>
      <c r="BK153" s="82"/>
      <c r="BL153" s="82"/>
      <c r="BM153" s="82"/>
      <c r="BN153" s="82"/>
      <c r="BO153" s="119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</row>
    <row r="154" spans="1:82">
      <c r="A154" s="279"/>
      <c r="B154" s="279"/>
      <c r="C154" s="279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>
        <v>1204494011.7680206</v>
      </c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82"/>
      <c r="BK154" s="82"/>
      <c r="BL154" s="82"/>
      <c r="BM154" s="82"/>
      <c r="BN154" s="82"/>
      <c r="BO154" s="119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</row>
    <row r="155" spans="1:82">
      <c r="A155" s="279"/>
      <c r="B155" s="280" t="str">
        <f>+'CF 2017'!B169</f>
        <v xml:space="preserve">catatan : </v>
      </c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82"/>
      <c r="BK155" s="82"/>
      <c r="BL155" s="82"/>
      <c r="BM155" s="82"/>
      <c r="BN155" s="82">
        <f>P110+'CF 2017'!P117</f>
        <v>37296000000</v>
      </c>
      <c r="BO155" s="119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</row>
    <row r="156" spans="1:82">
      <c r="A156" s="279"/>
      <c r="B156" s="369" t="s">
        <v>342</v>
      </c>
      <c r="C156" s="262" t="s">
        <v>303</v>
      </c>
      <c r="D156" s="324"/>
      <c r="E156" s="324"/>
      <c r="F156" s="324"/>
      <c r="G156" s="324"/>
      <c r="H156" s="324"/>
      <c r="I156" s="324"/>
      <c r="J156" s="324"/>
      <c r="P156" s="283">
        <f>P154-P113</f>
        <v>74000006.969741821</v>
      </c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82"/>
      <c r="BK156" s="82"/>
      <c r="BL156" s="82"/>
      <c r="BM156" s="82"/>
      <c r="BN156" s="82"/>
      <c r="BO156" s="119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</row>
    <row r="157" spans="1:82">
      <c r="A157" s="279"/>
      <c r="B157" s="369" t="s">
        <v>342</v>
      </c>
      <c r="C157" s="326" t="s">
        <v>347</v>
      </c>
      <c r="D157" s="324"/>
      <c r="E157" s="324"/>
      <c r="F157" s="324"/>
      <c r="G157" s="324"/>
      <c r="H157" s="324"/>
      <c r="I157" s="324"/>
      <c r="J157" s="324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82"/>
      <c r="BK157" s="82"/>
      <c r="BL157" s="82"/>
      <c r="BM157" s="82"/>
      <c r="BN157" s="82"/>
      <c r="BO157" s="119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</row>
    <row r="158" spans="1:82">
      <c r="A158" s="279"/>
      <c r="B158" s="279" t="s">
        <v>342</v>
      </c>
      <c r="C158" s="374" t="s">
        <v>391</v>
      </c>
      <c r="D158" s="324"/>
      <c r="E158" s="324"/>
      <c r="F158" s="324"/>
      <c r="G158" s="324"/>
      <c r="H158" s="324"/>
      <c r="I158" s="324"/>
      <c r="J158" s="324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82"/>
      <c r="BK158" s="82"/>
      <c r="BL158" s="82"/>
      <c r="BM158" s="82"/>
      <c r="BN158" s="82"/>
      <c r="BO158" s="119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</row>
    <row r="159" spans="1:82">
      <c r="A159" s="279"/>
      <c r="B159" s="279" t="s">
        <v>342</v>
      </c>
      <c r="C159" s="374" t="s">
        <v>392</v>
      </c>
      <c r="D159" s="324"/>
      <c r="E159" s="324"/>
      <c r="F159" s="324"/>
      <c r="G159" s="324"/>
      <c r="H159" s="324"/>
      <c r="I159" s="324"/>
      <c r="J159" s="324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82"/>
      <c r="BK159" s="82"/>
      <c r="BL159" s="82"/>
      <c r="BM159" s="82"/>
      <c r="BN159" s="82"/>
      <c r="BO159" s="119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</row>
    <row r="160" spans="1:82">
      <c r="A160" s="279"/>
      <c r="B160" s="279" t="s">
        <v>342</v>
      </c>
      <c r="C160" s="374" t="s">
        <v>393</v>
      </c>
      <c r="D160" s="324"/>
      <c r="E160" s="324"/>
      <c r="F160" s="324"/>
      <c r="G160" s="324"/>
      <c r="H160" s="324"/>
      <c r="I160" s="324"/>
      <c r="J160" s="324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82"/>
      <c r="BK160" s="82"/>
      <c r="BL160" s="82"/>
      <c r="BM160" s="82"/>
      <c r="BN160" s="82"/>
      <c r="BO160" s="119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</row>
    <row r="161" spans="1:82">
      <c r="A161" s="279"/>
      <c r="B161" s="279" t="s">
        <v>342</v>
      </c>
      <c r="C161" s="374" t="s">
        <v>394</v>
      </c>
      <c r="D161" s="324"/>
      <c r="E161" s="324"/>
      <c r="F161" s="324"/>
      <c r="G161" s="324"/>
      <c r="H161" s="324"/>
      <c r="I161" s="324"/>
      <c r="J161" s="324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  <c r="BE161" s="153"/>
      <c r="BF161" s="153"/>
      <c r="BG161" s="153"/>
      <c r="BH161" s="153"/>
      <c r="BI161" s="153"/>
      <c r="BJ161" s="82"/>
      <c r="BK161" s="82"/>
      <c r="BL161" s="82"/>
      <c r="BM161" s="82"/>
      <c r="BN161" s="82"/>
      <c r="BO161" s="119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</row>
    <row r="162" spans="1:82">
      <c r="A162" s="279"/>
      <c r="B162" s="279" t="s">
        <v>342</v>
      </c>
      <c r="C162" s="280" t="s">
        <v>395</v>
      </c>
      <c r="D162" s="324"/>
      <c r="E162" s="324"/>
      <c r="F162" s="324"/>
      <c r="G162" s="324"/>
      <c r="H162" s="324"/>
      <c r="I162" s="324"/>
      <c r="J162" s="324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/>
      <c r="BE162" s="153"/>
      <c r="BF162" s="153"/>
      <c r="BG162" s="153"/>
      <c r="BH162" s="153"/>
      <c r="BI162" s="153"/>
      <c r="BJ162" s="82"/>
      <c r="BK162" s="82"/>
      <c r="BL162" s="82"/>
      <c r="BM162" s="82"/>
      <c r="BN162" s="82"/>
      <c r="BO162" s="119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</row>
    <row r="163" spans="1:82">
      <c r="A163" s="279"/>
      <c r="B163" s="375" t="s">
        <v>350</v>
      </c>
      <c r="C163" s="280" t="s">
        <v>348</v>
      </c>
      <c r="D163" s="324"/>
      <c r="E163" s="324"/>
      <c r="F163" s="324"/>
      <c r="G163" s="324"/>
      <c r="H163" s="324"/>
      <c r="I163" s="324"/>
      <c r="J163" s="324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  <c r="BE163" s="153"/>
      <c r="BF163" s="153"/>
      <c r="BG163" s="153"/>
      <c r="BH163" s="153"/>
      <c r="BI163" s="153"/>
      <c r="BJ163" s="82"/>
      <c r="BK163" s="82"/>
      <c r="BL163" s="82"/>
      <c r="BM163" s="82"/>
      <c r="BN163" s="82"/>
      <c r="BO163" s="119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</row>
    <row r="164" spans="1:82">
      <c r="A164" s="279"/>
      <c r="B164" s="375" t="s">
        <v>350</v>
      </c>
      <c r="C164" s="280" t="s">
        <v>349</v>
      </c>
      <c r="D164" s="324"/>
      <c r="E164" s="324"/>
      <c r="F164" s="324"/>
      <c r="G164" s="324"/>
      <c r="H164" s="324"/>
      <c r="I164" s="324"/>
      <c r="J164" s="324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/>
      <c r="BE164" s="153"/>
      <c r="BF164" s="153"/>
      <c r="BG164" s="153"/>
      <c r="BH164" s="153"/>
      <c r="BI164" s="153"/>
      <c r="BJ164" s="82"/>
      <c r="BK164" s="82"/>
      <c r="BL164" s="82"/>
      <c r="BM164" s="82"/>
      <c r="BN164" s="82"/>
      <c r="BO164" s="119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</row>
    <row r="165" spans="1:82">
      <c r="A165" s="279"/>
      <c r="B165" s="375" t="s">
        <v>350</v>
      </c>
      <c r="C165" s="280" t="s">
        <v>351</v>
      </c>
      <c r="D165" s="324"/>
      <c r="E165" s="324"/>
      <c r="F165" s="324"/>
      <c r="G165" s="324"/>
      <c r="H165" s="324"/>
      <c r="I165" s="324"/>
      <c r="J165" s="324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3"/>
      <c r="BE165" s="153"/>
      <c r="BF165" s="153"/>
      <c r="BG165" s="153"/>
      <c r="BH165" s="153"/>
      <c r="BI165" s="153"/>
      <c r="BJ165" s="82"/>
      <c r="BK165" s="82"/>
      <c r="BL165" s="82"/>
      <c r="BM165" s="82"/>
      <c r="BN165" s="82"/>
      <c r="BO165" s="119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</row>
    <row r="166" spans="1:82">
      <c r="A166" s="279"/>
      <c r="B166" s="279" t="s">
        <v>342</v>
      </c>
      <c r="C166" s="280" t="s">
        <v>345</v>
      </c>
      <c r="D166" s="324"/>
      <c r="E166" s="324"/>
      <c r="F166" s="324"/>
      <c r="G166" s="324"/>
      <c r="H166" s="324"/>
      <c r="I166" s="324"/>
      <c r="J166" s="324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82"/>
      <c r="BK166" s="82"/>
      <c r="BL166" s="82"/>
      <c r="BM166" s="82"/>
      <c r="BN166" s="82"/>
      <c r="BO166" s="119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</row>
    <row r="167" spans="1:82">
      <c r="A167" s="279"/>
      <c r="B167" s="279" t="s">
        <v>342</v>
      </c>
      <c r="C167" s="280" t="s">
        <v>346</v>
      </c>
      <c r="D167" s="324"/>
      <c r="E167" s="324"/>
      <c r="F167" s="324"/>
      <c r="G167" s="324"/>
      <c r="H167" s="324"/>
      <c r="I167" s="324"/>
      <c r="J167" s="324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3"/>
      <c r="BG167" s="153"/>
      <c r="BH167" s="153"/>
      <c r="BI167" s="153"/>
      <c r="BJ167" s="82"/>
      <c r="BK167" s="82"/>
      <c r="BL167" s="82"/>
      <c r="BM167" s="82"/>
      <c r="BN167" s="82"/>
      <c r="BO167" s="119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</row>
    <row r="168" spans="1:82">
      <c r="A168" s="279"/>
      <c r="B168" s="279" t="s">
        <v>342</v>
      </c>
      <c r="C168" s="280"/>
      <c r="D168" s="324"/>
      <c r="E168" s="324"/>
      <c r="F168" s="324"/>
      <c r="G168" s="324"/>
      <c r="H168" s="324"/>
      <c r="I168" s="324"/>
      <c r="J168" s="324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3"/>
      <c r="BE168" s="153"/>
      <c r="BF168" s="153"/>
      <c r="BG168" s="153"/>
      <c r="BH168" s="153"/>
      <c r="BI168" s="153"/>
      <c r="BJ168" s="82"/>
      <c r="BK168" s="82"/>
      <c r="BL168" s="82"/>
      <c r="BM168" s="82"/>
      <c r="BN168" s="82"/>
      <c r="BO168" s="119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</row>
    <row r="169" spans="1:82">
      <c r="A169" s="279"/>
      <c r="B169" s="279"/>
      <c r="C169" s="279"/>
      <c r="D169" s="324"/>
      <c r="E169" s="324"/>
      <c r="F169" s="324"/>
      <c r="G169" s="324"/>
      <c r="H169" s="324"/>
      <c r="I169" s="324"/>
      <c r="J169" s="324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3"/>
      <c r="BD169" s="153"/>
      <c r="BE169" s="153"/>
      <c r="BF169" s="153"/>
      <c r="BG169" s="153"/>
      <c r="BH169" s="153"/>
      <c r="BI169" s="153"/>
      <c r="BJ169" s="82"/>
      <c r="BK169" s="82"/>
      <c r="BL169" s="82"/>
      <c r="BM169" s="82"/>
      <c r="BN169" s="82"/>
      <c r="BO169" s="119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</row>
    <row r="170" spans="1:82">
      <c r="A170" s="279"/>
      <c r="B170" s="279"/>
      <c r="C170" s="279"/>
      <c r="D170" s="324"/>
      <c r="E170" s="324"/>
      <c r="F170" s="324"/>
      <c r="G170" s="324"/>
      <c r="H170" s="324"/>
      <c r="I170" s="324"/>
      <c r="J170" s="324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153"/>
      <c r="AY170" s="153"/>
      <c r="AZ170" s="153"/>
      <c r="BA170" s="153"/>
      <c r="BB170" s="153"/>
      <c r="BC170" s="153"/>
      <c r="BD170" s="153"/>
      <c r="BE170" s="153"/>
      <c r="BF170" s="153"/>
      <c r="BG170" s="153"/>
      <c r="BH170" s="153"/>
      <c r="BI170" s="153"/>
      <c r="BJ170" s="82"/>
      <c r="BK170" s="82"/>
      <c r="BL170" s="82"/>
      <c r="BM170" s="82"/>
      <c r="BN170" s="82"/>
      <c r="BO170" s="119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</row>
    <row r="171" spans="1:82">
      <c r="A171" s="279"/>
      <c r="B171" s="279"/>
      <c r="C171" s="279"/>
      <c r="D171" s="324"/>
      <c r="E171" s="324"/>
      <c r="F171" s="324"/>
      <c r="G171" s="324"/>
      <c r="H171" s="324"/>
      <c r="I171" s="324"/>
      <c r="J171" s="324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153"/>
      <c r="AY171" s="153"/>
      <c r="AZ171" s="153"/>
      <c r="BA171" s="153"/>
      <c r="BB171" s="153"/>
      <c r="BC171" s="153"/>
      <c r="BD171" s="153"/>
      <c r="BE171" s="153"/>
      <c r="BF171" s="153"/>
      <c r="BG171" s="153"/>
      <c r="BH171" s="153"/>
      <c r="BI171" s="153"/>
      <c r="BJ171" s="82"/>
      <c r="BK171" s="82"/>
      <c r="BL171" s="82"/>
      <c r="BM171" s="82"/>
      <c r="BN171" s="82"/>
      <c r="BO171" s="119"/>
      <c r="BP171" s="82"/>
      <c r="BQ171" s="82"/>
      <c r="BR171" s="82"/>
      <c r="BS171" s="82"/>
      <c r="BT171" s="82"/>
      <c r="BU171" s="82"/>
      <c r="BV171" s="82"/>
      <c r="BW171" s="82"/>
      <c r="BX171" s="82"/>
      <c r="BY171" s="82"/>
      <c r="BZ171" s="82"/>
      <c r="CA171" s="82"/>
      <c r="CB171" s="82"/>
      <c r="CC171" s="82"/>
      <c r="CD171" s="82"/>
    </row>
    <row r="172" spans="1:82">
      <c r="A172" s="279"/>
      <c r="B172" s="279"/>
      <c r="C172" s="279"/>
      <c r="D172" s="324"/>
      <c r="E172" s="324"/>
      <c r="F172" s="324"/>
      <c r="G172" s="324"/>
      <c r="H172" s="324"/>
      <c r="I172" s="324"/>
      <c r="J172" s="324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153"/>
      <c r="AY172" s="153"/>
      <c r="AZ172" s="153"/>
      <c r="BA172" s="153"/>
      <c r="BB172" s="153"/>
      <c r="BC172" s="153"/>
      <c r="BD172" s="153"/>
      <c r="BE172" s="153"/>
      <c r="BF172" s="153"/>
      <c r="BG172" s="153"/>
      <c r="BH172" s="153"/>
      <c r="BI172" s="153"/>
      <c r="BJ172" s="82"/>
      <c r="BK172" s="82"/>
      <c r="BL172" s="82"/>
      <c r="BM172" s="82"/>
      <c r="BN172" s="82"/>
      <c r="BO172" s="119"/>
      <c r="BP172" s="82"/>
      <c r="BQ172" s="82"/>
      <c r="BR172" s="82"/>
      <c r="BS172" s="82"/>
      <c r="BT172" s="82"/>
      <c r="BU172" s="82"/>
      <c r="BV172" s="82"/>
      <c r="BW172" s="82"/>
      <c r="BX172" s="82"/>
      <c r="BY172" s="82"/>
      <c r="BZ172" s="82"/>
      <c r="CA172" s="82"/>
      <c r="CB172" s="82"/>
      <c r="CC172" s="82"/>
      <c r="CD172" s="82"/>
    </row>
    <row r="173" spans="1:82">
      <c r="A173" s="279"/>
      <c r="B173" s="279"/>
      <c r="C173" s="279"/>
      <c r="D173" s="324"/>
      <c r="E173" s="324"/>
      <c r="F173" s="324"/>
      <c r="G173" s="324"/>
      <c r="H173" s="324"/>
      <c r="I173" s="324"/>
      <c r="J173" s="324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153"/>
      <c r="AY173" s="153"/>
      <c r="AZ173" s="153"/>
      <c r="BA173" s="153"/>
      <c r="BB173" s="153"/>
      <c r="BC173" s="153"/>
      <c r="BD173" s="153"/>
      <c r="BE173" s="153"/>
      <c r="BF173" s="153"/>
      <c r="BG173" s="153"/>
      <c r="BH173" s="153"/>
      <c r="BI173" s="153"/>
      <c r="BJ173" s="82"/>
      <c r="BK173" s="82"/>
      <c r="BL173" s="82"/>
      <c r="BM173" s="82"/>
      <c r="BN173" s="82"/>
      <c r="BO173" s="119"/>
      <c r="BP173" s="82"/>
      <c r="BQ173" s="82"/>
      <c r="BR173" s="82"/>
      <c r="BS173" s="82"/>
      <c r="BT173" s="82"/>
      <c r="BU173" s="82"/>
      <c r="BV173" s="82"/>
      <c r="BW173" s="82"/>
      <c r="BX173" s="82"/>
      <c r="BY173" s="82"/>
      <c r="BZ173" s="82"/>
      <c r="CA173" s="82"/>
      <c r="CB173" s="82"/>
      <c r="CC173" s="82"/>
      <c r="CD173" s="82"/>
    </row>
    <row r="174" spans="1:82">
      <c r="A174" s="279"/>
      <c r="B174" s="279"/>
      <c r="C174" s="279"/>
      <c r="D174" s="324"/>
      <c r="E174" s="324"/>
      <c r="F174" s="324"/>
      <c r="G174" s="324"/>
      <c r="H174" s="324"/>
      <c r="I174" s="324"/>
      <c r="J174" s="324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153"/>
      <c r="AY174" s="153"/>
      <c r="AZ174" s="153"/>
      <c r="BA174" s="153"/>
      <c r="BB174" s="153"/>
      <c r="BC174" s="153"/>
      <c r="BD174" s="153"/>
      <c r="BE174" s="153"/>
      <c r="BF174" s="153"/>
      <c r="BG174" s="153"/>
      <c r="BH174" s="153"/>
      <c r="BI174" s="153"/>
      <c r="BJ174" s="82"/>
      <c r="BK174" s="82"/>
      <c r="BL174" s="82"/>
      <c r="BM174" s="82"/>
      <c r="BN174" s="82"/>
      <c r="BO174" s="119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</row>
    <row r="175" spans="1:82">
      <c r="A175" s="279"/>
      <c r="B175" s="279"/>
      <c r="C175" s="279"/>
      <c r="D175" s="324"/>
      <c r="E175" s="324"/>
      <c r="F175" s="324"/>
      <c r="G175" s="324"/>
      <c r="H175" s="324"/>
      <c r="I175" s="324"/>
      <c r="J175" s="324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3"/>
      <c r="BD175" s="153"/>
      <c r="BE175" s="153"/>
      <c r="BF175" s="153"/>
      <c r="BG175" s="153"/>
      <c r="BH175" s="153"/>
      <c r="BI175" s="153"/>
      <c r="BJ175" s="82"/>
      <c r="BK175" s="82"/>
      <c r="BL175" s="82"/>
      <c r="BM175" s="82"/>
      <c r="BN175" s="82">
        <f>P110+'CF 2017'!P117</f>
        <v>37296000000</v>
      </c>
      <c r="BO175" s="119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</row>
    <row r="176" spans="1:82">
      <c r="A176" s="279"/>
      <c r="B176" s="279"/>
      <c r="C176" s="279"/>
      <c r="D176" s="324"/>
      <c r="E176" s="324"/>
      <c r="F176" s="324"/>
      <c r="G176" s="324"/>
      <c r="H176" s="324"/>
      <c r="I176" s="324"/>
      <c r="J176" s="324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3"/>
      <c r="BG176" s="153"/>
      <c r="BH176" s="153"/>
      <c r="BI176" s="153"/>
      <c r="BJ176" s="82"/>
      <c r="BK176" s="82"/>
      <c r="BL176" s="82"/>
      <c r="BM176" s="82"/>
      <c r="BN176" s="82"/>
      <c r="BO176" s="119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</row>
    <row r="177" spans="1:82">
      <c r="A177" s="279"/>
      <c r="B177" s="279"/>
      <c r="C177" s="279" t="str">
        <f>C110</f>
        <v>Gedung Baru A, B dan E</v>
      </c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3"/>
      <c r="BG177" s="153"/>
      <c r="BH177" s="153"/>
      <c r="BI177" s="153"/>
      <c r="BJ177" s="82"/>
      <c r="BK177" s="82"/>
      <c r="BL177" s="82"/>
      <c r="BM177" s="82"/>
      <c r="BN177" s="82"/>
      <c r="BO177" s="119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</row>
    <row r="178" spans="1:82">
      <c r="A178" s="279"/>
      <c r="B178" s="279"/>
      <c r="C178" s="279" t="s">
        <v>246</v>
      </c>
      <c r="D178" s="324">
        <f>'CF 2017'!L197</f>
        <v>1715625000</v>
      </c>
      <c r="E178" s="324">
        <f>D178</f>
        <v>1715625000</v>
      </c>
      <c r="F178" s="324">
        <f>E178</f>
        <v>1715625000</v>
      </c>
      <c r="G178" s="324">
        <v>1313000000</v>
      </c>
      <c r="H178" s="324">
        <f>G178</f>
        <v>1313000000</v>
      </c>
      <c r="I178" s="324">
        <f t="shared" ref="I178:L178" si="50">H178</f>
        <v>1313000000</v>
      </c>
      <c r="J178" s="324">
        <f t="shared" si="50"/>
        <v>1313000000</v>
      </c>
      <c r="K178" s="324">
        <f t="shared" si="50"/>
        <v>1313000000</v>
      </c>
      <c r="L178" s="324">
        <f t="shared" si="50"/>
        <v>1313000000</v>
      </c>
      <c r="M178" s="324">
        <v>1425000000</v>
      </c>
      <c r="N178" s="324">
        <v>1500000000</v>
      </c>
      <c r="O178" s="324">
        <f>N178</f>
        <v>1500000000</v>
      </c>
      <c r="P178" s="324">
        <f>SUM(D178:O178)</f>
        <v>17449875000</v>
      </c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153"/>
      <c r="AY178" s="153"/>
      <c r="AZ178" s="153"/>
      <c r="BA178" s="153"/>
      <c r="BB178" s="153"/>
      <c r="BC178" s="153"/>
      <c r="BD178" s="153"/>
      <c r="BE178" s="153"/>
      <c r="BF178" s="153"/>
      <c r="BG178" s="153"/>
      <c r="BH178" s="153"/>
      <c r="BI178" s="153"/>
      <c r="BJ178" s="82"/>
      <c r="BK178" s="82"/>
      <c r="BL178" s="82"/>
      <c r="BM178" s="82"/>
      <c r="BN178" s="82"/>
      <c r="BO178" s="119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</row>
    <row r="179" spans="1:82">
      <c r="A179" s="279"/>
      <c r="B179" s="279"/>
      <c r="C179" s="279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153"/>
      <c r="AY179" s="153"/>
      <c r="AZ179" s="153"/>
      <c r="BA179" s="153"/>
      <c r="BB179" s="153"/>
      <c r="BC179" s="153"/>
      <c r="BD179" s="153"/>
      <c r="BE179" s="153"/>
      <c r="BF179" s="153"/>
      <c r="BG179" s="153"/>
      <c r="BH179" s="153"/>
      <c r="BI179" s="153"/>
      <c r="BJ179" s="82"/>
      <c r="BK179" s="82"/>
      <c r="BL179" s="82"/>
      <c r="BM179" s="82"/>
      <c r="BN179" s="82"/>
      <c r="BO179" s="119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</row>
    <row r="180" spans="1:82">
      <c r="A180" s="279"/>
      <c r="B180" s="279"/>
      <c r="C180" s="279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153"/>
      <c r="AY180" s="153"/>
      <c r="AZ180" s="153"/>
      <c r="BA180" s="153"/>
      <c r="BB180" s="153"/>
      <c r="BC180" s="153"/>
      <c r="BD180" s="153"/>
      <c r="BE180" s="153"/>
      <c r="BF180" s="153"/>
      <c r="BG180" s="153"/>
      <c r="BH180" s="153"/>
      <c r="BI180" s="153"/>
      <c r="BJ180" s="82"/>
      <c r="BK180" s="82"/>
      <c r="BL180" s="82"/>
      <c r="BM180" s="82"/>
      <c r="BN180" s="82"/>
      <c r="BO180" s="119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</row>
    <row r="181" spans="1:82">
      <c r="A181" s="279"/>
      <c r="B181" s="279"/>
      <c r="C181" s="279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>
        <v>15000000000</v>
      </c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153"/>
      <c r="AY181" s="153"/>
      <c r="AZ181" s="153"/>
      <c r="BA181" s="153"/>
      <c r="BB181" s="153"/>
      <c r="BC181" s="153"/>
      <c r="BD181" s="153"/>
      <c r="BE181" s="153"/>
      <c r="BF181" s="153"/>
      <c r="BG181" s="153"/>
      <c r="BH181" s="153"/>
      <c r="BI181" s="153"/>
      <c r="BJ181" s="82"/>
      <c r="BK181" s="82"/>
      <c r="BL181" s="82"/>
      <c r="BM181" s="82"/>
      <c r="BN181" s="82"/>
      <c r="BO181" s="119"/>
      <c r="BP181" s="82"/>
      <c r="BQ181" s="82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</row>
    <row r="182" spans="1:82">
      <c r="A182" s="279"/>
      <c r="B182" s="279"/>
      <c r="C182" s="279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>
        <v>2925000000</v>
      </c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153"/>
      <c r="AY182" s="153"/>
      <c r="AZ182" s="153"/>
      <c r="BA182" s="153"/>
      <c r="BB182" s="153"/>
      <c r="BC182" s="153"/>
      <c r="BD182" s="153"/>
      <c r="BE182" s="153"/>
      <c r="BF182" s="153"/>
      <c r="BG182" s="153"/>
      <c r="BH182" s="153"/>
      <c r="BI182" s="153"/>
      <c r="BJ182" s="82">
        <f>37-25</f>
        <v>12</v>
      </c>
      <c r="BK182" s="82"/>
      <c r="BL182" s="82"/>
      <c r="BM182" s="82"/>
      <c r="BN182" s="82"/>
      <c r="BO182" s="119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</row>
    <row r="183" spans="1:82">
      <c r="A183" s="279"/>
      <c r="B183" s="279"/>
      <c r="C183" s="279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3"/>
      <c r="BD183" s="153"/>
      <c r="BE183" s="153"/>
      <c r="BF183" s="153"/>
      <c r="BG183" s="153"/>
      <c r="BH183" s="153"/>
      <c r="BI183" s="153"/>
      <c r="BJ183" s="82"/>
      <c r="BK183" s="82"/>
      <c r="BL183" s="82"/>
      <c r="BM183" s="82"/>
      <c r="BN183" s="82"/>
      <c r="BO183" s="119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</row>
    <row r="184" spans="1:82">
      <c r="A184" s="279"/>
      <c r="B184" s="279"/>
      <c r="C184" s="279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153"/>
      <c r="AY184" s="153"/>
      <c r="AZ184" s="153"/>
      <c r="BA184" s="153"/>
      <c r="BB184" s="153"/>
      <c r="BC184" s="153"/>
      <c r="BD184" s="153"/>
      <c r="BE184" s="153"/>
      <c r="BF184" s="153"/>
      <c r="BG184" s="153"/>
      <c r="BH184" s="153"/>
      <c r="BI184" s="153"/>
      <c r="BJ184" s="82"/>
      <c r="BK184" s="82"/>
      <c r="BL184" s="82"/>
      <c r="BM184" s="82"/>
      <c r="BN184" s="82"/>
      <c r="BO184" s="119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</row>
    <row r="185" spans="1:82">
      <c r="A185" s="279"/>
      <c r="B185" s="279"/>
      <c r="C185" s="279"/>
      <c r="D185" s="324" t="s">
        <v>4</v>
      </c>
      <c r="E185" s="324" t="s">
        <v>5</v>
      </c>
      <c r="F185" s="324" t="s">
        <v>6</v>
      </c>
      <c r="G185" s="324" t="s">
        <v>7</v>
      </c>
      <c r="H185" s="324" t="s">
        <v>8</v>
      </c>
      <c r="I185" s="324" t="s">
        <v>9</v>
      </c>
      <c r="J185" s="324" t="s">
        <v>127</v>
      </c>
      <c r="K185" s="324" t="s">
        <v>129</v>
      </c>
      <c r="L185" s="324" t="s">
        <v>142</v>
      </c>
      <c r="M185" s="324" t="s">
        <v>131</v>
      </c>
      <c r="N185" s="324" t="s">
        <v>132</v>
      </c>
      <c r="O185" s="324" t="s">
        <v>143</v>
      </c>
      <c r="P185" s="324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153"/>
      <c r="AY185" s="153"/>
      <c r="AZ185" s="153"/>
      <c r="BA185" s="153"/>
      <c r="BB185" s="153"/>
      <c r="BC185" s="153"/>
      <c r="BD185" s="153"/>
      <c r="BE185" s="153"/>
      <c r="BF185" s="153"/>
      <c r="BG185" s="153"/>
      <c r="BH185" s="153"/>
      <c r="BI185" s="153"/>
      <c r="BJ185" s="82"/>
      <c r="BK185" s="82"/>
      <c r="BL185" s="82"/>
      <c r="BM185" s="82"/>
      <c r="BN185" s="82"/>
      <c r="BO185" s="119"/>
      <c r="BP185" s="82"/>
      <c r="BQ185" s="82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</row>
    <row r="186" spans="1:82">
      <c r="A186" s="279"/>
      <c r="B186" s="279" t="s">
        <v>13</v>
      </c>
      <c r="C186" s="279"/>
      <c r="D186" s="324">
        <f>+BN15+(BN15*10%)</f>
        <v>1577775291.0210867</v>
      </c>
      <c r="E186" s="264">
        <f t="shared" ref="E186:O186" si="51">D186+(D186*E10%)</f>
        <v>1577775291.0210867</v>
      </c>
      <c r="F186" s="264">
        <f>E186+(E186*F10%)+(E186*4%)</f>
        <v>1695477327.7312596</v>
      </c>
      <c r="G186" s="264">
        <f t="shared" si="51"/>
        <v>1677505268.0573084</v>
      </c>
      <c r="H186" s="264">
        <f t="shared" si="51"/>
        <v>1624831602.6403089</v>
      </c>
      <c r="I186" s="264">
        <f t="shared" si="51"/>
        <v>1446587575.830667</v>
      </c>
      <c r="J186" s="264">
        <f t="shared" si="51"/>
        <v>1470745588.347039</v>
      </c>
      <c r="K186" s="264">
        <f t="shared" si="51"/>
        <v>1603700989.5336113</v>
      </c>
      <c r="L186" s="264">
        <f t="shared" si="51"/>
        <v>1635775009.3242836</v>
      </c>
      <c r="M186" s="264">
        <f t="shared" si="51"/>
        <v>1635775009.3242836</v>
      </c>
      <c r="N186" s="264">
        <f t="shared" si="51"/>
        <v>1619417259.2310407</v>
      </c>
      <c r="O186" s="264">
        <f t="shared" si="51"/>
        <v>1619417259.2310407</v>
      </c>
      <c r="P186" s="324">
        <v>15811604616.075869</v>
      </c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  <c r="AY186" s="153"/>
      <c r="AZ186" s="153"/>
      <c r="BA186" s="153"/>
      <c r="BB186" s="153"/>
      <c r="BC186" s="153"/>
      <c r="BD186" s="153"/>
      <c r="BE186" s="153"/>
      <c r="BF186" s="153"/>
      <c r="BG186" s="153"/>
      <c r="BH186" s="153"/>
      <c r="BI186" s="153"/>
      <c r="BJ186" s="82"/>
      <c r="BK186" s="82"/>
      <c r="BL186" s="82"/>
      <c r="BM186" s="82"/>
      <c r="BN186" s="82"/>
      <c r="BO186" s="119"/>
      <c r="BP186" s="82"/>
      <c r="BQ186" s="82"/>
      <c r="BR186" s="82"/>
      <c r="BS186" s="82"/>
      <c r="BT186" s="82"/>
      <c r="BU186" s="82"/>
      <c r="BV186" s="82"/>
      <c r="BW186" s="82"/>
      <c r="BX186" s="82"/>
      <c r="BY186" s="82"/>
      <c r="BZ186" s="82"/>
      <c r="CA186" s="82"/>
      <c r="CB186" s="82"/>
      <c r="CC186" s="82"/>
      <c r="CD186" s="82"/>
    </row>
    <row r="187" spans="1:82">
      <c r="A187" s="279"/>
      <c r="B187" s="279" t="s">
        <v>14</v>
      </c>
      <c r="C187" s="279"/>
      <c r="D187" s="324">
        <f>+BN16+(BN16*10%)</f>
        <v>730486335.71632612</v>
      </c>
      <c r="E187" s="264">
        <f t="shared" ref="E187:O187" si="52">D187+(D187*E10%)</f>
        <v>730486335.71632612</v>
      </c>
      <c r="F187" s="264">
        <f t="shared" si="52"/>
        <v>755761162.93211091</v>
      </c>
      <c r="G187" s="264">
        <f t="shared" si="52"/>
        <v>747750094.60503066</v>
      </c>
      <c r="H187" s="264">
        <f t="shared" si="52"/>
        <v>724270741.63443267</v>
      </c>
      <c r="I187" s="264">
        <f t="shared" si="52"/>
        <v>644818241.27713537</v>
      </c>
      <c r="J187" s="264">
        <f t="shared" si="52"/>
        <v>655586705.9064635</v>
      </c>
      <c r="K187" s="264">
        <f t="shared" si="52"/>
        <v>714851744.12040782</v>
      </c>
      <c r="L187" s="264">
        <f t="shared" si="52"/>
        <v>729148779.00281596</v>
      </c>
      <c r="M187" s="264">
        <f t="shared" si="52"/>
        <v>729148779.00281596</v>
      </c>
      <c r="N187" s="264">
        <f t="shared" si="52"/>
        <v>721857291.21278775</v>
      </c>
      <c r="O187" s="264">
        <f t="shared" si="52"/>
        <v>721857291.21278775</v>
      </c>
      <c r="P187" s="324">
        <v>4325323536.2873001</v>
      </c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  <c r="AY187" s="153"/>
      <c r="AZ187" s="153"/>
      <c r="BA187" s="153"/>
      <c r="BB187" s="153"/>
      <c r="BC187" s="153"/>
      <c r="BD187" s="153"/>
      <c r="BE187" s="153"/>
      <c r="BF187" s="153"/>
      <c r="BG187" s="153"/>
      <c r="BH187" s="153"/>
      <c r="BI187" s="153"/>
      <c r="BJ187" s="82"/>
      <c r="BK187" s="82"/>
      <c r="BL187" s="82"/>
      <c r="BM187" s="82"/>
      <c r="BN187" s="82"/>
      <c r="BO187" s="119"/>
      <c r="BP187" s="82"/>
      <c r="BQ187" s="82"/>
      <c r="BR187" s="82"/>
      <c r="BS187" s="82"/>
      <c r="BT187" s="82"/>
      <c r="BU187" s="82"/>
      <c r="BV187" s="82"/>
      <c r="BW187" s="82"/>
      <c r="BX187" s="82"/>
      <c r="BY187" s="82"/>
      <c r="BZ187" s="82"/>
      <c r="CA187" s="82"/>
      <c r="CB187" s="82"/>
      <c r="CC187" s="82"/>
      <c r="CD187" s="82"/>
    </row>
    <row r="188" spans="1:82">
      <c r="A188" s="279"/>
      <c r="B188" s="279" t="s">
        <v>252</v>
      </c>
      <c r="C188" s="279"/>
      <c r="D188" s="324">
        <f>+BN17+(BN17*10%)</f>
        <v>0</v>
      </c>
      <c r="E188" s="264">
        <f t="shared" ref="E188:O188" si="53">D188+(D188*$E$10%)</f>
        <v>0</v>
      </c>
      <c r="F188" s="264">
        <f t="shared" si="53"/>
        <v>0</v>
      </c>
      <c r="G188" s="264">
        <f t="shared" si="53"/>
        <v>0</v>
      </c>
      <c r="H188" s="264">
        <f t="shared" si="53"/>
        <v>0</v>
      </c>
      <c r="I188" s="264">
        <f t="shared" si="53"/>
        <v>0</v>
      </c>
      <c r="J188" s="264">
        <f t="shared" si="53"/>
        <v>0</v>
      </c>
      <c r="K188" s="264">
        <f t="shared" si="53"/>
        <v>0</v>
      </c>
      <c r="L188" s="264">
        <f t="shared" si="53"/>
        <v>0</v>
      </c>
      <c r="M188" s="264">
        <f t="shared" si="53"/>
        <v>0</v>
      </c>
      <c r="N188" s="264">
        <f t="shared" si="53"/>
        <v>0</v>
      </c>
      <c r="O188" s="264">
        <f t="shared" si="53"/>
        <v>0</v>
      </c>
      <c r="P188" s="324">
        <v>1050000000</v>
      </c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153"/>
      <c r="AY188" s="153"/>
      <c r="AZ188" s="153"/>
      <c r="BA188" s="153"/>
      <c r="BB188" s="153"/>
      <c r="BC188" s="153"/>
      <c r="BD188" s="153"/>
      <c r="BE188" s="153"/>
      <c r="BF188" s="153"/>
      <c r="BG188" s="153"/>
      <c r="BH188" s="153"/>
      <c r="BI188" s="153"/>
      <c r="BJ188" s="82"/>
      <c r="BK188" s="82"/>
      <c r="BL188" s="82"/>
      <c r="BM188" s="82"/>
      <c r="BN188" s="82"/>
      <c r="BO188" s="119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</row>
    <row r="189" spans="1:82">
      <c r="A189" s="279"/>
      <c r="B189" s="279" t="s">
        <v>244</v>
      </c>
      <c r="C189" s="279"/>
      <c r="D189" s="324">
        <f>+BN18+(BN18*10%)</f>
        <v>2958441014.5334873</v>
      </c>
      <c r="E189" s="264">
        <f t="shared" ref="E189:O189" si="54">D189+(D189*E10%)</f>
        <v>2958441014.5334873</v>
      </c>
      <c r="F189" s="264">
        <f t="shared" si="54"/>
        <v>3060803073.6363459</v>
      </c>
      <c r="G189" s="264">
        <f t="shared" si="54"/>
        <v>3028358561.0558009</v>
      </c>
      <c r="H189" s="264">
        <f t="shared" si="54"/>
        <v>2933268102.2386489</v>
      </c>
      <c r="I189" s="264">
        <f t="shared" si="54"/>
        <v>2611488591.423069</v>
      </c>
      <c r="J189" s="264">
        <f t="shared" si="54"/>
        <v>2655100450.8998342</v>
      </c>
      <c r="K189" s="264">
        <f t="shared" si="54"/>
        <v>2895121531.6611795</v>
      </c>
      <c r="L189" s="264">
        <f t="shared" si="54"/>
        <v>2953023962.2944031</v>
      </c>
      <c r="M189" s="264">
        <f t="shared" si="54"/>
        <v>2953023962.2944031</v>
      </c>
      <c r="N189" s="264">
        <f t="shared" si="54"/>
        <v>2923493722.6714592</v>
      </c>
      <c r="O189" s="264">
        <f t="shared" si="54"/>
        <v>2923493722.6714592</v>
      </c>
      <c r="P189" s="324">
        <v>30520262789.397903</v>
      </c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153"/>
      <c r="AY189" s="153"/>
      <c r="AZ189" s="153"/>
      <c r="BA189" s="153"/>
      <c r="BB189" s="153"/>
      <c r="BC189" s="153"/>
      <c r="BD189" s="153"/>
      <c r="BE189" s="153"/>
      <c r="BF189" s="153"/>
      <c r="BG189" s="153"/>
      <c r="BH189" s="153"/>
      <c r="BI189" s="153"/>
      <c r="BJ189" s="82"/>
      <c r="BK189" s="82"/>
      <c r="BL189" s="82"/>
      <c r="BM189" s="82"/>
      <c r="BN189" s="82"/>
      <c r="BO189" s="119"/>
      <c r="BP189" s="82"/>
      <c r="BQ189" s="82"/>
      <c r="BR189" s="82"/>
      <c r="BS189" s="82"/>
      <c r="BT189" s="82"/>
      <c r="BU189" s="82"/>
      <c r="BV189" s="82"/>
      <c r="BW189" s="82"/>
      <c r="BX189" s="82"/>
      <c r="BY189" s="82"/>
      <c r="BZ189" s="82"/>
      <c r="CA189" s="82"/>
      <c r="CB189" s="82"/>
      <c r="CC189" s="82"/>
      <c r="CD189" s="82"/>
    </row>
    <row r="190" spans="1:82">
      <c r="A190" s="279"/>
      <c r="B190" s="279" t="s">
        <v>245</v>
      </c>
      <c r="C190" s="279"/>
      <c r="D190" s="324">
        <f>+BN19+(BN19*10%)</f>
        <v>441291033.07444859</v>
      </c>
      <c r="E190" s="264">
        <f t="shared" ref="E190:O190" si="55">D190+(D190*E10%)</f>
        <v>441291033.07444859</v>
      </c>
      <c r="F190" s="264">
        <f t="shared" si="55"/>
        <v>456559702.81882447</v>
      </c>
      <c r="G190" s="264">
        <f t="shared" si="55"/>
        <v>451720169.96894497</v>
      </c>
      <c r="H190" s="264">
        <f t="shared" si="55"/>
        <v>437536156.6319201</v>
      </c>
      <c r="I190" s="264">
        <f t="shared" si="55"/>
        <v>389538440.24939847</v>
      </c>
      <c r="J190" s="264">
        <f t="shared" si="55"/>
        <v>396043732.20156336</v>
      </c>
      <c r="K190" s="264">
        <f t="shared" si="55"/>
        <v>431846085.59258473</v>
      </c>
      <c r="L190" s="264">
        <f t="shared" si="55"/>
        <v>440483007.30443645</v>
      </c>
      <c r="M190" s="264">
        <f t="shared" si="55"/>
        <v>440483007.30443645</v>
      </c>
      <c r="N190" s="264">
        <f t="shared" si="55"/>
        <v>436078177.23139209</v>
      </c>
      <c r="O190" s="264">
        <f t="shared" si="55"/>
        <v>436078177.23139209</v>
      </c>
      <c r="P190" s="324">
        <v>4292435677.2741466</v>
      </c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153"/>
      <c r="AY190" s="153"/>
      <c r="AZ190" s="153"/>
      <c r="BA190" s="153"/>
      <c r="BB190" s="153"/>
      <c r="BC190" s="153"/>
      <c r="BD190" s="153"/>
      <c r="BE190" s="153"/>
      <c r="BF190" s="153"/>
      <c r="BG190" s="153"/>
      <c r="BH190" s="153"/>
      <c r="BI190" s="153"/>
      <c r="BJ190" s="82"/>
      <c r="BK190" s="82"/>
      <c r="BL190" s="82"/>
      <c r="BM190" s="82"/>
      <c r="BN190" s="82"/>
      <c r="BO190" s="119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</row>
    <row r="191" spans="1:82">
      <c r="A191" s="279"/>
      <c r="B191" s="279"/>
      <c r="C191" s="279"/>
      <c r="D191" s="324"/>
      <c r="E191" s="264">
        <f>D191+(D191*D181%)</f>
        <v>0</v>
      </c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153"/>
      <c r="AY191" s="153"/>
      <c r="AZ191" s="153"/>
      <c r="BA191" s="153"/>
      <c r="BB191" s="153"/>
      <c r="BC191" s="153"/>
      <c r="BD191" s="153"/>
      <c r="BE191" s="153"/>
      <c r="BF191" s="153"/>
      <c r="BG191" s="153"/>
      <c r="BH191" s="153"/>
      <c r="BI191" s="153"/>
      <c r="BJ191" s="82"/>
      <c r="BK191" s="82"/>
      <c r="BL191" s="82"/>
      <c r="BM191" s="82"/>
      <c r="BN191" s="82"/>
      <c r="BO191" s="119"/>
      <c r="BP191" s="82"/>
      <c r="BQ191" s="82"/>
      <c r="BR191" s="82"/>
      <c r="BS191" s="82"/>
      <c r="BT191" s="82"/>
      <c r="BU191" s="82"/>
      <c r="BV191" s="82"/>
      <c r="BW191" s="82"/>
      <c r="BX191" s="82"/>
      <c r="BY191" s="82"/>
      <c r="BZ191" s="82"/>
      <c r="CA191" s="82"/>
      <c r="CB191" s="82"/>
      <c r="CC191" s="82"/>
      <c r="CD191" s="82"/>
    </row>
    <row r="192" spans="1:82">
      <c r="A192" s="279"/>
      <c r="B192" s="279"/>
      <c r="C192" s="279"/>
      <c r="D192" s="324">
        <v>0</v>
      </c>
      <c r="E192" s="324"/>
      <c r="F192" s="324">
        <v>0</v>
      </c>
      <c r="G192" s="324">
        <v>0</v>
      </c>
      <c r="H192" s="324"/>
      <c r="I192" s="324"/>
      <c r="J192" s="324"/>
      <c r="K192" s="324"/>
      <c r="L192" s="324"/>
      <c r="M192" s="324"/>
      <c r="N192" s="324"/>
      <c r="O192" s="324"/>
      <c r="P192" s="324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153"/>
      <c r="AY192" s="153"/>
      <c r="AZ192" s="153"/>
      <c r="BA192" s="153"/>
      <c r="BB192" s="153"/>
      <c r="BC192" s="153"/>
      <c r="BD192" s="153"/>
      <c r="BE192" s="153"/>
      <c r="BF192" s="153"/>
      <c r="BG192" s="153"/>
      <c r="BH192" s="153"/>
      <c r="BI192" s="153"/>
      <c r="BJ192" s="82"/>
      <c r="BK192" s="82"/>
      <c r="BL192" s="82"/>
      <c r="BM192" s="82"/>
      <c r="BN192" s="82"/>
      <c r="BO192" s="119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</row>
    <row r="193" spans="1:82">
      <c r="A193" s="279"/>
      <c r="B193" s="279"/>
      <c r="C193" s="279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153"/>
      <c r="AY193" s="153"/>
      <c r="AZ193" s="153"/>
      <c r="BA193" s="153"/>
      <c r="BB193" s="153"/>
      <c r="BC193" s="153"/>
      <c r="BD193" s="153"/>
      <c r="BE193" s="153"/>
      <c r="BF193" s="153"/>
      <c r="BG193" s="153"/>
      <c r="BH193" s="153"/>
      <c r="BI193" s="153"/>
      <c r="BJ193" s="82"/>
      <c r="BK193" s="82"/>
      <c r="BL193" s="82"/>
      <c r="BM193" s="82"/>
      <c r="BN193" s="82"/>
      <c r="BO193" s="119"/>
      <c r="BP193" s="82"/>
      <c r="BQ193" s="82"/>
      <c r="BR193" s="82"/>
      <c r="BS193" s="82"/>
      <c r="BT193" s="82"/>
      <c r="BU193" s="82"/>
      <c r="BV193" s="82"/>
      <c r="BW193" s="82"/>
      <c r="BX193" s="82"/>
      <c r="BY193" s="82"/>
      <c r="BZ193" s="82"/>
      <c r="CA193" s="82"/>
      <c r="CB193" s="82"/>
      <c r="CC193" s="82"/>
      <c r="CD193" s="82"/>
    </row>
    <row r="194" spans="1:82">
      <c r="A194" s="279"/>
      <c r="B194" s="279"/>
      <c r="C194" s="279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153"/>
      <c r="AY194" s="153"/>
      <c r="AZ194" s="153"/>
      <c r="BA194" s="153"/>
      <c r="BB194" s="153"/>
      <c r="BC194" s="153"/>
      <c r="BD194" s="153"/>
      <c r="BE194" s="153"/>
      <c r="BF194" s="153"/>
      <c r="BG194" s="153"/>
      <c r="BH194" s="153"/>
      <c r="BI194" s="153"/>
      <c r="BJ194" s="82"/>
      <c r="BK194" s="82"/>
      <c r="BL194" s="82"/>
      <c r="BM194" s="82"/>
      <c r="BN194" s="82"/>
      <c r="BO194" s="119"/>
      <c r="BP194" s="82"/>
      <c r="BQ194" s="82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</row>
    <row r="195" spans="1:82">
      <c r="A195" s="279"/>
      <c r="B195" s="279"/>
      <c r="C195" s="279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153"/>
      <c r="AY195" s="153"/>
      <c r="AZ195" s="153"/>
      <c r="BA195" s="153"/>
      <c r="BB195" s="153"/>
      <c r="BC195" s="153"/>
      <c r="BD195" s="153"/>
      <c r="BE195" s="153"/>
      <c r="BF195" s="153"/>
      <c r="BG195" s="153"/>
      <c r="BH195" s="153"/>
      <c r="BI195" s="153"/>
      <c r="BJ195" s="82"/>
      <c r="BK195" s="82"/>
      <c r="BL195" s="82"/>
      <c r="BM195" s="82"/>
      <c r="BN195" s="82"/>
      <c r="BO195" s="119"/>
      <c r="BP195" s="82"/>
      <c r="BQ195" s="82"/>
      <c r="BR195" s="82"/>
      <c r="BS195" s="82"/>
      <c r="BT195" s="82"/>
      <c r="BU195" s="82"/>
      <c r="BV195" s="82"/>
      <c r="BW195" s="82"/>
      <c r="BX195" s="82"/>
      <c r="BY195" s="82"/>
      <c r="BZ195" s="82"/>
      <c r="CA195" s="82"/>
      <c r="CB195" s="82"/>
      <c r="CC195" s="82"/>
      <c r="CD195" s="82"/>
    </row>
    <row r="196" spans="1:82">
      <c r="A196" s="279"/>
      <c r="B196" s="279"/>
      <c r="C196" s="279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153"/>
      <c r="AY196" s="153"/>
      <c r="AZ196" s="153"/>
      <c r="BA196" s="153"/>
      <c r="BB196" s="153"/>
      <c r="BC196" s="153"/>
      <c r="BD196" s="153"/>
      <c r="BE196" s="153"/>
      <c r="BF196" s="153"/>
      <c r="BG196" s="153"/>
      <c r="BH196" s="153"/>
      <c r="BI196" s="153"/>
      <c r="BJ196" s="82"/>
      <c r="BK196" s="82"/>
      <c r="BL196" s="82"/>
      <c r="BM196" s="82"/>
      <c r="BN196" s="82"/>
      <c r="BO196" s="119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</row>
    <row r="197" spans="1:82">
      <c r="A197" s="279"/>
      <c r="B197" s="279"/>
      <c r="C197" s="279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153"/>
      <c r="AY197" s="153"/>
      <c r="AZ197" s="153"/>
      <c r="BA197" s="153"/>
      <c r="BB197" s="153"/>
      <c r="BC197" s="153"/>
      <c r="BD197" s="153"/>
      <c r="BE197" s="153"/>
      <c r="BF197" s="153"/>
      <c r="BG197" s="153"/>
      <c r="BH197" s="153"/>
      <c r="BI197" s="153"/>
      <c r="BJ197" s="82"/>
      <c r="BK197" s="82"/>
      <c r="BL197" s="82"/>
      <c r="BM197" s="82"/>
      <c r="BN197" s="82"/>
      <c r="BO197" s="119"/>
      <c r="BP197" s="82"/>
      <c r="BQ197" s="82"/>
      <c r="BR197" s="82"/>
      <c r="BS197" s="82"/>
      <c r="BT197" s="82"/>
      <c r="BU197" s="82"/>
      <c r="BV197" s="82"/>
      <c r="BW197" s="82"/>
      <c r="BX197" s="82"/>
      <c r="BY197" s="82"/>
      <c r="BZ197" s="82"/>
      <c r="CA197" s="82"/>
      <c r="CB197" s="82"/>
      <c r="CC197" s="82"/>
      <c r="CD197" s="82"/>
    </row>
    <row r="198" spans="1:82">
      <c r="A198" s="279"/>
      <c r="B198" s="279"/>
      <c r="C198" s="279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153"/>
      <c r="AY198" s="153"/>
      <c r="AZ198" s="153"/>
      <c r="BA198" s="153"/>
      <c r="BB198" s="153"/>
      <c r="BC198" s="153"/>
      <c r="BD198" s="153"/>
      <c r="BE198" s="153"/>
      <c r="BF198" s="153"/>
      <c r="BG198" s="153"/>
      <c r="BH198" s="153"/>
      <c r="BI198" s="153"/>
      <c r="BJ198" s="82"/>
      <c r="BK198" s="82"/>
      <c r="BL198" s="82"/>
      <c r="BM198" s="82"/>
      <c r="BN198" s="82"/>
      <c r="BO198" s="119"/>
      <c r="BP198" s="82"/>
      <c r="BQ198" s="82"/>
      <c r="BR198" s="82"/>
      <c r="BS198" s="82"/>
      <c r="BT198" s="82"/>
      <c r="BU198" s="82"/>
      <c r="BV198" s="82"/>
      <c r="BW198" s="82"/>
      <c r="BX198" s="82"/>
      <c r="BY198" s="82"/>
      <c r="BZ198" s="82"/>
      <c r="CA198" s="82"/>
      <c r="CB198" s="82"/>
      <c r="CC198" s="82"/>
      <c r="CD198" s="82"/>
    </row>
    <row r="199" spans="1:82">
      <c r="A199" s="279"/>
      <c r="B199" s="279"/>
      <c r="C199" s="279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153"/>
      <c r="AY199" s="153"/>
      <c r="AZ199" s="153"/>
      <c r="BA199" s="153"/>
      <c r="BB199" s="153"/>
      <c r="BC199" s="153"/>
      <c r="BD199" s="153"/>
      <c r="BE199" s="153"/>
      <c r="BF199" s="153"/>
      <c r="BG199" s="153"/>
      <c r="BH199" s="153"/>
      <c r="BI199" s="153"/>
      <c r="BJ199" s="82"/>
      <c r="BK199" s="82"/>
      <c r="BL199" s="82"/>
      <c r="BM199" s="82"/>
      <c r="BN199" s="82"/>
      <c r="BO199" s="119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</row>
    <row r="200" spans="1:82">
      <c r="A200" s="279"/>
      <c r="B200" s="279"/>
      <c r="C200" s="279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153"/>
      <c r="AY200" s="153"/>
      <c r="AZ200" s="153"/>
      <c r="BA200" s="153"/>
      <c r="BB200" s="153"/>
      <c r="BC200" s="153"/>
      <c r="BD200" s="153"/>
      <c r="BE200" s="153"/>
      <c r="BF200" s="153"/>
      <c r="BG200" s="153"/>
      <c r="BH200" s="153"/>
      <c r="BI200" s="153"/>
      <c r="BJ200" s="82"/>
      <c r="BK200" s="82"/>
      <c r="BL200" s="82"/>
      <c r="BM200" s="82"/>
      <c r="BN200" s="82"/>
      <c r="BO200" s="119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</row>
    <row r="201" spans="1:82">
      <c r="A201" s="279"/>
      <c r="B201" s="279"/>
      <c r="C201" s="279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  <c r="AY201" s="153"/>
      <c r="AZ201" s="153"/>
      <c r="BA201" s="153"/>
      <c r="BB201" s="153"/>
      <c r="BC201" s="153"/>
      <c r="BD201" s="153"/>
      <c r="BE201" s="153"/>
      <c r="BF201" s="153"/>
      <c r="BG201" s="153"/>
      <c r="BH201" s="153"/>
      <c r="BI201" s="153"/>
      <c r="BJ201" s="82"/>
      <c r="BK201" s="82"/>
      <c r="BL201" s="82"/>
      <c r="BM201" s="82"/>
      <c r="BN201" s="82"/>
      <c r="BO201" s="119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</row>
    <row r="202" spans="1:82">
      <c r="A202" s="279"/>
      <c r="B202" s="279"/>
      <c r="C202" s="279"/>
      <c r="D202" s="324"/>
      <c r="E202" s="324"/>
      <c r="F202" s="324"/>
      <c r="G202" s="324"/>
      <c r="H202" s="324"/>
      <c r="I202" s="324"/>
      <c r="J202" s="324"/>
      <c r="K202" s="370" t="s">
        <v>363</v>
      </c>
      <c r="L202" s="324"/>
      <c r="M202" s="324"/>
      <c r="N202" s="324"/>
      <c r="O202" s="324"/>
      <c r="P202" s="324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153"/>
      <c r="AY202" s="153"/>
      <c r="AZ202" s="153"/>
      <c r="BA202" s="153"/>
      <c r="BB202" s="153"/>
      <c r="BC202" s="153"/>
      <c r="BD202" s="153"/>
      <c r="BE202" s="153"/>
      <c r="BF202" s="153"/>
      <c r="BG202" s="153"/>
      <c r="BH202" s="153"/>
      <c r="BI202" s="153"/>
      <c r="BJ202" s="82"/>
      <c r="BK202" s="82"/>
      <c r="BL202" s="82"/>
      <c r="BM202" s="82"/>
      <c r="BN202" s="82"/>
      <c r="BO202" s="119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</row>
    <row r="203" spans="1:82">
      <c r="A203" s="279"/>
      <c r="B203" s="279"/>
      <c r="C203" s="279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153"/>
      <c r="AY203" s="153"/>
      <c r="AZ203" s="153"/>
      <c r="BA203" s="153"/>
      <c r="BB203" s="153"/>
      <c r="BC203" s="153"/>
      <c r="BD203" s="153"/>
      <c r="BE203" s="153"/>
      <c r="BF203" s="153"/>
      <c r="BG203" s="153"/>
      <c r="BH203" s="153"/>
      <c r="BI203" s="153"/>
      <c r="BJ203" s="82"/>
      <c r="BK203" s="82"/>
      <c r="BL203" s="82"/>
      <c r="BM203" s="82"/>
      <c r="BN203" s="82"/>
      <c r="BO203" s="119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</row>
    <row r="204" spans="1:82">
      <c r="A204" s="279"/>
      <c r="B204" s="279"/>
      <c r="C204" s="279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153"/>
      <c r="AY204" s="153"/>
      <c r="AZ204" s="153"/>
      <c r="BA204" s="153"/>
      <c r="BB204" s="153"/>
      <c r="BC204" s="153"/>
      <c r="BD204" s="153"/>
      <c r="BE204" s="153"/>
      <c r="BF204" s="153"/>
      <c r="BG204" s="153"/>
      <c r="BH204" s="153"/>
      <c r="BI204" s="153"/>
      <c r="BJ204" s="82"/>
      <c r="BK204" s="82"/>
      <c r="BL204" s="82"/>
      <c r="BM204" s="82"/>
      <c r="BN204" s="82"/>
      <c r="BO204" s="119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</row>
    <row r="205" spans="1:82">
      <c r="A205" s="279"/>
      <c r="B205" s="279"/>
      <c r="C205" s="279"/>
      <c r="D205" s="324"/>
      <c r="E205" s="324"/>
      <c r="F205" s="324"/>
      <c r="G205" s="324"/>
      <c r="H205" s="324"/>
      <c r="I205" s="324"/>
      <c r="J205" s="324"/>
      <c r="K205" s="370" t="s">
        <v>362</v>
      </c>
      <c r="L205" s="324"/>
      <c r="M205" s="324">
        <v>25</v>
      </c>
      <c r="N205" s="324" t="s">
        <v>364</v>
      </c>
      <c r="O205" s="324"/>
      <c r="P205" s="324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  <c r="AO205" s="153"/>
      <c r="AP205" s="153"/>
      <c r="AQ205" s="153"/>
      <c r="AR205" s="153"/>
      <c r="AS205" s="153"/>
      <c r="AT205" s="153"/>
      <c r="AU205" s="153"/>
      <c r="AV205" s="153"/>
      <c r="AW205" s="153"/>
      <c r="AX205" s="153"/>
      <c r="AY205" s="153"/>
      <c r="AZ205" s="153"/>
      <c r="BA205" s="153"/>
      <c r="BB205" s="153"/>
      <c r="BC205" s="153"/>
      <c r="BD205" s="153"/>
      <c r="BE205" s="153"/>
      <c r="BF205" s="153"/>
      <c r="BG205" s="153"/>
      <c r="BH205" s="153"/>
      <c r="BI205" s="153"/>
      <c r="BJ205" s="82"/>
      <c r="BK205" s="82"/>
      <c r="BL205" s="82"/>
      <c r="BM205" s="82"/>
      <c r="BN205" s="82"/>
      <c r="BO205" s="119"/>
      <c r="BP205" s="82"/>
      <c r="BQ205" s="82"/>
      <c r="BR205" s="82"/>
      <c r="BS205" s="82"/>
      <c r="BT205" s="82"/>
      <c r="BU205" s="82"/>
      <c r="BV205" s="82"/>
      <c r="BW205" s="82"/>
      <c r="BX205" s="82"/>
      <c r="BY205" s="82"/>
      <c r="BZ205" s="82"/>
      <c r="CA205" s="82"/>
      <c r="CB205" s="82"/>
      <c r="CC205" s="82"/>
      <c r="CD205" s="82"/>
    </row>
    <row r="206" spans="1:82">
      <c r="A206" s="279"/>
      <c r="B206" s="279"/>
      <c r="C206" s="279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  <c r="AG206" s="153"/>
      <c r="AH206" s="153"/>
      <c r="AI206" s="153"/>
      <c r="AJ206" s="153"/>
      <c r="AK206" s="153"/>
      <c r="AL206" s="153"/>
      <c r="AM206" s="153"/>
      <c r="AN206" s="153"/>
      <c r="AO206" s="153"/>
      <c r="AP206" s="153"/>
      <c r="AQ206" s="153"/>
      <c r="AR206" s="153"/>
      <c r="AS206" s="153"/>
      <c r="AT206" s="153"/>
      <c r="AU206" s="153"/>
      <c r="AV206" s="153"/>
      <c r="AW206" s="153"/>
      <c r="AX206" s="153"/>
      <c r="AY206" s="153"/>
      <c r="AZ206" s="153"/>
      <c r="BA206" s="153"/>
      <c r="BB206" s="153"/>
      <c r="BC206" s="153"/>
      <c r="BD206" s="153"/>
      <c r="BE206" s="153"/>
      <c r="BF206" s="153"/>
      <c r="BG206" s="153"/>
      <c r="BH206" s="153"/>
      <c r="BI206" s="153"/>
      <c r="BJ206" s="82"/>
      <c r="BK206" s="82"/>
      <c r="BL206" s="82"/>
      <c r="BM206" s="82"/>
      <c r="BN206" s="82"/>
      <c r="BO206" s="119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</row>
    <row r="207" spans="1:82">
      <c r="A207" s="279"/>
      <c r="B207" s="279"/>
      <c r="C207" s="279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  <c r="AG207" s="153"/>
      <c r="AH207" s="153"/>
      <c r="AI207" s="153"/>
      <c r="AJ207" s="153"/>
      <c r="AK207" s="153"/>
      <c r="AL207" s="153"/>
      <c r="AM207" s="153"/>
      <c r="AN207" s="153"/>
      <c r="AO207" s="153"/>
      <c r="AP207" s="153"/>
      <c r="AQ207" s="153"/>
      <c r="AR207" s="153"/>
      <c r="AS207" s="153"/>
      <c r="AT207" s="153"/>
      <c r="AU207" s="153"/>
      <c r="AV207" s="153"/>
      <c r="AW207" s="153"/>
      <c r="AX207" s="153"/>
      <c r="AY207" s="153"/>
      <c r="AZ207" s="153"/>
      <c r="BA207" s="153"/>
      <c r="BB207" s="153"/>
      <c r="BC207" s="153"/>
      <c r="BD207" s="153"/>
      <c r="BE207" s="153"/>
      <c r="BF207" s="153"/>
      <c r="BG207" s="153"/>
      <c r="BH207" s="153"/>
      <c r="BI207" s="153"/>
      <c r="BJ207" s="82"/>
      <c r="BK207" s="82"/>
      <c r="BL207" s="82"/>
      <c r="BM207" s="82"/>
      <c r="BN207" s="82"/>
      <c r="BO207" s="119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</row>
    <row r="208" spans="1:82">
      <c r="A208" s="279"/>
      <c r="B208" s="279"/>
      <c r="C208" s="279"/>
      <c r="D208" s="324"/>
      <c r="E208" s="324"/>
      <c r="F208" s="324"/>
      <c r="G208" s="324"/>
      <c r="H208" s="324"/>
      <c r="I208" s="324"/>
      <c r="J208" s="324"/>
      <c r="K208" s="324" t="s">
        <v>360</v>
      </c>
      <c r="L208" s="324"/>
      <c r="M208" s="324">
        <f>15500000+5000000</f>
        <v>20500000</v>
      </c>
      <c r="N208" s="324"/>
      <c r="O208" s="324"/>
      <c r="P208" s="324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  <c r="AO208" s="153"/>
      <c r="AP208" s="153"/>
      <c r="AQ208" s="153"/>
      <c r="AR208" s="153"/>
      <c r="AS208" s="153"/>
      <c r="AT208" s="153"/>
      <c r="AU208" s="153"/>
      <c r="AV208" s="153"/>
      <c r="AW208" s="153"/>
      <c r="AX208" s="153"/>
      <c r="AY208" s="153"/>
      <c r="AZ208" s="153"/>
      <c r="BA208" s="153"/>
      <c r="BB208" s="153"/>
      <c r="BC208" s="153"/>
      <c r="BD208" s="153"/>
      <c r="BE208" s="153"/>
      <c r="BF208" s="153"/>
      <c r="BG208" s="153"/>
      <c r="BH208" s="153"/>
      <c r="BI208" s="153"/>
      <c r="BJ208" s="82"/>
      <c r="BK208" s="82"/>
      <c r="BL208" s="82"/>
      <c r="BM208" s="82"/>
      <c r="BN208" s="82"/>
      <c r="BO208" s="119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</row>
    <row r="209" spans="1:82">
      <c r="A209" s="279"/>
      <c r="B209" s="279"/>
      <c r="C209" s="279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  <c r="AY209" s="153"/>
      <c r="AZ209" s="153"/>
      <c r="BA209" s="153"/>
      <c r="BB209" s="153"/>
      <c r="BC209" s="153"/>
      <c r="BD209" s="153"/>
      <c r="BE209" s="153"/>
      <c r="BF209" s="153"/>
      <c r="BG209" s="153"/>
      <c r="BH209" s="153"/>
      <c r="BI209" s="153"/>
      <c r="BJ209" s="82"/>
      <c r="BK209" s="82"/>
      <c r="BL209" s="82"/>
      <c r="BM209" s="82"/>
      <c r="BN209" s="82"/>
      <c r="BO209" s="119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</row>
    <row r="210" spans="1:82">
      <c r="A210" s="279"/>
      <c r="B210" s="279"/>
      <c r="C210" s="279"/>
      <c r="D210" s="324"/>
      <c r="E210" s="324"/>
      <c r="F210" s="324"/>
      <c r="G210" s="324"/>
      <c r="H210" s="324"/>
      <c r="I210" s="324"/>
      <c r="J210" s="324"/>
      <c r="K210" s="370" t="s">
        <v>361</v>
      </c>
      <c r="L210" s="370"/>
      <c r="M210" s="324">
        <v>16000000</v>
      </c>
      <c r="N210" s="324"/>
      <c r="O210" s="324"/>
      <c r="P210" s="324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  <c r="AG210" s="153"/>
      <c r="AH210" s="153"/>
      <c r="AI210" s="153"/>
      <c r="AJ210" s="153"/>
      <c r="AK210" s="153"/>
      <c r="AL210" s="153"/>
      <c r="AM210" s="153"/>
      <c r="AN210" s="153"/>
      <c r="AO210" s="153"/>
      <c r="AP210" s="153"/>
      <c r="AQ210" s="153"/>
      <c r="AR210" s="153"/>
      <c r="AS210" s="153"/>
      <c r="AT210" s="153"/>
      <c r="AU210" s="153"/>
      <c r="AV210" s="153"/>
      <c r="AW210" s="153"/>
      <c r="AX210" s="153"/>
      <c r="AY210" s="153"/>
      <c r="AZ210" s="153"/>
      <c r="BA210" s="153"/>
      <c r="BB210" s="153"/>
      <c r="BC210" s="153"/>
      <c r="BD210" s="153"/>
      <c r="BE210" s="153"/>
      <c r="BF210" s="153"/>
      <c r="BG210" s="153"/>
      <c r="BH210" s="153"/>
      <c r="BI210" s="153"/>
      <c r="BJ210" s="82"/>
      <c r="BK210" s="82"/>
      <c r="BL210" s="82"/>
      <c r="BM210" s="82"/>
      <c r="BN210" s="82"/>
      <c r="BO210" s="119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</row>
    <row r="211" spans="1:82">
      <c r="A211" s="279"/>
      <c r="B211" s="279"/>
      <c r="C211" s="279"/>
      <c r="D211" s="324"/>
      <c r="E211" s="324"/>
      <c r="F211" s="324"/>
      <c r="G211" s="324"/>
      <c r="H211" s="324"/>
      <c r="I211" s="324"/>
      <c r="J211" s="324"/>
      <c r="K211" s="324"/>
      <c r="L211" s="324"/>
      <c r="M211" s="324"/>
      <c r="N211" s="324"/>
      <c r="O211" s="324"/>
      <c r="P211" s="324" t="s">
        <v>371</v>
      </c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  <c r="AG211" s="153"/>
      <c r="AH211" s="153"/>
      <c r="AI211" s="153"/>
      <c r="AJ211" s="153"/>
      <c r="AK211" s="153"/>
      <c r="AL211" s="153"/>
      <c r="AM211" s="153"/>
      <c r="AN211" s="153"/>
      <c r="AO211" s="153"/>
      <c r="AP211" s="153"/>
      <c r="AQ211" s="153"/>
      <c r="AR211" s="153"/>
      <c r="AS211" s="153"/>
      <c r="AT211" s="153"/>
      <c r="AU211" s="153"/>
      <c r="AV211" s="153"/>
      <c r="AW211" s="153"/>
      <c r="AX211" s="153"/>
      <c r="AY211" s="153"/>
      <c r="AZ211" s="153"/>
      <c r="BA211" s="153"/>
      <c r="BB211" s="153"/>
      <c r="BC211" s="153"/>
      <c r="BD211" s="153"/>
      <c r="BE211" s="153"/>
      <c r="BF211" s="153"/>
      <c r="BG211" s="153"/>
      <c r="BH211" s="153"/>
      <c r="BI211" s="153"/>
      <c r="BJ211" s="82"/>
      <c r="BK211" s="82"/>
      <c r="BL211" s="82"/>
      <c r="BM211" s="82"/>
      <c r="BN211" s="82"/>
      <c r="BO211" s="119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</row>
    <row r="212" spans="1:82">
      <c r="A212" s="279"/>
      <c r="B212" s="279"/>
      <c r="C212" s="279"/>
      <c r="D212" s="324"/>
      <c r="E212" s="324"/>
      <c r="F212" s="324"/>
      <c r="G212" s="324"/>
      <c r="H212" s="324"/>
      <c r="I212" s="324"/>
      <c r="J212" s="324"/>
      <c r="K212" s="324"/>
      <c r="L212" s="324"/>
      <c r="M212" s="324"/>
      <c r="N212" s="324"/>
      <c r="O212" s="324"/>
      <c r="P212" s="324" t="e">
        <f>+P211*12.5%</f>
        <v>#VALUE!</v>
      </c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  <c r="AG212" s="153"/>
      <c r="AH212" s="153"/>
      <c r="AI212" s="153"/>
      <c r="AJ212" s="153"/>
      <c r="AK212" s="153"/>
      <c r="AL212" s="153"/>
      <c r="AM212" s="153"/>
      <c r="AN212" s="153"/>
      <c r="AO212" s="153"/>
      <c r="AP212" s="153"/>
      <c r="AQ212" s="153"/>
      <c r="AR212" s="153"/>
      <c r="AS212" s="153"/>
      <c r="AT212" s="153"/>
      <c r="AU212" s="153"/>
      <c r="AV212" s="153"/>
      <c r="AW212" s="153"/>
      <c r="AX212" s="153"/>
      <c r="AY212" s="153"/>
      <c r="AZ212" s="153"/>
      <c r="BA212" s="153"/>
      <c r="BB212" s="153"/>
      <c r="BC212" s="153"/>
      <c r="BD212" s="153"/>
      <c r="BE212" s="153"/>
      <c r="BF212" s="153"/>
      <c r="BG212" s="153"/>
      <c r="BH212" s="153"/>
      <c r="BI212" s="153"/>
      <c r="BJ212" s="82"/>
      <c r="BK212" s="82"/>
      <c r="BL212" s="82"/>
      <c r="BM212" s="82"/>
      <c r="BN212" s="82"/>
      <c r="BO212" s="119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</row>
    <row r="213" spans="1:82">
      <c r="A213" s="279"/>
      <c r="B213" s="279"/>
      <c r="C213" s="279"/>
      <c r="D213" s="324"/>
      <c r="E213" s="324"/>
      <c r="F213" s="324"/>
      <c r="G213" s="324"/>
      <c r="H213" s="324"/>
      <c r="I213" s="324"/>
      <c r="J213" s="324"/>
      <c r="K213" s="370" t="s">
        <v>365</v>
      </c>
      <c r="L213" s="324"/>
      <c r="M213" s="324"/>
      <c r="N213" s="324"/>
      <c r="O213" s="324"/>
      <c r="P213" s="324" t="e">
        <f>SUM(P211:P212)</f>
        <v>#VALUE!</v>
      </c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  <c r="AG213" s="153"/>
      <c r="AH213" s="153"/>
      <c r="AI213" s="153"/>
      <c r="AJ213" s="153"/>
      <c r="AK213" s="153"/>
      <c r="AL213" s="153"/>
      <c r="AM213" s="153"/>
      <c r="AN213" s="153"/>
      <c r="AO213" s="153"/>
      <c r="AP213" s="153"/>
      <c r="AQ213" s="153"/>
      <c r="AR213" s="153"/>
      <c r="AS213" s="153"/>
      <c r="AT213" s="153"/>
      <c r="AU213" s="153"/>
      <c r="AV213" s="153"/>
      <c r="AW213" s="153"/>
      <c r="AX213" s="153"/>
      <c r="AY213" s="153"/>
      <c r="AZ213" s="153"/>
      <c r="BA213" s="153"/>
      <c r="BB213" s="153"/>
      <c r="BC213" s="153"/>
      <c r="BD213" s="153"/>
      <c r="BE213" s="153"/>
      <c r="BF213" s="153"/>
      <c r="BG213" s="153"/>
      <c r="BH213" s="153"/>
      <c r="BI213" s="153"/>
      <c r="BJ213" s="82"/>
      <c r="BK213" s="82"/>
      <c r="BL213" s="82"/>
      <c r="BM213" s="82"/>
      <c r="BN213" s="82"/>
      <c r="BO213" s="119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</row>
    <row r="214" spans="1:82">
      <c r="A214" s="279"/>
      <c r="B214" s="279"/>
      <c r="C214" s="279"/>
      <c r="D214" s="324"/>
      <c r="E214" s="324"/>
      <c r="F214" s="324"/>
      <c r="G214" s="324"/>
      <c r="H214" s="324"/>
      <c r="I214" s="324"/>
      <c r="J214" s="324"/>
      <c r="K214" s="324"/>
      <c r="L214" s="324"/>
      <c r="M214" s="324"/>
      <c r="N214" s="324"/>
      <c r="O214" s="324"/>
      <c r="P214" s="324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  <c r="AG214" s="153"/>
      <c r="AH214" s="153"/>
      <c r="AI214" s="153"/>
      <c r="AJ214" s="153"/>
      <c r="AK214" s="153"/>
      <c r="AL214" s="153"/>
      <c r="AM214" s="153"/>
      <c r="AN214" s="153"/>
      <c r="AO214" s="153"/>
      <c r="AP214" s="153"/>
      <c r="AQ214" s="153"/>
      <c r="AR214" s="153"/>
      <c r="AS214" s="153"/>
      <c r="AT214" s="153"/>
      <c r="AU214" s="153"/>
      <c r="AV214" s="153"/>
      <c r="AW214" s="153"/>
      <c r="AX214" s="153"/>
      <c r="AY214" s="153"/>
      <c r="AZ214" s="153"/>
      <c r="BA214" s="153"/>
      <c r="BB214" s="153"/>
      <c r="BC214" s="153"/>
      <c r="BD214" s="153"/>
      <c r="BE214" s="153"/>
      <c r="BF214" s="153"/>
      <c r="BG214" s="153"/>
      <c r="BH214" s="153"/>
      <c r="BI214" s="153"/>
      <c r="BJ214" s="82"/>
      <c r="BK214" s="82"/>
      <c r="BL214" s="82"/>
      <c r="BM214" s="82"/>
      <c r="BN214" s="82"/>
      <c r="BO214" s="119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</row>
    <row r="215" spans="1:82">
      <c r="A215" s="279"/>
      <c r="B215" s="279"/>
      <c r="C215" s="279"/>
      <c r="D215" s="324"/>
      <c r="E215" s="324"/>
      <c r="F215" s="324"/>
      <c r="G215" s="324"/>
      <c r="H215" s="324"/>
      <c r="I215" s="324"/>
      <c r="J215" s="324"/>
      <c r="K215" s="370" t="s">
        <v>359</v>
      </c>
      <c r="L215" s="324"/>
      <c r="M215" s="324"/>
      <c r="N215" s="324"/>
      <c r="O215" s="324"/>
      <c r="P215" s="324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  <c r="AK215" s="153"/>
      <c r="AL215" s="153"/>
      <c r="AM215" s="153"/>
      <c r="AN215" s="153"/>
      <c r="AO215" s="153"/>
      <c r="AP215" s="153"/>
      <c r="AQ215" s="153"/>
      <c r="AR215" s="153"/>
      <c r="AS215" s="153"/>
      <c r="AT215" s="153"/>
      <c r="AU215" s="153"/>
      <c r="AV215" s="153"/>
      <c r="AW215" s="153"/>
      <c r="AX215" s="153"/>
      <c r="AY215" s="153"/>
      <c r="AZ215" s="153"/>
      <c r="BA215" s="153"/>
      <c r="BB215" s="153"/>
      <c r="BC215" s="153"/>
      <c r="BD215" s="153"/>
      <c r="BE215" s="153"/>
      <c r="BF215" s="153"/>
      <c r="BG215" s="153"/>
      <c r="BH215" s="153"/>
      <c r="BI215" s="153"/>
      <c r="BJ215" s="82"/>
      <c r="BK215" s="82"/>
      <c r="BL215" s="82"/>
      <c r="BM215" s="82"/>
      <c r="BN215" s="82"/>
      <c r="BO215" s="119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</row>
    <row r="216" spans="1:82">
      <c r="A216" s="279"/>
      <c r="B216" s="279"/>
      <c r="C216" s="279"/>
      <c r="D216" s="324"/>
      <c r="E216" s="324"/>
      <c r="F216" s="324"/>
      <c r="G216" s="324"/>
      <c r="H216" s="324"/>
      <c r="I216" s="324"/>
      <c r="J216" s="324"/>
      <c r="K216" s="324"/>
      <c r="L216" s="324"/>
      <c r="M216" s="324"/>
      <c r="N216" s="324"/>
      <c r="O216" s="324"/>
      <c r="P216" s="324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/>
      <c r="AN216" s="153"/>
      <c r="AO216" s="153"/>
      <c r="AP216" s="153"/>
      <c r="AQ216" s="153"/>
      <c r="AR216" s="153"/>
      <c r="AS216" s="153"/>
      <c r="AT216" s="153"/>
      <c r="AU216" s="153"/>
      <c r="AV216" s="153"/>
      <c r="AW216" s="153"/>
      <c r="AX216" s="153"/>
      <c r="AY216" s="153"/>
      <c r="AZ216" s="153"/>
      <c r="BA216" s="153"/>
      <c r="BB216" s="153"/>
      <c r="BC216" s="153"/>
      <c r="BD216" s="153"/>
      <c r="BE216" s="153"/>
      <c r="BF216" s="153"/>
      <c r="BG216" s="153"/>
      <c r="BH216" s="153"/>
      <c r="BI216" s="153"/>
      <c r="BJ216" s="82"/>
      <c r="BK216" s="82"/>
      <c r="BL216" s="82"/>
      <c r="BM216" s="82"/>
      <c r="BN216" s="82"/>
      <c r="BO216" s="119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</row>
    <row r="217" spans="1:82">
      <c r="A217" s="279"/>
      <c r="B217" s="279"/>
      <c r="C217" s="279"/>
      <c r="D217" s="324"/>
      <c r="E217" s="324"/>
      <c r="F217" s="324"/>
      <c r="G217" s="324"/>
      <c r="H217" s="324"/>
      <c r="I217" s="324"/>
      <c r="J217" s="324"/>
      <c r="K217" s="371" t="s">
        <v>369</v>
      </c>
      <c r="L217" s="324"/>
      <c r="M217" s="324"/>
      <c r="N217" s="324"/>
      <c r="O217" s="324"/>
      <c r="P217" s="324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  <c r="AK217" s="153"/>
      <c r="AL217" s="153"/>
      <c r="AM217" s="153"/>
      <c r="AN217" s="153"/>
      <c r="AO217" s="153"/>
      <c r="AP217" s="153"/>
      <c r="AQ217" s="153"/>
      <c r="AR217" s="153"/>
      <c r="AS217" s="153"/>
      <c r="AT217" s="153"/>
      <c r="AU217" s="153"/>
      <c r="AV217" s="153"/>
      <c r="AW217" s="153"/>
      <c r="AX217" s="153"/>
      <c r="AY217" s="153"/>
      <c r="AZ217" s="153"/>
      <c r="BA217" s="153"/>
      <c r="BB217" s="153"/>
      <c r="BC217" s="153"/>
      <c r="BD217" s="153"/>
      <c r="BE217" s="153"/>
      <c r="BF217" s="153"/>
      <c r="BG217" s="153"/>
      <c r="BH217" s="153"/>
      <c r="BI217" s="153"/>
      <c r="BJ217" s="82"/>
      <c r="BK217" s="82"/>
      <c r="BL217" s="82"/>
      <c r="BM217" s="82"/>
      <c r="BN217" s="82"/>
      <c r="BO217" s="119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</row>
    <row r="218" spans="1:82">
      <c r="A218" s="279"/>
      <c r="B218" s="279"/>
      <c r="C218" s="279"/>
      <c r="D218" s="324"/>
      <c r="E218" s="324"/>
      <c r="F218" s="324"/>
      <c r="G218" s="324"/>
      <c r="H218" s="324"/>
      <c r="I218" s="324"/>
      <c r="J218" s="324"/>
      <c r="K218" s="324"/>
      <c r="L218" s="324"/>
      <c r="M218" s="324"/>
      <c r="N218" s="324"/>
      <c r="O218" s="324"/>
      <c r="P218" s="324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  <c r="AG218" s="153"/>
      <c r="AH218" s="153"/>
      <c r="AI218" s="153"/>
      <c r="AJ218" s="153"/>
      <c r="AK218" s="153"/>
      <c r="AL218" s="153"/>
      <c r="AM218" s="153"/>
      <c r="AN218" s="153"/>
      <c r="AO218" s="153"/>
      <c r="AP218" s="153"/>
      <c r="AQ218" s="153"/>
      <c r="AR218" s="153"/>
      <c r="AS218" s="153"/>
      <c r="AT218" s="153"/>
      <c r="AU218" s="153"/>
      <c r="AV218" s="153"/>
      <c r="AW218" s="153"/>
      <c r="AX218" s="153"/>
      <c r="AY218" s="153"/>
      <c r="AZ218" s="153"/>
      <c r="BA218" s="153"/>
      <c r="BB218" s="153"/>
      <c r="BC218" s="153"/>
      <c r="BD218" s="153"/>
      <c r="BE218" s="153"/>
      <c r="BF218" s="153"/>
      <c r="BG218" s="153"/>
      <c r="BH218" s="153"/>
      <c r="BI218" s="153"/>
      <c r="BJ218" s="82"/>
      <c r="BK218" s="82"/>
      <c r="BL218" s="82"/>
      <c r="BM218" s="82"/>
      <c r="BN218" s="82"/>
      <c r="BO218" s="119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</row>
    <row r="219" spans="1:82">
      <c r="A219" s="279"/>
      <c r="B219" s="279"/>
      <c r="C219" s="279"/>
      <c r="D219" s="324"/>
      <c r="E219" s="324"/>
      <c r="F219" s="324"/>
      <c r="G219" s="324"/>
      <c r="H219" s="324"/>
      <c r="I219" s="324"/>
      <c r="J219" s="324"/>
      <c r="K219" s="324"/>
      <c r="L219" s="324"/>
      <c r="M219" s="324"/>
      <c r="N219" s="324"/>
      <c r="O219" s="324"/>
      <c r="P219" s="324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  <c r="AG219" s="153"/>
      <c r="AH219" s="153"/>
      <c r="AI219" s="153"/>
      <c r="AJ219" s="153"/>
      <c r="AK219" s="153"/>
      <c r="AL219" s="153"/>
      <c r="AM219" s="153"/>
      <c r="AN219" s="153"/>
      <c r="AO219" s="153"/>
      <c r="AP219" s="153"/>
      <c r="AQ219" s="153"/>
      <c r="AR219" s="153"/>
      <c r="AS219" s="153"/>
      <c r="AT219" s="153"/>
      <c r="AU219" s="153"/>
      <c r="AV219" s="153"/>
      <c r="AW219" s="153"/>
      <c r="AX219" s="153"/>
      <c r="AY219" s="153"/>
      <c r="AZ219" s="153"/>
      <c r="BA219" s="153"/>
      <c r="BB219" s="153"/>
      <c r="BC219" s="153"/>
      <c r="BD219" s="153"/>
      <c r="BE219" s="153"/>
      <c r="BF219" s="153"/>
      <c r="BG219" s="153"/>
      <c r="BH219" s="153"/>
      <c r="BI219" s="153"/>
      <c r="BJ219" s="82"/>
      <c r="BK219" s="82"/>
      <c r="BL219" s="82"/>
      <c r="BM219" s="82"/>
      <c r="BN219" s="82"/>
      <c r="BO219" s="119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</row>
    <row r="220" spans="1:82">
      <c r="A220" s="279"/>
      <c r="B220" s="279"/>
      <c r="C220" s="279"/>
      <c r="D220" s="324"/>
      <c r="E220" s="324"/>
      <c r="F220" s="324"/>
      <c r="G220" s="324"/>
      <c r="H220" s="324"/>
      <c r="I220" s="324"/>
      <c r="J220" s="324"/>
      <c r="K220" s="324"/>
      <c r="L220" s="324"/>
      <c r="M220" s="324"/>
      <c r="N220" s="324"/>
      <c r="O220" s="324"/>
      <c r="P220" s="324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  <c r="AG220" s="153"/>
      <c r="AH220" s="153"/>
      <c r="AI220" s="153"/>
      <c r="AJ220" s="153"/>
      <c r="AK220" s="153"/>
      <c r="AL220" s="153"/>
      <c r="AM220" s="153"/>
      <c r="AN220" s="153"/>
      <c r="AO220" s="153"/>
      <c r="AP220" s="153"/>
      <c r="AQ220" s="153"/>
      <c r="AR220" s="153"/>
      <c r="AS220" s="153"/>
      <c r="AT220" s="153"/>
      <c r="AU220" s="153"/>
      <c r="AV220" s="153"/>
      <c r="AW220" s="153"/>
      <c r="AX220" s="153"/>
      <c r="AY220" s="153"/>
      <c r="AZ220" s="153"/>
      <c r="BA220" s="153"/>
      <c r="BB220" s="153"/>
      <c r="BC220" s="153"/>
      <c r="BD220" s="153"/>
      <c r="BE220" s="153"/>
      <c r="BF220" s="153"/>
      <c r="BG220" s="153"/>
      <c r="BH220" s="153"/>
      <c r="BI220" s="153"/>
      <c r="BJ220" s="82"/>
      <c r="BK220" s="82"/>
      <c r="BL220" s="82"/>
      <c r="BM220" s="82"/>
      <c r="BN220" s="82"/>
      <c r="BO220" s="119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</row>
    <row r="221" spans="1:82">
      <c r="A221" s="279"/>
      <c r="B221" s="279"/>
      <c r="C221" s="279"/>
      <c r="D221" s="324"/>
      <c r="E221" s="324"/>
      <c r="F221" s="324"/>
      <c r="G221" s="324"/>
      <c r="H221" s="324"/>
      <c r="I221" s="324"/>
      <c r="J221" s="324"/>
      <c r="K221" s="324"/>
      <c r="L221" s="324"/>
      <c r="M221" s="324"/>
      <c r="N221" s="324"/>
      <c r="O221" s="324"/>
      <c r="P221" s="324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  <c r="AG221" s="153"/>
      <c r="AH221" s="153"/>
      <c r="AI221" s="153"/>
      <c r="AJ221" s="153"/>
      <c r="AK221" s="153"/>
      <c r="AL221" s="153"/>
      <c r="AM221" s="153"/>
      <c r="AN221" s="153"/>
      <c r="AO221" s="153"/>
      <c r="AP221" s="153"/>
      <c r="AQ221" s="153"/>
      <c r="AR221" s="153"/>
      <c r="AS221" s="153"/>
      <c r="AT221" s="153"/>
      <c r="AU221" s="153"/>
      <c r="AV221" s="153"/>
      <c r="AW221" s="153"/>
      <c r="AX221" s="153"/>
      <c r="AY221" s="153"/>
      <c r="AZ221" s="153"/>
      <c r="BA221" s="153"/>
      <c r="BB221" s="153"/>
      <c r="BC221" s="153"/>
      <c r="BD221" s="153"/>
      <c r="BE221" s="153"/>
      <c r="BF221" s="153"/>
      <c r="BG221" s="153"/>
      <c r="BH221" s="153"/>
      <c r="BI221" s="153"/>
      <c r="BJ221" s="82"/>
      <c r="BK221" s="82"/>
      <c r="BL221" s="82"/>
      <c r="BM221" s="82"/>
      <c r="BN221" s="82"/>
      <c r="BO221" s="119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</row>
    <row r="222" spans="1:82">
      <c r="A222" s="279"/>
      <c r="B222" s="279"/>
      <c r="C222" s="279"/>
      <c r="D222" s="324"/>
      <c r="E222" s="324"/>
      <c r="F222" s="324"/>
      <c r="G222" s="324"/>
      <c r="H222" s="324"/>
      <c r="I222" s="324"/>
      <c r="J222" s="324"/>
      <c r="K222" s="324"/>
      <c r="L222" s="324"/>
      <c r="M222" s="324"/>
      <c r="N222" s="324"/>
      <c r="O222" s="324"/>
      <c r="P222" s="324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  <c r="AG222" s="153"/>
      <c r="AH222" s="153"/>
      <c r="AI222" s="153"/>
      <c r="AJ222" s="153"/>
      <c r="AK222" s="153"/>
      <c r="AL222" s="153"/>
      <c r="AM222" s="153"/>
      <c r="AN222" s="153"/>
      <c r="AO222" s="153"/>
      <c r="AP222" s="153"/>
      <c r="AQ222" s="153"/>
      <c r="AR222" s="153"/>
      <c r="AS222" s="153"/>
      <c r="AT222" s="153"/>
      <c r="AU222" s="153"/>
      <c r="AV222" s="153"/>
      <c r="AW222" s="153"/>
      <c r="AX222" s="153"/>
      <c r="AY222" s="153"/>
      <c r="AZ222" s="153"/>
      <c r="BA222" s="153"/>
      <c r="BB222" s="153"/>
      <c r="BC222" s="153"/>
      <c r="BD222" s="153"/>
      <c r="BE222" s="153"/>
      <c r="BF222" s="153"/>
      <c r="BG222" s="153"/>
      <c r="BH222" s="153"/>
      <c r="BI222" s="153"/>
      <c r="BJ222" s="82"/>
      <c r="BK222" s="82"/>
      <c r="BL222" s="82"/>
      <c r="BM222" s="82"/>
      <c r="BN222" s="82"/>
      <c r="BO222" s="119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</row>
    <row r="223" spans="1:82">
      <c r="A223" s="279"/>
      <c r="B223" s="279"/>
      <c r="C223" s="279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  <c r="AK223" s="153"/>
      <c r="AL223" s="153"/>
      <c r="AM223" s="153"/>
      <c r="AN223" s="153"/>
      <c r="AO223" s="153"/>
      <c r="AP223" s="153"/>
      <c r="AQ223" s="153"/>
      <c r="AR223" s="153"/>
      <c r="AS223" s="153"/>
      <c r="AT223" s="153"/>
      <c r="AU223" s="153"/>
      <c r="AV223" s="153"/>
      <c r="AW223" s="153"/>
      <c r="AX223" s="153"/>
      <c r="AY223" s="153"/>
      <c r="AZ223" s="153"/>
      <c r="BA223" s="153"/>
      <c r="BB223" s="153"/>
      <c r="BC223" s="153"/>
      <c r="BD223" s="153"/>
      <c r="BE223" s="153"/>
      <c r="BF223" s="153"/>
      <c r="BG223" s="153"/>
      <c r="BH223" s="153"/>
      <c r="BI223" s="153"/>
      <c r="BJ223" s="82"/>
      <c r="BK223" s="82"/>
      <c r="BL223" s="82"/>
      <c r="BM223" s="82"/>
      <c r="BN223" s="82"/>
      <c r="BO223" s="119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</row>
    <row r="224" spans="1:82">
      <c r="A224" s="279"/>
      <c r="B224" s="279"/>
      <c r="C224" s="279"/>
      <c r="D224" s="324"/>
      <c r="E224" s="324"/>
      <c r="F224" s="324"/>
      <c r="G224" s="324"/>
      <c r="H224" s="324"/>
      <c r="I224" s="324"/>
      <c r="J224" s="324"/>
      <c r="K224" s="324"/>
      <c r="L224" s="324"/>
      <c r="M224" s="324"/>
      <c r="N224" s="324"/>
      <c r="O224" s="324"/>
      <c r="P224" s="324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  <c r="AK224" s="153"/>
      <c r="AL224" s="153"/>
      <c r="AM224" s="153"/>
      <c r="AN224" s="153"/>
      <c r="AO224" s="153"/>
      <c r="AP224" s="153"/>
      <c r="AQ224" s="153"/>
      <c r="AR224" s="153"/>
      <c r="AS224" s="153"/>
      <c r="AT224" s="153"/>
      <c r="AU224" s="153"/>
      <c r="AV224" s="153"/>
      <c r="AW224" s="153"/>
      <c r="AX224" s="153"/>
      <c r="AY224" s="153"/>
      <c r="AZ224" s="153"/>
      <c r="BA224" s="153"/>
      <c r="BB224" s="153"/>
      <c r="BC224" s="153"/>
      <c r="BD224" s="153"/>
      <c r="BE224" s="153"/>
      <c r="BF224" s="153"/>
      <c r="BG224" s="153"/>
      <c r="BH224" s="153"/>
      <c r="BI224" s="153"/>
      <c r="BJ224" s="82"/>
      <c r="BK224" s="82"/>
      <c r="BL224" s="82"/>
      <c r="BM224" s="82"/>
      <c r="BN224" s="82"/>
      <c r="BO224" s="119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</row>
    <row r="225" spans="1:82">
      <c r="A225" s="279"/>
      <c r="B225" s="279"/>
      <c r="C225" s="279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3"/>
      <c r="AN225" s="153"/>
      <c r="AO225" s="153"/>
      <c r="AP225" s="153"/>
      <c r="AQ225" s="153"/>
      <c r="AR225" s="153"/>
      <c r="AS225" s="153"/>
      <c r="AT225" s="153"/>
      <c r="AU225" s="153"/>
      <c r="AV225" s="153"/>
      <c r="AW225" s="153"/>
      <c r="AX225" s="153"/>
      <c r="AY225" s="153"/>
      <c r="AZ225" s="153"/>
      <c r="BA225" s="153"/>
      <c r="BB225" s="153"/>
      <c r="BC225" s="153"/>
      <c r="BD225" s="153"/>
      <c r="BE225" s="153"/>
      <c r="BF225" s="153"/>
      <c r="BG225" s="153"/>
      <c r="BH225" s="153"/>
      <c r="BI225" s="153"/>
      <c r="BJ225" s="82"/>
      <c r="BK225" s="82"/>
      <c r="BL225" s="82"/>
      <c r="BM225" s="82"/>
      <c r="BN225" s="82"/>
      <c r="BO225" s="119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</row>
    <row r="226" spans="1:82">
      <c r="A226" s="279"/>
      <c r="B226" s="279"/>
      <c r="C226" s="279"/>
      <c r="D226" s="324"/>
      <c r="E226" s="324"/>
      <c r="F226" s="324"/>
      <c r="G226" s="324"/>
      <c r="H226" s="324"/>
      <c r="I226" s="324"/>
      <c r="J226" s="324"/>
      <c r="K226" s="324"/>
      <c r="L226" s="324"/>
      <c r="M226" s="324"/>
      <c r="N226" s="324"/>
      <c r="O226" s="324"/>
      <c r="P226" s="324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  <c r="AG226" s="153"/>
      <c r="AH226" s="153"/>
      <c r="AI226" s="153"/>
      <c r="AJ226" s="153"/>
      <c r="AK226" s="153"/>
      <c r="AL226" s="153"/>
      <c r="AM226" s="153"/>
      <c r="AN226" s="153"/>
      <c r="AO226" s="153"/>
      <c r="AP226" s="153"/>
      <c r="AQ226" s="153"/>
      <c r="AR226" s="153"/>
      <c r="AS226" s="153"/>
      <c r="AT226" s="153"/>
      <c r="AU226" s="153"/>
      <c r="AV226" s="153"/>
      <c r="AW226" s="153"/>
      <c r="AX226" s="153"/>
      <c r="AY226" s="153"/>
      <c r="AZ226" s="153"/>
      <c r="BA226" s="153"/>
      <c r="BB226" s="153"/>
      <c r="BC226" s="153"/>
      <c r="BD226" s="153"/>
      <c r="BE226" s="153"/>
      <c r="BF226" s="153"/>
      <c r="BG226" s="153"/>
      <c r="BH226" s="153"/>
      <c r="BI226" s="153"/>
      <c r="BJ226" s="82"/>
      <c r="BK226" s="82"/>
      <c r="BL226" s="82"/>
      <c r="BM226" s="82"/>
      <c r="BN226" s="82"/>
      <c r="BO226" s="119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</row>
    <row r="227" spans="1:82">
      <c r="A227" s="279"/>
      <c r="B227" s="279"/>
      <c r="C227" s="279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  <c r="AG227" s="153"/>
      <c r="AH227" s="153"/>
      <c r="AI227" s="153"/>
      <c r="AJ227" s="153"/>
      <c r="AK227" s="153"/>
      <c r="AL227" s="153"/>
      <c r="AM227" s="153"/>
      <c r="AN227" s="153"/>
      <c r="AO227" s="153"/>
      <c r="AP227" s="153"/>
      <c r="AQ227" s="153"/>
      <c r="AR227" s="153"/>
      <c r="AS227" s="153"/>
      <c r="AT227" s="153"/>
      <c r="AU227" s="153"/>
      <c r="AV227" s="153"/>
      <c r="AW227" s="153"/>
      <c r="AX227" s="153"/>
      <c r="AY227" s="153"/>
      <c r="AZ227" s="153"/>
      <c r="BA227" s="153"/>
      <c r="BB227" s="153"/>
      <c r="BC227" s="153"/>
      <c r="BD227" s="153"/>
      <c r="BE227" s="153"/>
      <c r="BF227" s="153"/>
      <c r="BG227" s="153"/>
      <c r="BH227" s="153"/>
      <c r="BI227" s="153"/>
      <c r="BJ227" s="82"/>
      <c r="BK227" s="82"/>
      <c r="BL227" s="82"/>
      <c r="BM227" s="82"/>
      <c r="BN227" s="82"/>
      <c r="BO227" s="119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</row>
    <row r="228" spans="1:82">
      <c r="A228" s="279"/>
      <c r="B228" s="279"/>
      <c r="C228" s="279"/>
      <c r="D228" s="324"/>
      <c r="E228" s="324"/>
      <c r="F228" s="324"/>
      <c r="G228" s="324"/>
      <c r="H228" s="324"/>
      <c r="I228" s="324"/>
      <c r="J228" s="324"/>
      <c r="K228" s="324"/>
      <c r="L228" s="324"/>
      <c r="M228" s="324"/>
      <c r="N228" s="324"/>
      <c r="O228" s="324"/>
      <c r="P228" s="324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  <c r="AG228" s="153"/>
      <c r="AH228" s="153"/>
      <c r="AI228" s="153"/>
      <c r="AJ228" s="153"/>
      <c r="AK228" s="153"/>
      <c r="AL228" s="153"/>
      <c r="AM228" s="153"/>
      <c r="AN228" s="153"/>
      <c r="AO228" s="153"/>
      <c r="AP228" s="153"/>
      <c r="AQ228" s="153"/>
      <c r="AR228" s="153"/>
      <c r="AS228" s="153"/>
      <c r="AT228" s="153"/>
      <c r="AU228" s="153"/>
      <c r="AV228" s="153"/>
      <c r="AW228" s="153"/>
      <c r="AX228" s="153"/>
      <c r="AY228" s="153"/>
      <c r="AZ228" s="153"/>
      <c r="BA228" s="153"/>
      <c r="BB228" s="153"/>
      <c r="BC228" s="153"/>
      <c r="BD228" s="153"/>
      <c r="BE228" s="153"/>
      <c r="BF228" s="153"/>
      <c r="BG228" s="153"/>
      <c r="BH228" s="153"/>
      <c r="BI228" s="153"/>
      <c r="BJ228" s="82"/>
      <c r="BK228" s="82"/>
      <c r="BL228" s="82"/>
      <c r="BM228" s="82"/>
      <c r="BN228" s="82"/>
      <c r="BO228" s="119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</row>
    <row r="229" spans="1:82">
      <c r="A229" s="279"/>
      <c r="B229" s="279"/>
      <c r="C229" s="279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  <c r="AG229" s="153"/>
      <c r="AH229" s="153"/>
      <c r="AI229" s="153"/>
      <c r="AJ229" s="153"/>
      <c r="AK229" s="153"/>
      <c r="AL229" s="153"/>
      <c r="AM229" s="153"/>
      <c r="AN229" s="153"/>
      <c r="AO229" s="153"/>
      <c r="AP229" s="153"/>
      <c r="AQ229" s="153"/>
      <c r="AR229" s="153"/>
      <c r="AS229" s="153"/>
      <c r="AT229" s="153"/>
      <c r="AU229" s="153"/>
      <c r="AV229" s="153"/>
      <c r="AW229" s="153"/>
      <c r="AX229" s="153"/>
      <c r="AY229" s="153"/>
      <c r="AZ229" s="153"/>
      <c r="BA229" s="153"/>
      <c r="BB229" s="153"/>
      <c r="BC229" s="153"/>
      <c r="BD229" s="153"/>
      <c r="BE229" s="153"/>
      <c r="BF229" s="153"/>
      <c r="BG229" s="153"/>
      <c r="BH229" s="153"/>
      <c r="BI229" s="153"/>
      <c r="BJ229" s="82"/>
      <c r="BK229" s="82"/>
      <c r="BL229" s="82"/>
      <c r="BM229" s="82"/>
      <c r="BN229" s="82"/>
      <c r="BO229" s="119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</row>
    <row r="230" spans="1:82">
      <c r="A230" s="279"/>
      <c r="B230" s="279"/>
      <c r="C230" s="279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  <c r="AG230" s="153"/>
      <c r="AH230" s="153"/>
      <c r="AI230" s="153"/>
      <c r="AJ230" s="153"/>
      <c r="AK230" s="153"/>
      <c r="AL230" s="153"/>
      <c r="AM230" s="153"/>
      <c r="AN230" s="153"/>
      <c r="AO230" s="153"/>
      <c r="AP230" s="153"/>
      <c r="AQ230" s="153"/>
      <c r="AR230" s="153"/>
      <c r="AS230" s="153"/>
      <c r="AT230" s="153"/>
      <c r="AU230" s="153"/>
      <c r="AV230" s="153"/>
      <c r="AW230" s="153"/>
      <c r="AX230" s="153"/>
      <c r="AY230" s="153"/>
      <c r="AZ230" s="153"/>
      <c r="BA230" s="153"/>
      <c r="BB230" s="153"/>
      <c r="BC230" s="153"/>
      <c r="BD230" s="153"/>
      <c r="BE230" s="153"/>
      <c r="BF230" s="153"/>
      <c r="BG230" s="153"/>
      <c r="BH230" s="153"/>
      <c r="BI230" s="153"/>
      <c r="BJ230" s="82"/>
      <c r="BK230" s="82"/>
      <c r="BL230" s="82"/>
      <c r="BM230" s="82"/>
      <c r="BN230" s="82"/>
      <c r="BO230" s="119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</row>
    <row r="231" spans="1:82">
      <c r="A231" s="279"/>
      <c r="B231" s="279"/>
      <c r="C231" s="279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  <c r="AY231" s="153"/>
      <c r="AZ231" s="153"/>
      <c r="BA231" s="153"/>
      <c r="BB231" s="153"/>
      <c r="BC231" s="153"/>
      <c r="BD231" s="153"/>
      <c r="BE231" s="153"/>
      <c r="BF231" s="153"/>
      <c r="BG231" s="153"/>
      <c r="BH231" s="153"/>
      <c r="BI231" s="153"/>
      <c r="BJ231" s="82"/>
      <c r="BK231" s="82"/>
      <c r="BL231" s="82"/>
      <c r="BM231" s="82"/>
      <c r="BN231" s="82"/>
      <c r="BO231" s="119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</row>
    <row r="232" spans="1:82">
      <c r="A232" s="279"/>
      <c r="B232" s="279"/>
      <c r="C232" s="279"/>
      <c r="D232" s="324"/>
      <c r="E232" s="324"/>
      <c r="F232" s="324"/>
      <c r="G232" s="324"/>
      <c r="H232" s="324"/>
      <c r="I232" s="324"/>
      <c r="J232" s="324"/>
      <c r="K232" s="324"/>
      <c r="L232" s="324"/>
      <c r="M232" s="324"/>
      <c r="N232" s="324"/>
      <c r="O232" s="324"/>
      <c r="P232" s="324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3"/>
      <c r="BG232" s="153"/>
      <c r="BH232" s="153"/>
      <c r="BI232" s="153"/>
      <c r="BJ232" s="82"/>
      <c r="BK232" s="82"/>
      <c r="BL232" s="82"/>
      <c r="BM232" s="82"/>
      <c r="BN232" s="82"/>
      <c r="BO232" s="119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</row>
    <row r="233" spans="1:82">
      <c r="A233" s="279"/>
      <c r="B233" s="587" t="s">
        <v>13</v>
      </c>
      <c r="C233" s="587"/>
      <c r="D233" s="264">
        <v>1268263389.498702</v>
      </c>
      <c r="E233" s="264">
        <v>1314174524.1985552</v>
      </c>
      <c r="F233" s="264">
        <v>1364638825.9277797</v>
      </c>
      <c r="G233" s="264">
        <v>1350173654.3729453</v>
      </c>
      <c r="H233" s="264">
        <v>1307778201.6256349</v>
      </c>
      <c r="I233" s="264">
        <v>1164314932.9073029</v>
      </c>
      <c r="J233" s="264">
        <v>1183758992.2868547</v>
      </c>
      <c r="K233" s="264">
        <v>1231582855.5752437</v>
      </c>
      <c r="L233" s="264">
        <v>1281338802.9404836</v>
      </c>
      <c r="M233" s="264">
        <v>1333104890.5792792</v>
      </c>
      <c r="N233" s="264">
        <v>1386962328.1586821</v>
      </c>
      <c r="O233" s="320">
        <v>1442995606.2162929</v>
      </c>
      <c r="P233" s="324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  <c r="AY233" s="153"/>
      <c r="AZ233" s="153"/>
      <c r="BA233" s="153"/>
      <c r="BB233" s="153"/>
      <c r="BC233" s="153"/>
      <c r="BD233" s="153"/>
      <c r="BE233" s="153"/>
      <c r="BF233" s="153"/>
      <c r="BG233" s="153"/>
      <c r="BH233" s="153"/>
      <c r="BI233" s="153"/>
      <c r="BJ233" s="82"/>
      <c r="BK233" s="82"/>
      <c r="BL233" s="82"/>
      <c r="BM233" s="82"/>
      <c r="BN233" s="82"/>
      <c r="BO233" s="119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</row>
    <row r="234" spans="1:82">
      <c r="A234" s="279"/>
      <c r="B234" s="587" t="s">
        <v>14</v>
      </c>
      <c r="C234" s="587"/>
      <c r="D234" s="264">
        <v>346938190.14629972</v>
      </c>
      <c r="E234" s="264">
        <v>359497352.62959576</v>
      </c>
      <c r="F234" s="264">
        <v>373302050.97057217</v>
      </c>
      <c r="G234" s="264">
        <v>369345049.23028415</v>
      </c>
      <c r="H234" s="264">
        <v>357747614.68445325</v>
      </c>
      <c r="I234" s="264">
        <v>318502701.35356873</v>
      </c>
      <c r="J234" s="264">
        <v>323821696.46617329</v>
      </c>
      <c r="K234" s="264">
        <v>336904093.0034067</v>
      </c>
      <c r="L234" s="264">
        <v>350515018.36074436</v>
      </c>
      <c r="M234" s="264">
        <v>364675825.10251844</v>
      </c>
      <c r="N234" s="264">
        <v>379408728.43666023</v>
      </c>
      <c r="O234" s="320">
        <v>394736841.06550133</v>
      </c>
      <c r="P234" s="324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/>
      <c r="AT234" s="153"/>
      <c r="AU234" s="153"/>
      <c r="AV234" s="153"/>
      <c r="AW234" s="153"/>
      <c r="AX234" s="153"/>
      <c r="AY234" s="153"/>
      <c r="AZ234" s="153"/>
      <c r="BA234" s="153"/>
      <c r="BB234" s="153"/>
      <c r="BC234" s="153"/>
      <c r="BD234" s="153"/>
      <c r="BE234" s="153"/>
      <c r="BF234" s="153"/>
      <c r="BG234" s="153"/>
      <c r="BH234" s="153"/>
      <c r="BI234" s="153"/>
      <c r="BJ234" s="82"/>
      <c r="BK234" s="82"/>
      <c r="BL234" s="82"/>
      <c r="BM234" s="82"/>
      <c r="BN234" s="82"/>
      <c r="BO234" s="119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</row>
    <row r="235" spans="1:82">
      <c r="A235" s="279"/>
      <c r="B235" s="595" t="s">
        <v>252</v>
      </c>
      <c r="C235" s="596"/>
      <c r="D235" s="264">
        <v>75000000</v>
      </c>
      <c r="E235" s="264">
        <v>75000000</v>
      </c>
      <c r="F235" s="264">
        <v>75000000</v>
      </c>
      <c r="G235" s="264">
        <v>75000000</v>
      </c>
      <c r="H235" s="264">
        <v>75000000</v>
      </c>
      <c r="I235" s="264">
        <v>75000000</v>
      </c>
      <c r="J235" s="264">
        <v>100000000</v>
      </c>
      <c r="K235" s="264">
        <v>100000000</v>
      </c>
      <c r="L235" s="264">
        <v>100000000</v>
      </c>
      <c r="M235" s="264">
        <v>100000000</v>
      </c>
      <c r="N235" s="264">
        <v>100000000</v>
      </c>
      <c r="O235" s="264">
        <v>100000000</v>
      </c>
      <c r="P235" s="324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  <c r="AY235" s="153"/>
      <c r="AZ235" s="153"/>
      <c r="BA235" s="153"/>
      <c r="BB235" s="153"/>
      <c r="BC235" s="153"/>
      <c r="BD235" s="153"/>
      <c r="BE235" s="153"/>
      <c r="BF235" s="153"/>
      <c r="BG235" s="153"/>
      <c r="BH235" s="153"/>
      <c r="BI235" s="153"/>
      <c r="BJ235" s="82"/>
      <c r="BK235" s="82"/>
      <c r="BL235" s="82"/>
      <c r="BM235" s="82"/>
      <c r="BN235" s="82"/>
      <c r="BO235" s="119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</row>
    <row r="236" spans="1:82">
      <c r="A236" s="279"/>
      <c r="B236" s="587" t="s">
        <v>244</v>
      </c>
      <c r="C236" s="587"/>
      <c r="D236" s="264">
        <v>2641541512.5872254</v>
      </c>
      <c r="E236" s="264">
        <v>2737165315.3428831</v>
      </c>
      <c r="F236" s="264">
        <v>2842272463.4520497</v>
      </c>
      <c r="G236" s="264">
        <v>2812144375.3394585</v>
      </c>
      <c r="H236" s="264">
        <v>2723843041.9537992</v>
      </c>
      <c r="I236" s="264">
        <v>2425037460.2514677</v>
      </c>
      <c r="J236" s="264">
        <v>2465535585.837667</v>
      </c>
      <c r="K236" s="264">
        <v>2565143223.5055089</v>
      </c>
      <c r="L236" s="264">
        <v>2667748952.4457293</v>
      </c>
      <c r="M236" s="264">
        <v>2694426441.9701867</v>
      </c>
      <c r="N236" s="264">
        <v>2694426441.9701867</v>
      </c>
      <c r="O236" s="264">
        <v>2694426441.9701867</v>
      </c>
      <c r="P236" s="324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  <c r="AG236" s="153"/>
      <c r="AH236" s="153"/>
      <c r="AI236" s="153"/>
      <c r="AJ236" s="153"/>
      <c r="AK236" s="153"/>
      <c r="AL236" s="153"/>
      <c r="AM236" s="153"/>
      <c r="AN236" s="153"/>
      <c r="AO236" s="153"/>
      <c r="AP236" s="153"/>
      <c r="AQ236" s="153"/>
      <c r="AR236" s="153"/>
      <c r="AS236" s="153"/>
      <c r="AT236" s="153"/>
      <c r="AU236" s="153"/>
      <c r="AV236" s="153"/>
      <c r="AW236" s="153"/>
      <c r="AX236" s="153"/>
      <c r="AY236" s="153"/>
      <c r="AZ236" s="153"/>
      <c r="BA236" s="153"/>
      <c r="BB236" s="153"/>
      <c r="BC236" s="153"/>
      <c r="BD236" s="153"/>
      <c r="BE236" s="153"/>
      <c r="BF236" s="153"/>
      <c r="BG236" s="153"/>
      <c r="BH236" s="153"/>
      <c r="BI236" s="153"/>
      <c r="BJ236" s="82"/>
      <c r="BK236" s="82"/>
      <c r="BL236" s="82"/>
      <c r="BM236" s="82"/>
      <c r="BN236" s="82"/>
      <c r="BO236" s="119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</row>
    <row r="237" spans="1:82">
      <c r="A237" s="279"/>
      <c r="B237" s="587" t="s">
        <v>245</v>
      </c>
      <c r="C237" s="587"/>
      <c r="D237" s="264">
        <v>371512103.61035711</v>
      </c>
      <c r="E237" s="264">
        <v>384960841.76105207</v>
      </c>
      <c r="F237" s="264">
        <v>399743338.08467644</v>
      </c>
      <c r="G237" s="264">
        <v>395506058.70097893</v>
      </c>
      <c r="H237" s="264">
        <v>383087168.4577682</v>
      </c>
      <c r="I237" s="264">
        <v>341062506.07795101</v>
      </c>
      <c r="J237" s="264">
        <v>346758249.92945278</v>
      </c>
      <c r="K237" s="264">
        <v>360767283.22660267</v>
      </c>
      <c r="L237" s="264">
        <v>375197974.5556668</v>
      </c>
      <c r="M237" s="264">
        <v>378949954.30122346</v>
      </c>
      <c r="N237" s="264">
        <v>378949954.30122346</v>
      </c>
      <c r="O237" s="264">
        <v>378949954.30122346</v>
      </c>
      <c r="P237" s="324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  <c r="AG237" s="153"/>
      <c r="AH237" s="153"/>
      <c r="AI237" s="153"/>
      <c r="AJ237" s="153"/>
      <c r="AK237" s="153"/>
      <c r="AL237" s="153"/>
      <c r="AM237" s="153"/>
      <c r="AN237" s="153"/>
      <c r="AO237" s="153"/>
      <c r="AP237" s="153"/>
      <c r="AQ237" s="153"/>
      <c r="AR237" s="153"/>
      <c r="AS237" s="153"/>
      <c r="AT237" s="153"/>
      <c r="AU237" s="153"/>
      <c r="AV237" s="153"/>
      <c r="AW237" s="153"/>
      <c r="AX237" s="153"/>
      <c r="AY237" s="153"/>
      <c r="AZ237" s="153"/>
      <c r="BA237" s="153"/>
      <c r="BB237" s="153"/>
      <c r="BC237" s="153"/>
      <c r="BD237" s="153"/>
      <c r="BE237" s="153"/>
      <c r="BF237" s="153"/>
      <c r="BG237" s="153"/>
      <c r="BH237" s="153"/>
      <c r="BI237" s="153"/>
      <c r="BJ237" s="82"/>
      <c r="BK237" s="82"/>
      <c r="BL237" s="82"/>
      <c r="BM237" s="82"/>
      <c r="BN237" s="82"/>
      <c r="BO237" s="119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</row>
    <row r="238" spans="1:82">
      <c r="A238" s="279"/>
      <c r="B238" s="587" t="s">
        <v>219</v>
      </c>
      <c r="C238" s="587"/>
      <c r="D238" s="264">
        <v>267153149.48863053</v>
      </c>
      <c r="E238" s="264">
        <v>275167743.97328943</v>
      </c>
      <c r="F238" s="264">
        <v>285128816.30512249</v>
      </c>
      <c r="G238" s="264">
        <v>296077762.85123914</v>
      </c>
      <c r="H238" s="264">
        <v>292939338.56501603</v>
      </c>
      <c r="I238" s="264">
        <v>283741043.3340745</v>
      </c>
      <c r="J238" s="264">
        <v>252614650.88032654</v>
      </c>
      <c r="K238" s="264">
        <v>256833315.55002797</v>
      </c>
      <c r="L238" s="264">
        <v>267209381.49824911</v>
      </c>
      <c r="M238" s="264">
        <v>277897756.75817907</v>
      </c>
      <c r="N238" s="264">
        <v>280676734.32576084</v>
      </c>
      <c r="O238" s="264">
        <v>280676734.32576084</v>
      </c>
      <c r="P238" s="324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  <c r="AG238" s="153"/>
      <c r="AH238" s="153"/>
      <c r="AI238" s="153"/>
      <c r="AJ238" s="153"/>
      <c r="AK238" s="153"/>
      <c r="AL238" s="153"/>
      <c r="AM238" s="153"/>
      <c r="AN238" s="153"/>
      <c r="AO238" s="153"/>
      <c r="AP238" s="153"/>
      <c r="AQ238" s="153"/>
      <c r="AR238" s="153"/>
      <c r="AS238" s="153"/>
      <c r="AT238" s="153"/>
      <c r="AU238" s="153"/>
      <c r="AV238" s="153"/>
      <c r="AW238" s="153"/>
      <c r="AX238" s="153"/>
      <c r="AY238" s="153"/>
      <c r="AZ238" s="153"/>
      <c r="BA238" s="153"/>
      <c r="BB238" s="153"/>
      <c r="BC238" s="153"/>
      <c r="BD238" s="153"/>
      <c r="BE238" s="153"/>
      <c r="BF238" s="153"/>
      <c r="BG238" s="153"/>
      <c r="BH238" s="153"/>
      <c r="BI238" s="153"/>
      <c r="BJ238" s="82"/>
      <c r="BK238" s="82"/>
      <c r="BL238" s="82"/>
      <c r="BM238" s="82"/>
      <c r="BN238" s="82"/>
      <c r="BO238" s="119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</row>
    <row r="239" spans="1:82">
      <c r="A239" s="279"/>
      <c r="B239" s="279"/>
      <c r="C239" s="279"/>
      <c r="D239" s="324"/>
      <c r="E239" s="324"/>
      <c r="F239" s="324"/>
      <c r="G239" s="324"/>
      <c r="H239" s="324"/>
      <c r="I239" s="324"/>
      <c r="J239" s="324"/>
      <c r="K239" s="324"/>
      <c r="L239" s="324"/>
      <c r="M239" s="324"/>
      <c r="N239" s="324"/>
      <c r="O239" s="324"/>
      <c r="P239" s="324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  <c r="AG239" s="153"/>
      <c r="AH239" s="153"/>
      <c r="AI239" s="153"/>
      <c r="AJ239" s="153"/>
      <c r="AK239" s="153"/>
      <c r="AL239" s="153"/>
      <c r="AM239" s="153"/>
      <c r="AN239" s="153"/>
      <c r="AO239" s="153"/>
      <c r="AP239" s="153"/>
      <c r="AQ239" s="153"/>
      <c r="AR239" s="153"/>
      <c r="AS239" s="153"/>
      <c r="AT239" s="153"/>
      <c r="AU239" s="153"/>
      <c r="AV239" s="153"/>
      <c r="AW239" s="153"/>
      <c r="AX239" s="153"/>
      <c r="AY239" s="153"/>
      <c r="AZ239" s="153"/>
      <c r="BA239" s="153"/>
      <c r="BB239" s="153"/>
      <c r="BC239" s="153"/>
      <c r="BD239" s="153"/>
      <c r="BE239" s="153"/>
      <c r="BF239" s="153"/>
      <c r="BG239" s="153"/>
      <c r="BH239" s="153"/>
      <c r="BI239" s="153"/>
      <c r="BJ239" s="82"/>
      <c r="BK239" s="82"/>
      <c r="BL239" s="82"/>
      <c r="BM239" s="82"/>
      <c r="BN239" s="82"/>
      <c r="BO239" s="119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</row>
    <row r="240" spans="1:82">
      <c r="A240" s="279"/>
      <c r="B240" s="279"/>
      <c r="C240" s="279"/>
      <c r="D240" s="324"/>
      <c r="E240" s="324"/>
      <c r="F240" s="324"/>
      <c r="G240" s="324"/>
      <c r="H240" s="324"/>
      <c r="I240" s="324"/>
      <c r="J240" s="324"/>
      <c r="K240" s="324"/>
      <c r="L240" s="324"/>
      <c r="M240" s="324"/>
      <c r="N240" s="324"/>
      <c r="O240" s="324"/>
      <c r="P240" s="324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  <c r="AG240" s="153"/>
      <c r="AH240" s="153"/>
      <c r="AI240" s="153"/>
      <c r="AJ240" s="153"/>
      <c r="AK240" s="153"/>
      <c r="AL240" s="153"/>
      <c r="AM240" s="153"/>
      <c r="AN240" s="153"/>
      <c r="AO240" s="153"/>
      <c r="AP240" s="153"/>
      <c r="AQ240" s="153"/>
      <c r="AR240" s="153"/>
      <c r="AS240" s="153"/>
      <c r="AT240" s="153"/>
      <c r="AU240" s="153"/>
      <c r="AV240" s="153"/>
      <c r="AW240" s="153"/>
      <c r="AX240" s="153"/>
      <c r="AY240" s="153"/>
      <c r="AZ240" s="153"/>
      <c r="BA240" s="153"/>
      <c r="BB240" s="153"/>
      <c r="BC240" s="153"/>
      <c r="BD240" s="153"/>
      <c r="BE240" s="153"/>
      <c r="BF240" s="153"/>
      <c r="BG240" s="153"/>
      <c r="BH240" s="153"/>
      <c r="BI240" s="153"/>
      <c r="BJ240" s="82"/>
      <c r="BK240" s="82"/>
      <c r="BL240" s="82"/>
      <c r="BM240" s="82"/>
      <c r="BN240" s="82"/>
      <c r="BO240" s="119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</row>
    <row r="241" spans="1:82">
      <c r="A241" s="279"/>
      <c r="B241" s="279"/>
      <c r="C241" s="279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  <c r="AG241" s="153"/>
      <c r="AH241" s="153"/>
      <c r="AI241" s="153"/>
      <c r="AJ241" s="153"/>
      <c r="AK241" s="153"/>
      <c r="AL241" s="153"/>
      <c r="AM241" s="153"/>
      <c r="AN241" s="153"/>
      <c r="AO241" s="153"/>
      <c r="AP241" s="153"/>
      <c r="AQ241" s="153"/>
      <c r="AR241" s="153"/>
      <c r="AS241" s="153"/>
      <c r="AT241" s="153"/>
      <c r="AU241" s="153"/>
      <c r="AV241" s="153"/>
      <c r="AW241" s="153"/>
      <c r="AX241" s="153"/>
      <c r="AY241" s="153"/>
      <c r="AZ241" s="153"/>
      <c r="BA241" s="153"/>
      <c r="BB241" s="153"/>
      <c r="BC241" s="153"/>
      <c r="BD241" s="153"/>
      <c r="BE241" s="153"/>
      <c r="BF241" s="153"/>
      <c r="BG241" s="153"/>
      <c r="BH241" s="153"/>
      <c r="BI241" s="153"/>
      <c r="BJ241" s="82"/>
      <c r="BK241" s="82"/>
      <c r="BL241" s="82"/>
      <c r="BM241" s="82"/>
      <c r="BN241" s="82"/>
      <c r="BO241" s="119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</row>
    <row r="242" spans="1:82">
      <c r="A242" s="279"/>
      <c r="B242" s="279"/>
      <c r="C242" s="279"/>
      <c r="D242" s="324"/>
      <c r="E242" s="324"/>
      <c r="F242" s="324"/>
      <c r="G242" s="324"/>
      <c r="H242" s="324"/>
      <c r="I242" s="324"/>
      <c r="J242" s="324"/>
      <c r="K242" s="324"/>
      <c r="L242" s="324"/>
      <c r="M242" s="324"/>
      <c r="N242" s="324"/>
      <c r="O242" s="324"/>
      <c r="P242" s="324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3"/>
      <c r="BD242" s="153"/>
      <c r="BE242" s="153"/>
      <c r="BF242" s="153"/>
      <c r="BG242" s="153"/>
      <c r="BH242" s="153"/>
      <c r="BI242" s="153"/>
      <c r="BJ242" s="82"/>
      <c r="BK242" s="82"/>
      <c r="BL242" s="82"/>
      <c r="BM242" s="82"/>
      <c r="BN242" s="82"/>
      <c r="BO242" s="119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</row>
    <row r="243" spans="1:82">
      <c r="A243" s="279"/>
      <c r="B243" s="279"/>
      <c r="C243" s="279"/>
      <c r="D243" s="324"/>
      <c r="E243" s="324"/>
      <c r="F243" s="324"/>
      <c r="G243" s="324"/>
      <c r="H243" s="324"/>
      <c r="I243" s="324"/>
      <c r="J243" s="324"/>
      <c r="K243" s="324"/>
      <c r="L243" s="324"/>
      <c r="M243" s="324"/>
      <c r="N243" s="324"/>
      <c r="O243" s="324"/>
      <c r="P243" s="324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  <c r="AO243" s="153"/>
      <c r="AP243" s="153"/>
      <c r="AQ243" s="153"/>
      <c r="AR243" s="153"/>
      <c r="AS243" s="153"/>
      <c r="AT243" s="153"/>
      <c r="AU243" s="153"/>
      <c r="AV243" s="153"/>
      <c r="AW243" s="153"/>
      <c r="AX243" s="153"/>
      <c r="AY243" s="153"/>
      <c r="AZ243" s="153"/>
      <c r="BA243" s="153"/>
      <c r="BB243" s="153"/>
      <c r="BC243" s="153"/>
      <c r="BD243" s="153"/>
      <c r="BE243" s="153"/>
      <c r="BF243" s="153"/>
      <c r="BG243" s="153"/>
      <c r="BH243" s="153"/>
      <c r="BI243" s="153"/>
      <c r="BJ243" s="82"/>
      <c r="BK243" s="82"/>
      <c r="BL243" s="82"/>
      <c r="BM243" s="82"/>
      <c r="BN243" s="82"/>
      <c r="BO243" s="119"/>
      <c r="BP243" s="82"/>
      <c r="BQ243" s="82"/>
      <c r="BR243" s="82"/>
      <c r="BS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</row>
    <row r="244" spans="1:82">
      <c r="A244" s="279"/>
      <c r="B244" s="279"/>
      <c r="C244" s="279"/>
      <c r="D244" s="324"/>
      <c r="E244" s="324"/>
      <c r="F244" s="324"/>
      <c r="G244" s="324"/>
      <c r="H244" s="324"/>
      <c r="I244" s="324"/>
      <c r="J244" s="324"/>
      <c r="K244" s="324"/>
      <c r="L244" s="324"/>
      <c r="M244" s="324"/>
      <c r="N244" s="324"/>
      <c r="O244" s="324"/>
      <c r="P244" s="324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  <c r="AO244" s="153"/>
      <c r="AP244" s="153"/>
      <c r="AQ244" s="153"/>
      <c r="AR244" s="153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3"/>
      <c r="BD244" s="153"/>
      <c r="BE244" s="153"/>
      <c r="BF244" s="153"/>
      <c r="BG244" s="153"/>
      <c r="BH244" s="153"/>
      <c r="BI244" s="153"/>
      <c r="BJ244" s="82"/>
      <c r="BK244" s="82"/>
      <c r="BL244" s="82"/>
      <c r="BM244" s="82"/>
      <c r="BN244" s="82"/>
      <c r="BO244" s="119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</row>
    <row r="245" spans="1:82">
      <c r="A245" s="279"/>
      <c r="B245" s="279"/>
      <c r="C245" s="279"/>
      <c r="D245" s="324"/>
      <c r="E245" s="324"/>
      <c r="F245" s="324"/>
      <c r="G245" s="324"/>
      <c r="H245" s="324"/>
      <c r="I245" s="324"/>
      <c r="J245" s="324"/>
      <c r="K245" s="324"/>
      <c r="L245" s="324"/>
      <c r="M245" s="324"/>
      <c r="N245" s="324"/>
      <c r="O245" s="324"/>
      <c r="P245" s="324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  <c r="AO245" s="153"/>
      <c r="AP245" s="153"/>
      <c r="AQ245" s="153"/>
      <c r="AR245" s="153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3"/>
      <c r="BD245" s="153"/>
      <c r="BE245" s="153"/>
      <c r="BF245" s="153"/>
      <c r="BG245" s="153"/>
      <c r="BH245" s="153"/>
      <c r="BI245" s="153"/>
      <c r="BJ245" s="82"/>
      <c r="BK245" s="82"/>
      <c r="BL245" s="82"/>
      <c r="BM245" s="82"/>
      <c r="BN245" s="82"/>
      <c r="BO245" s="119"/>
      <c r="BP245" s="82"/>
      <c r="BQ245" s="82"/>
      <c r="BR245" s="82"/>
      <c r="BS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</row>
    <row r="246" spans="1:82">
      <c r="A246" s="279"/>
      <c r="B246" s="279"/>
      <c r="C246" s="279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  <c r="AK246" s="153"/>
      <c r="AL246" s="153"/>
      <c r="AM246" s="153"/>
      <c r="AN246" s="153"/>
      <c r="AO246" s="153"/>
      <c r="AP246" s="153"/>
      <c r="AQ246" s="153"/>
      <c r="AR246" s="153"/>
      <c r="AS246" s="153"/>
      <c r="AT246" s="153"/>
      <c r="AU246" s="153"/>
      <c r="AV246" s="153"/>
      <c r="AW246" s="153"/>
      <c r="AX246" s="153"/>
      <c r="AY246" s="153"/>
      <c r="AZ246" s="153"/>
      <c r="BA246" s="153"/>
      <c r="BB246" s="153"/>
      <c r="BC246" s="153"/>
      <c r="BD246" s="153"/>
      <c r="BE246" s="153"/>
      <c r="BF246" s="153"/>
      <c r="BG246" s="153"/>
      <c r="BH246" s="153"/>
      <c r="BI246" s="153"/>
      <c r="BJ246" s="82"/>
      <c r="BK246" s="82"/>
      <c r="BL246" s="82"/>
      <c r="BM246" s="82"/>
      <c r="BN246" s="82"/>
      <c r="BO246" s="119"/>
      <c r="BP246" s="82"/>
      <c r="BQ246" s="82"/>
      <c r="BR246" s="82"/>
      <c r="BS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</row>
    <row r="247" spans="1:82">
      <c r="A247" s="279"/>
      <c r="B247" s="279"/>
      <c r="C247" s="279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  <c r="AO247" s="153"/>
      <c r="AP247" s="153"/>
      <c r="AQ247" s="153"/>
      <c r="AR247" s="153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3"/>
      <c r="BD247" s="153"/>
      <c r="BE247" s="153"/>
      <c r="BF247" s="153"/>
      <c r="BG247" s="153"/>
      <c r="BH247" s="153"/>
      <c r="BI247" s="153"/>
      <c r="BJ247" s="82"/>
      <c r="BK247" s="82"/>
      <c r="BL247" s="82"/>
      <c r="BM247" s="82"/>
      <c r="BN247" s="82"/>
      <c r="BO247" s="119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</row>
    <row r="248" spans="1:82">
      <c r="A248" s="279"/>
      <c r="B248" s="279"/>
      <c r="C248" s="279"/>
      <c r="D248" s="324"/>
      <c r="E248" s="324"/>
      <c r="F248" s="324"/>
      <c r="G248" s="324"/>
      <c r="H248" s="324"/>
      <c r="I248" s="324"/>
      <c r="J248" s="324"/>
      <c r="K248" s="324"/>
      <c r="L248" s="324"/>
      <c r="M248" s="324"/>
      <c r="N248" s="324"/>
      <c r="O248" s="324"/>
      <c r="P248" s="324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  <c r="AK248" s="153"/>
      <c r="AL248" s="153"/>
      <c r="AM248" s="153"/>
      <c r="AN248" s="153"/>
      <c r="AO248" s="153"/>
      <c r="AP248" s="153"/>
      <c r="AQ248" s="153"/>
      <c r="AR248" s="153"/>
      <c r="AS248" s="153"/>
      <c r="AT248" s="153"/>
      <c r="AU248" s="153"/>
      <c r="AV248" s="153"/>
      <c r="AW248" s="153"/>
      <c r="AX248" s="153"/>
      <c r="AY248" s="153"/>
      <c r="AZ248" s="153"/>
      <c r="BA248" s="153"/>
      <c r="BB248" s="153"/>
      <c r="BC248" s="153"/>
      <c r="BD248" s="153"/>
      <c r="BE248" s="153"/>
      <c r="BF248" s="153"/>
      <c r="BG248" s="153"/>
      <c r="BH248" s="153"/>
      <c r="BI248" s="153"/>
      <c r="BJ248" s="82"/>
      <c r="BK248" s="82"/>
      <c r="BL248" s="82"/>
      <c r="BM248" s="82"/>
      <c r="BN248" s="82"/>
      <c r="BO248" s="119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</row>
    <row r="249" spans="1:82">
      <c r="A249" s="279"/>
      <c r="B249" s="279"/>
      <c r="C249" s="279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  <c r="AK249" s="153"/>
      <c r="AL249" s="153"/>
      <c r="AM249" s="153"/>
      <c r="AN249" s="153"/>
      <c r="AO249" s="153"/>
      <c r="AP249" s="153"/>
      <c r="AQ249" s="153"/>
      <c r="AR249" s="153"/>
      <c r="AS249" s="153"/>
      <c r="AT249" s="153"/>
      <c r="AU249" s="153"/>
      <c r="AV249" s="153"/>
      <c r="AW249" s="153"/>
      <c r="AX249" s="153"/>
      <c r="AY249" s="153"/>
      <c r="AZ249" s="153"/>
      <c r="BA249" s="153"/>
      <c r="BB249" s="153"/>
      <c r="BC249" s="153"/>
      <c r="BD249" s="153"/>
      <c r="BE249" s="153"/>
      <c r="BF249" s="153"/>
      <c r="BG249" s="153"/>
      <c r="BH249" s="153"/>
      <c r="BI249" s="153"/>
      <c r="BJ249" s="82"/>
      <c r="BK249" s="82"/>
      <c r="BL249" s="82"/>
      <c r="BM249" s="82"/>
      <c r="BN249" s="82"/>
      <c r="BO249" s="119"/>
      <c r="BP249" s="82"/>
      <c r="BQ249" s="82"/>
      <c r="BR249" s="82"/>
      <c r="BS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</row>
    <row r="250" spans="1:82">
      <c r="A250" s="279"/>
      <c r="B250" s="279"/>
      <c r="C250" s="279"/>
      <c r="D250" s="324"/>
      <c r="E250" s="324"/>
      <c r="F250" s="324"/>
      <c r="G250" s="324"/>
      <c r="H250" s="324"/>
      <c r="I250" s="324"/>
      <c r="J250" s="324"/>
      <c r="K250" s="324"/>
      <c r="L250" s="324"/>
      <c r="M250" s="324"/>
      <c r="N250" s="324"/>
      <c r="O250" s="324"/>
      <c r="P250" s="324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  <c r="AO250" s="153"/>
      <c r="AP250" s="153"/>
      <c r="AQ250" s="153"/>
      <c r="AR250" s="153"/>
      <c r="AS250" s="153"/>
      <c r="AT250" s="153"/>
      <c r="AU250" s="153"/>
      <c r="AV250" s="153"/>
      <c r="AW250" s="153"/>
      <c r="AX250" s="153"/>
      <c r="AY250" s="153"/>
      <c r="AZ250" s="153"/>
      <c r="BA250" s="153"/>
      <c r="BB250" s="153"/>
      <c r="BC250" s="153"/>
      <c r="BD250" s="153"/>
      <c r="BE250" s="153"/>
      <c r="BF250" s="153"/>
      <c r="BG250" s="153"/>
      <c r="BH250" s="153"/>
      <c r="BI250" s="153"/>
      <c r="BJ250" s="82"/>
      <c r="BK250" s="82"/>
      <c r="BL250" s="82"/>
      <c r="BM250" s="82"/>
      <c r="BN250" s="82"/>
      <c r="BO250" s="119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</row>
    <row r="251" spans="1:82">
      <c r="A251" s="279"/>
      <c r="B251" s="279"/>
      <c r="C251" s="279"/>
      <c r="D251" s="324"/>
      <c r="E251" s="324"/>
      <c r="F251" s="324"/>
      <c r="G251" s="324"/>
      <c r="H251" s="324"/>
      <c r="I251" s="324"/>
      <c r="J251" s="324"/>
      <c r="K251" s="324"/>
      <c r="L251" s="324"/>
      <c r="M251" s="324"/>
      <c r="N251" s="324"/>
      <c r="O251" s="324"/>
      <c r="P251" s="324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  <c r="AO251" s="153"/>
      <c r="AP251" s="153"/>
      <c r="AQ251" s="153"/>
      <c r="AR251" s="153"/>
      <c r="AS251" s="153"/>
      <c r="AT251" s="153"/>
      <c r="AU251" s="153"/>
      <c r="AV251" s="153"/>
      <c r="AW251" s="153"/>
      <c r="AX251" s="153"/>
      <c r="AY251" s="153"/>
      <c r="AZ251" s="153"/>
      <c r="BA251" s="153"/>
      <c r="BB251" s="153"/>
      <c r="BC251" s="153"/>
      <c r="BD251" s="153"/>
      <c r="BE251" s="153"/>
      <c r="BF251" s="153"/>
      <c r="BG251" s="153"/>
      <c r="BH251" s="153"/>
      <c r="BI251" s="153"/>
      <c r="BJ251" s="82"/>
      <c r="BK251" s="82"/>
      <c r="BL251" s="82"/>
      <c r="BM251" s="82"/>
      <c r="BN251" s="82"/>
      <c r="BO251" s="119"/>
      <c r="BP251" s="82"/>
      <c r="BQ251" s="82"/>
      <c r="BR251" s="82"/>
      <c r="BS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</row>
    <row r="252" spans="1:82">
      <c r="A252" s="279"/>
      <c r="B252" s="279"/>
      <c r="C252" s="279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  <c r="AG252" s="153"/>
      <c r="AH252" s="153"/>
      <c r="AI252" s="153"/>
      <c r="AJ252" s="153"/>
      <c r="AK252" s="153"/>
      <c r="AL252" s="153"/>
      <c r="AM252" s="153"/>
      <c r="AN252" s="153"/>
      <c r="AO252" s="153"/>
      <c r="AP252" s="153"/>
      <c r="AQ252" s="153"/>
      <c r="AR252" s="153"/>
      <c r="AS252" s="153"/>
      <c r="AT252" s="153"/>
      <c r="AU252" s="153"/>
      <c r="AV252" s="153"/>
      <c r="AW252" s="153"/>
      <c r="AX252" s="153"/>
      <c r="AY252" s="153"/>
      <c r="AZ252" s="153"/>
      <c r="BA252" s="153"/>
      <c r="BB252" s="153"/>
      <c r="BC252" s="153"/>
      <c r="BD252" s="153"/>
      <c r="BE252" s="153"/>
      <c r="BF252" s="153"/>
      <c r="BG252" s="153"/>
      <c r="BH252" s="153"/>
      <c r="BI252" s="153"/>
      <c r="BJ252" s="82"/>
      <c r="BK252" s="82"/>
      <c r="BL252" s="82"/>
      <c r="BM252" s="82"/>
      <c r="BN252" s="82"/>
      <c r="BO252" s="119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</row>
    <row r="253" spans="1:82">
      <c r="A253" s="279"/>
      <c r="B253" s="279"/>
      <c r="C253" s="279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>
        <v>6000000000</v>
      </c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  <c r="AG253" s="153"/>
      <c r="AH253" s="153"/>
      <c r="AI253" s="153"/>
      <c r="AJ253" s="153"/>
      <c r="AK253" s="153"/>
      <c r="AL253" s="153"/>
      <c r="AM253" s="153"/>
      <c r="AN253" s="153"/>
      <c r="AO253" s="153"/>
      <c r="AP253" s="153"/>
      <c r="AQ253" s="153"/>
      <c r="AR253" s="153"/>
      <c r="AS253" s="153"/>
      <c r="AT253" s="153"/>
      <c r="AU253" s="153"/>
      <c r="AV253" s="153"/>
      <c r="AW253" s="153"/>
      <c r="AX253" s="153"/>
      <c r="AY253" s="153"/>
      <c r="AZ253" s="153"/>
      <c r="BA253" s="153"/>
      <c r="BB253" s="153"/>
      <c r="BC253" s="153"/>
      <c r="BD253" s="153"/>
      <c r="BE253" s="153"/>
      <c r="BF253" s="153"/>
      <c r="BG253" s="153"/>
      <c r="BH253" s="153"/>
      <c r="BI253" s="153"/>
      <c r="BJ253" s="82"/>
      <c r="BK253" s="82"/>
      <c r="BL253" s="82"/>
      <c r="BM253" s="82"/>
      <c r="BN253" s="82">
        <f>P178+'CF 2017'!P197</f>
        <v>26028000000</v>
      </c>
      <c r="BO253" s="119"/>
      <c r="BP253" s="82"/>
      <c r="BQ253" s="82"/>
      <c r="BR253" s="82"/>
      <c r="BS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</row>
    <row r="254" spans="1:82">
      <c r="A254" s="279"/>
      <c r="B254" s="279"/>
      <c r="C254" s="279"/>
      <c r="D254" s="324"/>
      <c r="E254" s="324"/>
      <c r="F254" s="324"/>
      <c r="G254" s="324"/>
      <c r="H254" s="324"/>
      <c r="I254" s="324"/>
      <c r="J254" s="324"/>
      <c r="K254" s="324"/>
      <c r="L254" s="324"/>
      <c r="M254" s="324"/>
      <c r="N254" s="324"/>
      <c r="O254" s="324"/>
      <c r="P254" s="324">
        <v>1800000000</v>
      </c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  <c r="AG254" s="153"/>
      <c r="AH254" s="153"/>
      <c r="AI254" s="153"/>
      <c r="AJ254" s="153"/>
      <c r="AK254" s="153"/>
      <c r="AL254" s="153"/>
      <c r="AM254" s="153"/>
      <c r="AN254" s="153"/>
      <c r="AO254" s="153"/>
      <c r="AP254" s="153"/>
      <c r="AQ254" s="153"/>
      <c r="AR254" s="153"/>
      <c r="AS254" s="153"/>
      <c r="AT254" s="153"/>
      <c r="AU254" s="153"/>
      <c r="AV254" s="153"/>
      <c r="AW254" s="153"/>
      <c r="AX254" s="153"/>
      <c r="AY254" s="153"/>
      <c r="AZ254" s="153"/>
      <c r="BA254" s="153"/>
      <c r="BB254" s="153"/>
      <c r="BC254" s="153"/>
      <c r="BD254" s="153"/>
      <c r="BE254" s="153"/>
      <c r="BF254" s="153"/>
      <c r="BG254" s="153"/>
      <c r="BH254" s="153"/>
      <c r="BI254" s="153"/>
      <c r="BJ254" s="82"/>
      <c r="BK254" s="82"/>
      <c r="BL254" s="82"/>
      <c r="BM254" s="82"/>
      <c r="BN254" s="82"/>
      <c r="BO254" s="119"/>
      <c r="BP254" s="82"/>
      <c r="BQ254" s="82"/>
      <c r="BR254" s="82"/>
      <c r="BS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</row>
    <row r="255" spans="1:82">
      <c r="A255" s="279"/>
      <c r="B255" s="279"/>
      <c r="C255" s="279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 t="e">
        <f>SUM(P181:P254)</f>
        <v>#VALUE!</v>
      </c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  <c r="AG255" s="153"/>
      <c r="AH255" s="153"/>
      <c r="AI255" s="153"/>
      <c r="AJ255" s="153"/>
      <c r="AK255" s="153"/>
      <c r="AL255" s="153"/>
      <c r="AM255" s="153"/>
      <c r="AN255" s="153"/>
      <c r="AO255" s="153"/>
      <c r="AP255" s="153"/>
      <c r="AQ255" s="153"/>
      <c r="AR255" s="153"/>
      <c r="AS255" s="153"/>
      <c r="AT255" s="153"/>
      <c r="AU255" s="153"/>
      <c r="AV255" s="153"/>
      <c r="AW255" s="153"/>
      <c r="AX255" s="153"/>
      <c r="AY255" s="153"/>
      <c r="AZ255" s="153"/>
      <c r="BA255" s="153"/>
      <c r="BB255" s="153"/>
      <c r="BC255" s="153"/>
      <c r="BD255" s="153"/>
      <c r="BE255" s="153"/>
      <c r="BF255" s="153"/>
      <c r="BG255" s="153"/>
      <c r="BH255" s="153"/>
      <c r="BI255" s="153"/>
      <c r="BJ255" s="82"/>
      <c r="BK255" s="82"/>
      <c r="BL255" s="82"/>
      <c r="BM255" s="82"/>
      <c r="BN255" s="82"/>
      <c r="BO255" s="119"/>
      <c r="BP255" s="82"/>
      <c r="BQ255" s="82"/>
      <c r="BR255" s="82"/>
      <c r="BS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</row>
    <row r="256" spans="1:82">
      <c r="A256" s="279"/>
      <c r="B256" s="279"/>
      <c r="C256" s="279"/>
      <c r="D256" s="324"/>
      <c r="E256" s="324"/>
      <c r="F256" s="324"/>
      <c r="G256" s="324"/>
      <c r="H256" s="324"/>
      <c r="I256" s="324"/>
      <c r="J256" s="324"/>
      <c r="K256" s="324"/>
      <c r="L256" s="324"/>
      <c r="M256" s="324"/>
      <c r="N256" s="324"/>
      <c r="O256" s="324"/>
      <c r="P256" s="324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  <c r="AG256" s="153"/>
      <c r="AH256" s="153"/>
      <c r="AI256" s="153"/>
      <c r="AJ256" s="153"/>
      <c r="AK256" s="153"/>
      <c r="AL256" s="153"/>
      <c r="AM256" s="153"/>
      <c r="AN256" s="153"/>
      <c r="AO256" s="153"/>
      <c r="AP256" s="153"/>
      <c r="AQ256" s="153"/>
      <c r="AR256" s="153"/>
      <c r="AS256" s="153"/>
      <c r="AT256" s="153"/>
      <c r="AU256" s="153"/>
      <c r="AV256" s="153"/>
      <c r="AW256" s="153"/>
      <c r="AX256" s="153"/>
      <c r="AY256" s="153"/>
      <c r="AZ256" s="153"/>
      <c r="BA256" s="153"/>
      <c r="BB256" s="153"/>
      <c r="BC256" s="153"/>
      <c r="BD256" s="153"/>
      <c r="BE256" s="153"/>
      <c r="BF256" s="153"/>
      <c r="BG256" s="153"/>
      <c r="BH256" s="153"/>
      <c r="BI256" s="153"/>
      <c r="BJ256" s="82"/>
      <c r="BK256" s="82"/>
      <c r="BL256" s="82"/>
      <c r="BM256" s="82"/>
      <c r="BN256" s="82" t="e">
        <f>BN253-P255</f>
        <v>#VALUE!</v>
      </c>
      <c r="BO256" s="119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</row>
    <row r="257" spans="1:82">
      <c r="A257" s="279"/>
      <c r="B257" s="279"/>
      <c r="C257" s="279"/>
      <c r="D257" s="324"/>
      <c r="E257" s="324"/>
      <c r="F257" s="324"/>
      <c r="G257" s="324"/>
      <c r="H257" s="324"/>
      <c r="I257" s="324"/>
      <c r="J257" s="324"/>
      <c r="K257" s="324"/>
      <c r="L257" s="324"/>
      <c r="M257" s="324"/>
      <c r="N257" s="324"/>
      <c r="O257" s="324"/>
      <c r="P257" s="324">
        <v>11268000000</v>
      </c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  <c r="AO257" s="153"/>
      <c r="AP257" s="153"/>
      <c r="AQ257" s="153"/>
      <c r="AR257" s="153"/>
      <c r="AS257" s="153"/>
      <c r="AT257" s="153"/>
      <c r="AU257" s="153"/>
      <c r="AV257" s="153"/>
      <c r="AW257" s="153"/>
      <c r="AX257" s="153"/>
      <c r="AY257" s="153"/>
      <c r="AZ257" s="153"/>
      <c r="BA257" s="153"/>
      <c r="BB257" s="153"/>
      <c r="BC257" s="153"/>
      <c r="BD257" s="153"/>
      <c r="BE257" s="153"/>
      <c r="BF257" s="153"/>
      <c r="BG257" s="153"/>
      <c r="BH257" s="153"/>
      <c r="BI257" s="153"/>
      <c r="BJ257" s="82"/>
      <c r="BK257" s="82"/>
      <c r="BL257" s="82"/>
      <c r="BM257" s="82"/>
      <c r="BN257" s="82"/>
      <c r="BO257" s="119"/>
      <c r="BP257" s="82"/>
      <c r="BQ257" s="82"/>
      <c r="BR257" s="82"/>
      <c r="BS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</row>
    <row r="258" spans="1:82">
      <c r="A258" s="279"/>
      <c r="B258" s="279"/>
      <c r="C258" s="279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>
        <v>325000000</v>
      </c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  <c r="AO258" s="153"/>
      <c r="AP258" s="153"/>
      <c r="AQ258" s="153"/>
      <c r="AR258" s="153"/>
      <c r="AS258" s="153"/>
      <c r="AT258" s="153"/>
      <c r="AU258" s="153"/>
      <c r="AV258" s="153"/>
      <c r="AW258" s="153"/>
      <c r="AX258" s="153"/>
      <c r="AY258" s="153"/>
      <c r="AZ258" s="153"/>
      <c r="BA258" s="153"/>
      <c r="BB258" s="153"/>
      <c r="BC258" s="153"/>
      <c r="BD258" s="153"/>
      <c r="BE258" s="153"/>
      <c r="BF258" s="153"/>
      <c r="BG258" s="153"/>
      <c r="BH258" s="153"/>
      <c r="BI258" s="153"/>
      <c r="BJ258" s="82"/>
      <c r="BK258" s="82"/>
      <c r="BL258" s="82"/>
      <c r="BM258" s="82"/>
      <c r="BN258" s="82"/>
      <c r="BO258" s="119"/>
      <c r="BP258" s="82"/>
      <c r="BQ258" s="82"/>
      <c r="BR258" s="82"/>
      <c r="BS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</row>
    <row r="259" spans="1:82">
      <c r="A259" s="279"/>
      <c r="B259" s="279"/>
      <c r="C259" s="279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 t="e">
        <f>SUM(P255:P258)</f>
        <v>#VALUE!</v>
      </c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  <c r="AY259" s="153"/>
      <c r="AZ259" s="153"/>
      <c r="BA259" s="153"/>
      <c r="BB259" s="153"/>
      <c r="BC259" s="153"/>
      <c r="BD259" s="153"/>
      <c r="BE259" s="153"/>
      <c r="BF259" s="153"/>
      <c r="BG259" s="153"/>
      <c r="BH259" s="153"/>
      <c r="BI259" s="153"/>
      <c r="BJ259" s="82"/>
      <c r="BK259" s="82"/>
      <c r="BL259" s="82"/>
      <c r="BM259" s="82"/>
      <c r="BN259" s="82"/>
      <c r="BO259" s="119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</row>
    <row r="260" spans="1:82">
      <c r="A260" s="279"/>
      <c r="B260" s="279"/>
      <c r="C260" s="279"/>
      <c r="D260" s="324"/>
      <c r="E260" s="324"/>
      <c r="F260" s="324"/>
      <c r="G260" s="324"/>
      <c r="H260" s="324"/>
      <c r="I260" s="324"/>
      <c r="J260" s="324"/>
      <c r="K260" s="324"/>
      <c r="L260" s="324"/>
      <c r="M260" s="324"/>
      <c r="N260" s="324"/>
      <c r="O260" s="324"/>
      <c r="P260" s="324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  <c r="AG260" s="153"/>
      <c r="AH260" s="153"/>
      <c r="AI260" s="153"/>
      <c r="AJ260" s="153"/>
      <c r="AK260" s="153"/>
      <c r="AL260" s="153"/>
      <c r="AM260" s="153"/>
      <c r="AN260" s="153"/>
      <c r="AO260" s="153"/>
      <c r="AP260" s="153"/>
      <c r="AQ260" s="153"/>
      <c r="AR260" s="153"/>
      <c r="AS260" s="153"/>
      <c r="AT260" s="153"/>
      <c r="AU260" s="153"/>
      <c r="AV260" s="153"/>
      <c r="AW260" s="153"/>
      <c r="AX260" s="153"/>
      <c r="AY260" s="153"/>
      <c r="AZ260" s="153"/>
      <c r="BA260" s="153"/>
      <c r="BB260" s="153"/>
      <c r="BC260" s="153"/>
      <c r="BD260" s="153"/>
      <c r="BE260" s="153"/>
      <c r="BF260" s="153"/>
      <c r="BG260" s="153"/>
      <c r="BH260" s="153"/>
      <c r="BI260" s="153"/>
      <c r="BJ260" s="82"/>
      <c r="BK260" s="82"/>
      <c r="BL260" s="82"/>
      <c r="BM260" s="82"/>
      <c r="BN260" s="82"/>
      <c r="BO260" s="119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</row>
    <row r="261" spans="1:82">
      <c r="A261" s="279"/>
      <c r="B261" s="279"/>
      <c r="C261" s="279"/>
      <c r="D261" s="588" t="s">
        <v>3</v>
      </c>
      <c r="E261" s="589"/>
      <c r="F261" s="589"/>
      <c r="G261" s="589"/>
      <c r="H261" s="589"/>
      <c r="I261" s="589"/>
      <c r="J261" s="589"/>
      <c r="K261" s="589"/>
      <c r="L261" s="589"/>
      <c r="M261" s="589"/>
      <c r="N261" s="589"/>
      <c r="O261" s="613"/>
      <c r="P261" s="316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  <c r="AK261" s="162"/>
      <c r="AL261" s="162"/>
      <c r="AM261" s="162"/>
      <c r="AN261" s="162"/>
      <c r="AO261" s="162"/>
      <c r="AP261" s="162"/>
      <c r="AQ261" s="162"/>
      <c r="AR261" s="162"/>
      <c r="AS261" s="162"/>
      <c r="AT261" s="162"/>
      <c r="AU261" s="162"/>
      <c r="AV261" s="162"/>
      <c r="AW261" s="162"/>
      <c r="AX261" s="162"/>
      <c r="AY261" s="162"/>
      <c r="AZ261" s="162"/>
      <c r="BA261" s="162"/>
      <c r="BB261" s="162"/>
      <c r="BC261" s="162"/>
      <c r="BD261" s="162"/>
      <c r="BE261" s="162"/>
      <c r="BF261" s="162"/>
      <c r="BG261" s="162"/>
      <c r="BH261" s="162"/>
      <c r="BI261" s="162"/>
      <c r="BJ261" s="78"/>
      <c r="BK261" s="78"/>
      <c r="BL261" s="78"/>
      <c r="BM261" s="78"/>
      <c r="BN261" s="78"/>
      <c r="BO261" s="119"/>
      <c r="BP261" s="82"/>
      <c r="BQ261" s="82"/>
      <c r="BR261" s="82"/>
      <c r="BS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</row>
    <row r="262" spans="1:82">
      <c r="A262" s="279"/>
      <c r="B262" s="279"/>
      <c r="C262" s="279"/>
      <c r="D262" s="591" t="s">
        <v>126</v>
      </c>
      <c r="E262" s="592"/>
      <c r="F262" s="592"/>
      <c r="G262" s="592"/>
      <c r="H262" s="592"/>
      <c r="I262" s="592"/>
      <c r="J262" s="592"/>
      <c r="K262" s="592"/>
      <c r="L262" s="592"/>
      <c r="M262" s="592"/>
      <c r="N262" s="592"/>
      <c r="O262" s="614"/>
      <c r="P262" s="316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  <c r="AK262" s="162"/>
      <c r="AL262" s="162"/>
      <c r="AM262" s="162"/>
      <c r="AN262" s="162"/>
      <c r="AO262" s="162"/>
      <c r="AP262" s="162"/>
      <c r="AQ262" s="162"/>
      <c r="AR262" s="162"/>
      <c r="AS262" s="162"/>
      <c r="AT262" s="162"/>
      <c r="AU262" s="162"/>
      <c r="AV262" s="162"/>
      <c r="AW262" s="162"/>
      <c r="AX262" s="162"/>
      <c r="AY262" s="162"/>
      <c r="AZ262" s="162"/>
      <c r="BA262" s="162"/>
      <c r="BB262" s="162"/>
      <c r="BC262" s="162"/>
      <c r="BD262" s="162"/>
      <c r="BE262" s="162"/>
      <c r="BF262" s="162"/>
      <c r="BG262" s="162"/>
      <c r="BH262" s="162"/>
      <c r="BI262" s="162"/>
      <c r="BJ262" s="78"/>
      <c r="BK262" s="78"/>
      <c r="BL262" s="78"/>
      <c r="BM262" s="78"/>
      <c r="BN262" s="78"/>
      <c r="BO262" s="119"/>
      <c r="BP262" s="82"/>
      <c r="BQ262" s="82"/>
      <c r="BR262" s="82"/>
      <c r="BS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</row>
    <row r="263" spans="1:82">
      <c r="A263" s="279"/>
      <c r="B263" s="279"/>
      <c r="C263" s="279"/>
      <c r="D263" s="591" t="s">
        <v>126</v>
      </c>
      <c r="E263" s="592"/>
      <c r="F263" s="592"/>
      <c r="G263" s="592"/>
      <c r="H263" s="592"/>
      <c r="I263" s="592"/>
      <c r="J263" s="592"/>
      <c r="K263" s="592"/>
      <c r="L263" s="592"/>
      <c r="M263" s="592"/>
      <c r="N263" s="592"/>
      <c r="O263" s="592"/>
      <c r="P263" s="282"/>
      <c r="Q263" s="163"/>
      <c r="R263" s="163"/>
      <c r="S263" s="163"/>
      <c r="T263" s="163"/>
      <c r="U263" s="163"/>
      <c r="V263" s="163"/>
      <c r="W263" s="163"/>
      <c r="X263" s="163"/>
      <c r="Y263" s="163"/>
      <c r="Z263" s="163"/>
      <c r="AA263" s="163"/>
      <c r="AB263" s="163"/>
      <c r="AC263" s="163"/>
      <c r="AD263" s="163"/>
      <c r="AE263" s="163"/>
      <c r="AF263" s="163"/>
      <c r="AG263" s="163"/>
      <c r="AH263" s="163"/>
      <c r="AI263" s="163"/>
      <c r="AJ263" s="163"/>
      <c r="AK263" s="163"/>
      <c r="AL263" s="163"/>
      <c r="AM263" s="163"/>
      <c r="AN263" s="163"/>
      <c r="AO263" s="163"/>
      <c r="AP263" s="163"/>
      <c r="AQ263" s="163"/>
      <c r="AR263" s="163"/>
      <c r="AS263" s="163"/>
      <c r="AT263" s="163"/>
      <c r="AU263" s="163"/>
      <c r="AV263" s="163"/>
      <c r="AW263" s="163"/>
      <c r="AX263" s="163"/>
      <c r="AY263" s="163"/>
      <c r="AZ263" s="163"/>
      <c r="BA263" s="163"/>
      <c r="BB263" s="163"/>
      <c r="BC263" s="163"/>
      <c r="BD263" s="163"/>
      <c r="BE263" s="163"/>
      <c r="BF263" s="163"/>
      <c r="BG263" s="163"/>
      <c r="BH263" s="163"/>
      <c r="BI263" s="163"/>
      <c r="BJ263" s="80"/>
      <c r="BK263" s="80"/>
      <c r="BL263" s="80"/>
      <c r="BM263" s="80"/>
      <c r="BN263" s="80"/>
      <c r="BO263" s="119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</row>
    <row r="264" spans="1:82">
      <c r="A264" s="279"/>
      <c r="B264" s="279"/>
      <c r="C264" s="279"/>
      <c r="D264" s="317" t="s">
        <v>4</v>
      </c>
      <c r="E264" s="317" t="s">
        <v>5</v>
      </c>
      <c r="F264" s="317" t="s">
        <v>6</v>
      </c>
      <c r="G264" s="317" t="s">
        <v>7</v>
      </c>
      <c r="H264" s="317" t="s">
        <v>8</v>
      </c>
      <c r="I264" s="317" t="s">
        <v>9</v>
      </c>
      <c r="J264" s="317" t="s">
        <v>127</v>
      </c>
      <c r="K264" s="317" t="s">
        <v>129</v>
      </c>
      <c r="L264" s="317" t="s">
        <v>142</v>
      </c>
      <c r="M264" s="317" t="s">
        <v>131</v>
      </c>
      <c r="N264" s="317" t="s">
        <v>132</v>
      </c>
      <c r="O264" s="318" t="s">
        <v>143</v>
      </c>
      <c r="P264" s="372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164"/>
      <c r="AM264" s="164"/>
      <c r="AN264" s="164"/>
      <c r="AO264" s="164"/>
      <c r="AP264" s="164"/>
      <c r="AQ264" s="164"/>
      <c r="AR264" s="164"/>
      <c r="AS264" s="164"/>
      <c r="AT264" s="164"/>
      <c r="AU264" s="164"/>
      <c r="AV264" s="164"/>
      <c r="AW264" s="164"/>
      <c r="AX264" s="164"/>
      <c r="AY264" s="164"/>
      <c r="AZ264" s="164"/>
      <c r="BA264" s="164"/>
      <c r="BB264" s="164"/>
      <c r="BC264" s="164"/>
      <c r="BD264" s="164"/>
      <c r="BE264" s="164"/>
      <c r="BF264" s="164"/>
      <c r="BG264" s="164"/>
      <c r="BH264" s="164"/>
      <c r="BI264" s="164"/>
      <c r="BJ264" s="123"/>
      <c r="BK264" s="123"/>
      <c r="BL264" s="123"/>
      <c r="BM264" s="123"/>
      <c r="BN264" s="123"/>
      <c r="BO264" s="119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</row>
    <row r="265" spans="1:82">
      <c r="A265" s="279"/>
      <c r="B265" s="279"/>
      <c r="C265" s="279"/>
      <c r="D265" s="319">
        <v>0</v>
      </c>
      <c r="E265" s="366">
        <v>3.6200000000000045</v>
      </c>
      <c r="F265" s="366">
        <v>3.8399999999999892</v>
      </c>
      <c r="G265" s="366">
        <v>-1.0599999999999881</v>
      </c>
      <c r="H265" s="366">
        <v>-3.1400000000000006</v>
      </c>
      <c r="I265" s="366">
        <v>-10.969999999999999</v>
      </c>
      <c r="J265" s="366">
        <v>1.6699999999999875</v>
      </c>
      <c r="K265" s="366">
        <v>4.0400000000000063</v>
      </c>
      <c r="L265" s="366">
        <v>2</v>
      </c>
      <c r="M265" s="366">
        <v>0</v>
      </c>
      <c r="N265" s="366">
        <v>0</v>
      </c>
      <c r="O265" s="367">
        <v>0</v>
      </c>
      <c r="P265" s="282"/>
      <c r="Q265" s="163"/>
      <c r="R265" s="163"/>
      <c r="S265" s="163"/>
      <c r="T265" s="163"/>
      <c r="U265" s="163"/>
      <c r="V265" s="163"/>
      <c r="W265" s="163"/>
      <c r="X265" s="163"/>
      <c r="Y265" s="163"/>
      <c r="Z265" s="163"/>
      <c r="AA265" s="163"/>
      <c r="AB265" s="163"/>
      <c r="AC265" s="163"/>
      <c r="AD265" s="163"/>
      <c r="AE265" s="163"/>
      <c r="AF265" s="163"/>
      <c r="AG265" s="163"/>
      <c r="AH265" s="163"/>
      <c r="AI265" s="163"/>
      <c r="AJ265" s="163"/>
      <c r="AK265" s="163"/>
      <c r="AL265" s="163"/>
      <c r="AM265" s="163"/>
      <c r="AN265" s="163"/>
      <c r="AO265" s="163"/>
      <c r="AP265" s="163"/>
      <c r="AQ265" s="163"/>
      <c r="AR265" s="163"/>
      <c r="AS265" s="163"/>
      <c r="AT265" s="163"/>
      <c r="AU265" s="163"/>
      <c r="AV265" s="163"/>
      <c r="AW265" s="163"/>
      <c r="AX265" s="163"/>
      <c r="AY265" s="163"/>
      <c r="AZ265" s="163"/>
      <c r="BA265" s="163"/>
      <c r="BB265" s="163"/>
      <c r="BC265" s="163"/>
      <c r="BD265" s="163"/>
      <c r="BE265" s="163"/>
      <c r="BF265" s="163"/>
      <c r="BG265" s="163"/>
      <c r="BH265" s="163"/>
      <c r="BI265" s="163"/>
      <c r="BJ265" s="80"/>
      <c r="BK265" s="80"/>
      <c r="BL265" s="80"/>
      <c r="BM265" s="80"/>
      <c r="BN265" s="80"/>
      <c r="BO265" s="119"/>
      <c r="BP265" s="82"/>
      <c r="BQ265" s="82"/>
      <c r="BR265" s="82"/>
      <c r="BS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</row>
    <row r="266" spans="1:82">
      <c r="A266" s="279"/>
      <c r="B266" s="279"/>
      <c r="C266" s="279"/>
      <c r="D266" s="275">
        <v>82</v>
      </c>
      <c r="E266" s="275">
        <v>85.62</v>
      </c>
      <c r="F266" s="275">
        <v>89.46</v>
      </c>
      <c r="G266" s="275">
        <v>88.4</v>
      </c>
      <c r="H266" s="275">
        <v>85.26</v>
      </c>
      <c r="I266" s="275">
        <v>74.290000000000006</v>
      </c>
      <c r="J266" s="275">
        <v>75.959999999999994</v>
      </c>
      <c r="K266" s="264">
        <v>80</v>
      </c>
      <c r="L266" s="264">
        <v>82</v>
      </c>
      <c r="M266" s="264">
        <v>82</v>
      </c>
      <c r="N266" s="264">
        <v>82</v>
      </c>
      <c r="O266" s="320">
        <v>82</v>
      </c>
      <c r="P266" s="282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  <c r="AI266" s="163"/>
      <c r="AJ266" s="163"/>
      <c r="AK266" s="163"/>
      <c r="AL266" s="163"/>
      <c r="AM266" s="163"/>
      <c r="AN266" s="163"/>
      <c r="AO266" s="163"/>
      <c r="AP266" s="163"/>
      <c r="AQ266" s="163"/>
      <c r="AR266" s="163"/>
      <c r="AS266" s="163"/>
      <c r="AT266" s="163"/>
      <c r="AU266" s="163"/>
      <c r="AV266" s="163"/>
      <c r="AW266" s="163"/>
      <c r="AX266" s="163"/>
      <c r="AY266" s="163"/>
      <c r="AZ266" s="163"/>
      <c r="BA266" s="163"/>
      <c r="BB266" s="163"/>
      <c r="BC266" s="163"/>
      <c r="BD266" s="163"/>
      <c r="BE266" s="163"/>
      <c r="BF266" s="163"/>
      <c r="BG266" s="163"/>
      <c r="BH266" s="163"/>
      <c r="BI266" s="163"/>
      <c r="BJ266" s="80"/>
      <c r="BK266" s="80"/>
      <c r="BL266" s="80"/>
      <c r="BM266" s="80"/>
      <c r="BN266" s="80"/>
      <c r="BO266" s="119"/>
      <c r="BP266" s="82"/>
      <c r="BQ266" s="82"/>
      <c r="BR266" s="82"/>
      <c r="BS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</row>
    <row r="267" spans="1:82">
      <c r="A267" s="279"/>
      <c r="B267" s="279"/>
      <c r="C267" s="279"/>
      <c r="D267" s="264">
        <v>-29123683408.210987</v>
      </c>
      <c r="E267" s="264">
        <v>-30707174953.410759</v>
      </c>
      <c r="F267" s="264">
        <v>-32253944007.546761</v>
      </c>
      <c r="G267" s="264">
        <v>-33760348673.361588</v>
      </c>
      <c r="H267" s="264">
        <v>-34875698454.718773</v>
      </c>
      <c r="I267" s="264">
        <v>-36024958672.941345</v>
      </c>
      <c r="J267" s="264">
        <v>-37288969455.224899</v>
      </c>
      <c r="K267" s="264">
        <v>-38537427707.572586</v>
      </c>
      <c r="L267" s="264">
        <v>-39747633553.315125</v>
      </c>
      <c r="M267" s="264">
        <v>-40918041595.225662</v>
      </c>
      <c r="N267" s="264">
        <v>-42159044002.029388</v>
      </c>
      <c r="O267" s="320">
        <v>-43431967986.067978</v>
      </c>
      <c r="P267" s="282"/>
      <c r="Q267" s="163"/>
      <c r="R267" s="163"/>
      <c r="S267" s="163"/>
      <c r="T267" s="163"/>
      <c r="U267" s="163"/>
      <c r="V267" s="163"/>
      <c r="W267" s="163"/>
      <c r="X267" s="163"/>
      <c r="Y267" s="163"/>
      <c r="Z267" s="163"/>
      <c r="AA267" s="163"/>
      <c r="AB267" s="163"/>
      <c r="AC267" s="163"/>
      <c r="AD267" s="163"/>
      <c r="AE267" s="163"/>
      <c r="AF267" s="163"/>
      <c r="AG267" s="163"/>
      <c r="AH267" s="163"/>
      <c r="AI267" s="163"/>
      <c r="AJ267" s="163"/>
      <c r="AK267" s="163"/>
      <c r="AL267" s="163"/>
      <c r="AM267" s="163"/>
      <c r="AN267" s="163"/>
      <c r="AO267" s="163"/>
      <c r="AP267" s="163"/>
      <c r="AQ267" s="163"/>
      <c r="AR267" s="163"/>
      <c r="AS267" s="163"/>
      <c r="AT267" s="163"/>
      <c r="AU267" s="163"/>
      <c r="AV267" s="163"/>
      <c r="AW267" s="163"/>
      <c r="AX267" s="163"/>
      <c r="AY267" s="163"/>
      <c r="AZ267" s="163"/>
      <c r="BA267" s="163"/>
      <c r="BB267" s="163"/>
      <c r="BC267" s="163"/>
      <c r="BD267" s="163"/>
      <c r="BE267" s="163"/>
      <c r="BF267" s="163"/>
      <c r="BG267" s="163"/>
      <c r="BH267" s="163"/>
      <c r="BI267" s="163"/>
      <c r="BJ267" s="80"/>
      <c r="BK267" s="80"/>
      <c r="BL267" s="80"/>
      <c r="BM267" s="80"/>
      <c r="BN267" s="80"/>
      <c r="BO267" s="119"/>
      <c r="BP267" s="82"/>
      <c r="BQ267" s="82"/>
      <c r="BR267" s="82"/>
      <c r="BS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</row>
    <row r="268" spans="1:82">
      <c r="A268" s="279"/>
      <c r="B268" s="279"/>
      <c r="C268" s="279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320"/>
      <c r="P268" s="282"/>
      <c r="Q268" s="163"/>
      <c r="R268" s="163"/>
      <c r="S268" s="163"/>
      <c r="T268" s="163"/>
      <c r="U268" s="163"/>
      <c r="V268" s="163"/>
      <c r="W268" s="163"/>
      <c r="X268" s="163"/>
      <c r="Y268" s="163"/>
      <c r="Z268" s="163"/>
      <c r="AA268" s="163"/>
      <c r="AB268" s="163"/>
      <c r="AC268" s="163"/>
      <c r="AD268" s="163"/>
      <c r="AE268" s="163"/>
      <c r="AF268" s="163"/>
      <c r="AG268" s="163"/>
      <c r="AH268" s="163"/>
      <c r="AI268" s="163"/>
      <c r="AJ268" s="163"/>
      <c r="AK268" s="163"/>
      <c r="AL268" s="163"/>
      <c r="AM268" s="163"/>
      <c r="AN268" s="163"/>
      <c r="AO268" s="163"/>
      <c r="AP268" s="163"/>
      <c r="AQ268" s="163"/>
      <c r="AR268" s="163"/>
      <c r="AS268" s="163"/>
      <c r="AT268" s="163"/>
      <c r="AU268" s="163"/>
      <c r="AV268" s="163"/>
      <c r="AW268" s="163"/>
      <c r="AX268" s="163"/>
      <c r="AY268" s="163"/>
      <c r="AZ268" s="163"/>
      <c r="BA268" s="163"/>
      <c r="BB268" s="163"/>
      <c r="BC268" s="163"/>
      <c r="BD268" s="163"/>
      <c r="BE268" s="163"/>
      <c r="BF268" s="163"/>
      <c r="BG268" s="163"/>
      <c r="BH268" s="163"/>
      <c r="BI268" s="163"/>
      <c r="BJ268" s="80"/>
      <c r="BK268" s="80"/>
      <c r="BL268" s="80"/>
      <c r="BM268" s="80"/>
      <c r="BN268" s="80"/>
      <c r="BO268" s="119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</row>
    <row r="269" spans="1:82">
      <c r="A269" s="279"/>
      <c r="B269" s="279"/>
      <c r="C269" s="279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  <c r="N269" s="264"/>
      <c r="O269" s="320"/>
      <c r="P269" s="282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  <c r="AI269" s="163"/>
      <c r="AJ269" s="163"/>
      <c r="AK269" s="163"/>
      <c r="AL269" s="163"/>
      <c r="AM269" s="163"/>
      <c r="AN269" s="163"/>
      <c r="AO269" s="163"/>
      <c r="AP269" s="163"/>
      <c r="AQ269" s="163"/>
      <c r="AR269" s="163"/>
      <c r="AS269" s="163"/>
      <c r="AT269" s="163"/>
      <c r="AU269" s="163"/>
      <c r="AV269" s="163"/>
      <c r="AW269" s="163"/>
      <c r="AX269" s="163"/>
      <c r="AY269" s="163"/>
      <c r="AZ269" s="163"/>
      <c r="BA269" s="163"/>
      <c r="BB269" s="163"/>
      <c r="BC269" s="163"/>
      <c r="BD269" s="163"/>
      <c r="BE269" s="163"/>
      <c r="BF269" s="163"/>
      <c r="BG269" s="163"/>
      <c r="BH269" s="163"/>
      <c r="BI269" s="163"/>
      <c r="BJ269" s="80"/>
      <c r="BK269" s="80"/>
      <c r="BL269" s="80"/>
      <c r="BM269" s="80"/>
      <c r="BN269" s="80"/>
      <c r="BO269" s="119"/>
      <c r="BP269" s="82"/>
      <c r="BQ269" s="82"/>
      <c r="BR269" s="82"/>
      <c r="BS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</row>
    <row r="270" spans="1:82">
      <c r="A270" s="279"/>
      <c r="B270" s="279"/>
      <c r="C270" s="279"/>
      <c r="D270" s="264">
        <v>1255814983.4714231</v>
      </c>
      <c r="E270" s="264">
        <v>1301275485.8730888</v>
      </c>
      <c r="F270" s="264">
        <v>1351244464.5306153</v>
      </c>
      <c r="G270" s="264">
        <v>1336921273.2065909</v>
      </c>
      <c r="H270" s="264">
        <v>1294941945.2279038</v>
      </c>
      <c r="I270" s="264">
        <v>1152886813.8364029</v>
      </c>
      <c r="J270" s="264">
        <v>1172140023.6274707</v>
      </c>
      <c r="K270" s="264">
        <v>1219494480.5820205</v>
      </c>
      <c r="L270" s="264">
        <v>1268762057.5975342</v>
      </c>
      <c r="M270" s="264">
        <v>1320020044.7244747</v>
      </c>
      <c r="N270" s="264">
        <v>1373348854.5313435</v>
      </c>
      <c r="O270" s="320">
        <v>1428832148.2544098</v>
      </c>
      <c r="P270" s="282"/>
      <c r="Q270" s="163"/>
      <c r="R270" s="163"/>
      <c r="S270" s="163"/>
      <c r="T270" s="163"/>
      <c r="U270" s="163"/>
      <c r="V270" s="163"/>
      <c r="W270" s="163"/>
      <c r="X270" s="163"/>
      <c r="Y270" s="163"/>
      <c r="Z270" s="163"/>
      <c r="AA270" s="163"/>
      <c r="AB270" s="163"/>
      <c r="AC270" s="163"/>
      <c r="AD270" s="163"/>
      <c r="AE270" s="163"/>
      <c r="AF270" s="163"/>
      <c r="AG270" s="163"/>
      <c r="AH270" s="163"/>
      <c r="AI270" s="163"/>
      <c r="AJ270" s="163"/>
      <c r="AK270" s="163"/>
      <c r="AL270" s="163"/>
      <c r="AM270" s="163"/>
      <c r="AN270" s="163"/>
      <c r="AO270" s="163"/>
      <c r="AP270" s="163"/>
      <c r="AQ270" s="163"/>
      <c r="AR270" s="163"/>
      <c r="AS270" s="163"/>
      <c r="AT270" s="163"/>
      <c r="AU270" s="163"/>
      <c r="AV270" s="163"/>
      <c r="AW270" s="163"/>
      <c r="AX270" s="163"/>
      <c r="AY270" s="163"/>
      <c r="AZ270" s="163"/>
      <c r="BA270" s="163"/>
      <c r="BB270" s="163"/>
      <c r="BC270" s="163"/>
      <c r="BD270" s="163"/>
      <c r="BE270" s="163"/>
      <c r="BF270" s="163"/>
      <c r="BG270" s="163"/>
      <c r="BH270" s="163"/>
      <c r="BI270" s="163"/>
      <c r="BJ270" s="80"/>
      <c r="BK270" s="80"/>
      <c r="BL270" s="80"/>
      <c r="BM270" s="80"/>
      <c r="BN270" s="80"/>
      <c r="BO270" s="119"/>
      <c r="BP270" s="82"/>
      <c r="BQ270" s="82"/>
      <c r="BR270" s="82"/>
      <c r="BS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</row>
    <row r="271" spans="1:82">
      <c r="A271" s="279"/>
      <c r="B271" s="279"/>
      <c r="C271" s="279"/>
      <c r="D271" s="264">
        <v>330745596.17358601</v>
      </c>
      <c r="E271" s="264">
        <v>342718586.75506985</v>
      </c>
      <c r="F271" s="264">
        <v>355878980.4864645</v>
      </c>
      <c r="G271" s="264">
        <v>352106663.29330802</v>
      </c>
      <c r="H271" s="264">
        <v>341050514.06589812</v>
      </c>
      <c r="I271" s="264">
        <v>303637272.67286909</v>
      </c>
      <c r="J271" s="264">
        <v>308708015.12650597</v>
      </c>
      <c r="K271" s="264">
        <v>321179818.93761683</v>
      </c>
      <c r="L271" s="264">
        <v>334155483.62269658</v>
      </c>
      <c r="M271" s="264">
        <v>347655365.16105354</v>
      </c>
      <c r="N271" s="264">
        <v>361700641.91356015</v>
      </c>
      <c r="O271" s="320">
        <v>376313347.84686798</v>
      </c>
      <c r="P271" s="282"/>
      <c r="Q271" s="163"/>
      <c r="R271" s="163"/>
      <c r="S271" s="163"/>
      <c r="T271" s="163"/>
      <c r="U271" s="163"/>
      <c r="V271" s="163"/>
      <c r="W271" s="163"/>
      <c r="X271" s="163"/>
      <c r="Y271" s="163"/>
      <c r="Z271" s="163"/>
      <c r="AA271" s="163"/>
      <c r="AB271" s="163"/>
      <c r="AC271" s="163"/>
      <c r="AD271" s="163"/>
      <c r="AE271" s="163"/>
      <c r="AF271" s="163"/>
      <c r="AG271" s="163"/>
      <c r="AH271" s="163"/>
      <c r="AI271" s="163"/>
      <c r="AJ271" s="163"/>
      <c r="AK271" s="163"/>
      <c r="AL271" s="163"/>
      <c r="AM271" s="163"/>
      <c r="AN271" s="163"/>
      <c r="AO271" s="163"/>
      <c r="AP271" s="163"/>
      <c r="AQ271" s="163"/>
      <c r="AR271" s="163"/>
      <c r="AS271" s="163"/>
      <c r="AT271" s="163"/>
      <c r="AU271" s="163"/>
      <c r="AV271" s="163"/>
      <c r="AW271" s="163"/>
      <c r="AX271" s="163"/>
      <c r="AY271" s="163"/>
      <c r="AZ271" s="163"/>
      <c r="BA271" s="163"/>
      <c r="BB271" s="163"/>
      <c r="BC271" s="163"/>
      <c r="BD271" s="163"/>
      <c r="BE271" s="163"/>
      <c r="BF271" s="163"/>
      <c r="BG271" s="163"/>
      <c r="BH271" s="163"/>
      <c r="BI271" s="163"/>
      <c r="BJ271" s="80"/>
      <c r="BK271" s="80"/>
      <c r="BL271" s="80"/>
      <c r="BM271" s="80"/>
      <c r="BN271" s="80"/>
      <c r="BO271" s="119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</row>
    <row r="272" spans="1:82">
      <c r="A272" s="279"/>
      <c r="B272" s="279"/>
      <c r="C272" s="279"/>
      <c r="D272" s="264">
        <v>2267521556.2469902</v>
      </c>
      <c r="E272" s="264">
        <v>2349605836.5831313</v>
      </c>
      <c r="F272" s="264">
        <v>2439830700.7079234</v>
      </c>
      <c r="G272" s="264">
        <v>2413968495.2804198</v>
      </c>
      <c r="H272" s="264">
        <v>2338169884.5286145</v>
      </c>
      <c r="I272" s="264">
        <v>2081672648.1958256</v>
      </c>
      <c r="J272" s="264">
        <v>2116436581.4206955</v>
      </c>
      <c r="K272" s="264">
        <v>2201940619.310092</v>
      </c>
      <c r="L272" s="264">
        <v>2290899020.3302197</v>
      </c>
      <c r="M272" s="264">
        <v>2383451340.7515607</v>
      </c>
      <c r="N272" s="264">
        <v>2479742774.9179239</v>
      </c>
      <c r="O272" s="320">
        <v>2579924383.0246081</v>
      </c>
      <c r="P272" s="282"/>
      <c r="Q272" s="163"/>
      <c r="R272" s="163"/>
      <c r="S272" s="163"/>
      <c r="T272" s="163"/>
      <c r="U272" s="163"/>
      <c r="V272" s="163"/>
      <c r="W272" s="163"/>
      <c r="X272" s="163"/>
      <c r="Y272" s="163"/>
      <c r="Z272" s="163"/>
      <c r="AA272" s="163"/>
      <c r="AB272" s="163"/>
      <c r="AC272" s="163"/>
      <c r="AD272" s="163"/>
      <c r="AE272" s="163"/>
      <c r="AF272" s="163"/>
      <c r="AG272" s="163"/>
      <c r="AH272" s="163"/>
      <c r="AI272" s="163"/>
      <c r="AJ272" s="163"/>
      <c r="AK272" s="163"/>
      <c r="AL272" s="163"/>
      <c r="AM272" s="163"/>
      <c r="AN272" s="163"/>
      <c r="AO272" s="163"/>
      <c r="AP272" s="163"/>
      <c r="AQ272" s="163"/>
      <c r="AR272" s="163"/>
      <c r="AS272" s="163"/>
      <c r="AT272" s="163"/>
      <c r="AU272" s="163"/>
      <c r="AV272" s="163"/>
      <c r="AW272" s="163"/>
      <c r="AX272" s="163"/>
      <c r="AY272" s="163"/>
      <c r="AZ272" s="163"/>
      <c r="BA272" s="163"/>
      <c r="BB272" s="163"/>
      <c r="BC272" s="163"/>
      <c r="BD272" s="163"/>
      <c r="BE272" s="163"/>
      <c r="BF272" s="163"/>
      <c r="BG272" s="163"/>
      <c r="BH272" s="163"/>
      <c r="BI272" s="163"/>
      <c r="BJ272" s="80"/>
      <c r="BK272" s="80"/>
      <c r="BL272" s="80"/>
      <c r="BM272" s="80"/>
      <c r="BN272" s="80"/>
      <c r="BO272" s="119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</row>
    <row r="273" spans="1:82">
      <c r="A273" s="279"/>
      <c r="B273" s="279"/>
      <c r="C273" s="279"/>
      <c r="D273" s="264">
        <v>327645909.38812608</v>
      </c>
      <c r="E273" s="264">
        <v>339506691.30797625</v>
      </c>
      <c r="F273" s="264">
        <v>352543748.25420249</v>
      </c>
      <c r="G273" s="264">
        <v>348806784.522708</v>
      </c>
      <c r="H273" s="264">
        <v>337854251.48869497</v>
      </c>
      <c r="I273" s="264">
        <v>300791640.10038513</v>
      </c>
      <c r="J273" s="264">
        <v>305814860.49006152</v>
      </c>
      <c r="K273" s="264">
        <v>318169780.85386002</v>
      </c>
      <c r="L273" s="264">
        <v>331023840.00035596</v>
      </c>
      <c r="M273" s="264">
        <v>344397203.13637036</v>
      </c>
      <c r="N273" s="264">
        <v>358310850.14307976</v>
      </c>
      <c r="O273" s="320">
        <v>372786608.48886019</v>
      </c>
      <c r="P273" s="324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  <c r="AY273" s="153"/>
      <c r="AZ273" s="153"/>
      <c r="BA273" s="153"/>
      <c r="BB273" s="153"/>
      <c r="BC273" s="153"/>
      <c r="BD273" s="153"/>
      <c r="BE273" s="153"/>
      <c r="BF273" s="153"/>
      <c r="BG273" s="153"/>
      <c r="BH273" s="153"/>
      <c r="BI273" s="153"/>
      <c r="BJ273" s="82"/>
      <c r="BK273" s="82"/>
      <c r="BL273" s="82"/>
      <c r="BM273" s="82"/>
      <c r="BN273" s="82"/>
      <c r="BO273" s="119"/>
      <c r="BP273" s="82"/>
      <c r="BQ273" s="82"/>
      <c r="BR273" s="82"/>
      <c r="BS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</row>
    <row r="274" spans="1:82">
      <c r="A274" s="279"/>
      <c r="B274" s="279"/>
      <c r="C274" s="279"/>
      <c r="D274" s="264">
        <v>349906201.32017928</v>
      </c>
      <c r="E274" s="264">
        <v>362572805.80796981</v>
      </c>
      <c r="F274" s="264">
        <v>376495601.55099583</v>
      </c>
      <c r="G274" s="264">
        <v>372504748.1745553</v>
      </c>
      <c r="H274" s="264">
        <v>360808099.08187425</v>
      </c>
      <c r="I274" s="264">
        <v>321227450.61259264</v>
      </c>
      <c r="J274" s="264">
        <v>326591949.0378229</v>
      </c>
      <c r="K274" s="264">
        <v>339786263.77895099</v>
      </c>
      <c r="L274" s="264">
        <v>353513628.83562064</v>
      </c>
      <c r="M274" s="264">
        <v>367795579.44057971</v>
      </c>
      <c r="N274" s="264">
        <v>382654520.84997916</v>
      </c>
      <c r="O274" s="320">
        <v>398113763.49231833</v>
      </c>
      <c r="P274" s="324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  <c r="AY274" s="153"/>
      <c r="AZ274" s="153"/>
      <c r="BA274" s="153"/>
      <c r="BB274" s="153"/>
      <c r="BC274" s="153"/>
      <c r="BD274" s="153"/>
      <c r="BE274" s="153"/>
      <c r="BF274" s="153"/>
      <c r="BG274" s="153"/>
      <c r="BH274" s="153"/>
      <c r="BI274" s="153"/>
      <c r="BJ274" s="82"/>
      <c r="BK274" s="82"/>
      <c r="BL274" s="82"/>
      <c r="BM274" s="82"/>
      <c r="BN274" s="82"/>
      <c r="BO274" s="119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</row>
    <row r="275" spans="1:82">
      <c r="A275" s="279"/>
      <c r="B275" s="279"/>
      <c r="C275" s="279"/>
      <c r="D275" s="264">
        <v>0</v>
      </c>
      <c r="E275" s="264"/>
      <c r="F275" s="264">
        <v>0</v>
      </c>
      <c r="G275" s="264">
        <v>0</v>
      </c>
      <c r="H275" s="264"/>
      <c r="I275" s="264"/>
      <c r="J275" s="264"/>
      <c r="K275" s="264"/>
      <c r="L275" s="264"/>
      <c r="M275" s="264"/>
      <c r="N275" s="264"/>
      <c r="O275" s="320"/>
      <c r="P275" s="324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  <c r="AY275" s="153"/>
      <c r="AZ275" s="153"/>
      <c r="BA275" s="153"/>
      <c r="BB275" s="153"/>
      <c r="BC275" s="153"/>
      <c r="BD275" s="153"/>
      <c r="BE275" s="153"/>
      <c r="BF275" s="153"/>
      <c r="BG275" s="153"/>
      <c r="BH275" s="153"/>
      <c r="BI275" s="153"/>
      <c r="BJ275" s="82"/>
      <c r="BK275" s="82"/>
      <c r="BL275" s="82"/>
      <c r="BM275" s="82"/>
      <c r="BN275" s="82"/>
      <c r="BO275" s="119"/>
      <c r="BP275" s="82"/>
      <c r="BQ275" s="82"/>
      <c r="BR275" s="82"/>
      <c r="BS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</row>
    <row r="276" spans="1:82">
      <c r="A276" s="279"/>
      <c r="B276" s="279"/>
      <c r="C276" s="279"/>
      <c r="D276" s="267">
        <v>4531634246.6003046</v>
      </c>
      <c r="E276" s="267">
        <v>4695679406.3272362</v>
      </c>
      <c r="F276" s="267">
        <v>4875993495.5302019</v>
      </c>
      <c r="G276" s="267">
        <v>4824307964.4775829</v>
      </c>
      <c r="H276" s="267">
        <v>4672824694.3929853</v>
      </c>
      <c r="I276" s="267">
        <v>4160215825.4180756</v>
      </c>
      <c r="J276" s="267">
        <v>4229691429.7025566</v>
      </c>
      <c r="K276" s="267">
        <v>4400570963.4625397</v>
      </c>
      <c r="L276" s="267">
        <v>4578354030.3864269</v>
      </c>
      <c r="M276" s="267">
        <v>4763319533.2140388</v>
      </c>
      <c r="N276" s="267">
        <v>4955757642.3558865</v>
      </c>
      <c r="O276" s="322">
        <v>5155970251.1070642</v>
      </c>
      <c r="P276" s="324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  <c r="AY276" s="153"/>
      <c r="AZ276" s="153"/>
      <c r="BA276" s="153"/>
      <c r="BB276" s="153"/>
      <c r="BC276" s="153"/>
      <c r="BD276" s="153"/>
      <c r="BE276" s="153"/>
      <c r="BF276" s="153"/>
      <c r="BG276" s="153"/>
      <c r="BH276" s="153"/>
      <c r="BI276" s="153"/>
      <c r="BJ276" s="82"/>
      <c r="BK276" s="82"/>
      <c r="BL276" s="82"/>
      <c r="BM276" s="82"/>
      <c r="BN276" s="82"/>
      <c r="BO276" s="119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</row>
    <row r="277" spans="1:82">
      <c r="A277" s="279"/>
      <c r="B277" s="279"/>
      <c r="C277" s="279"/>
      <c r="D277" s="324"/>
      <c r="E277" s="324"/>
      <c r="F277" s="324"/>
      <c r="G277" s="324"/>
      <c r="H277" s="324"/>
      <c r="I277" s="324"/>
      <c r="J277" s="324"/>
      <c r="K277" s="324"/>
      <c r="L277" s="324"/>
      <c r="M277" s="324"/>
      <c r="N277" s="324"/>
      <c r="O277" s="324"/>
      <c r="P277" s="324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3"/>
      <c r="AN277" s="153"/>
      <c r="AO277" s="153"/>
      <c r="AP277" s="153"/>
      <c r="AQ277" s="153"/>
      <c r="AR277" s="153"/>
      <c r="AS277" s="153"/>
      <c r="AT277" s="153"/>
      <c r="AU277" s="153"/>
      <c r="AV277" s="153"/>
      <c r="AW277" s="153"/>
      <c r="AX277" s="153"/>
      <c r="AY277" s="153"/>
      <c r="AZ277" s="153"/>
      <c r="BA277" s="153"/>
      <c r="BB277" s="153"/>
      <c r="BC277" s="153"/>
      <c r="BD277" s="153"/>
      <c r="BE277" s="153"/>
      <c r="BF277" s="153"/>
      <c r="BG277" s="153"/>
      <c r="BH277" s="153"/>
      <c r="BI277" s="153"/>
      <c r="BJ277" s="82"/>
      <c r="BK277" s="82"/>
      <c r="BL277" s="82"/>
      <c r="BM277" s="82"/>
      <c r="BN277" s="82"/>
      <c r="BO277" s="119"/>
      <c r="BP277" s="82"/>
      <c r="BQ277" s="82"/>
      <c r="BR277" s="82"/>
      <c r="BS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</row>
    <row r="278" spans="1:82">
      <c r="A278" s="279"/>
      <c r="B278" s="279"/>
      <c r="C278" s="279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  <c r="AO278" s="153"/>
      <c r="AP278" s="153"/>
      <c r="AQ278" s="153"/>
      <c r="AR278" s="153"/>
      <c r="AS278" s="153"/>
      <c r="AT278" s="153"/>
      <c r="AU278" s="153"/>
      <c r="AV278" s="153"/>
      <c r="AW278" s="153"/>
      <c r="AX278" s="153"/>
      <c r="AY278" s="153"/>
      <c r="AZ278" s="153"/>
      <c r="BA278" s="153"/>
      <c r="BB278" s="153"/>
      <c r="BC278" s="153"/>
      <c r="BD278" s="153"/>
      <c r="BE278" s="153"/>
      <c r="BF278" s="153"/>
      <c r="BG278" s="153"/>
      <c r="BH278" s="153"/>
      <c r="BI278" s="153"/>
      <c r="BJ278" s="82"/>
      <c r="BK278" s="82"/>
      <c r="BL278" s="82"/>
      <c r="BM278" s="82"/>
      <c r="BN278" s="82"/>
      <c r="BO278" s="119"/>
      <c r="BP278" s="82"/>
      <c r="BQ278" s="82"/>
      <c r="BR278" s="82"/>
      <c r="BS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</row>
    <row r="279" spans="1:82">
      <c r="A279" s="279"/>
      <c r="B279" s="279"/>
      <c r="C279" s="279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3"/>
      <c r="AT279" s="153"/>
      <c r="AU279" s="153"/>
      <c r="AV279" s="153"/>
      <c r="AW279" s="153"/>
      <c r="AX279" s="153"/>
      <c r="AY279" s="153"/>
      <c r="AZ279" s="153"/>
      <c r="BA279" s="153"/>
      <c r="BB279" s="153"/>
      <c r="BC279" s="153"/>
      <c r="BD279" s="153"/>
      <c r="BE279" s="153"/>
      <c r="BF279" s="153"/>
      <c r="BG279" s="153"/>
      <c r="BH279" s="153"/>
      <c r="BI279" s="153"/>
      <c r="BJ279" s="82"/>
      <c r="BK279" s="82"/>
      <c r="BL279" s="82"/>
      <c r="BM279" s="82"/>
      <c r="BN279" s="82"/>
      <c r="BO279" s="119"/>
      <c r="BP279" s="82"/>
      <c r="BQ279" s="82"/>
      <c r="BR279" s="82"/>
      <c r="BS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</row>
    <row r="280" spans="1:82">
      <c r="A280" s="279"/>
      <c r="B280" s="279"/>
      <c r="C280" s="279"/>
      <c r="D280" s="324"/>
      <c r="E280" s="324"/>
      <c r="F280" s="324"/>
      <c r="G280" s="324"/>
      <c r="H280" s="324"/>
      <c r="I280" s="324"/>
      <c r="J280" s="324"/>
      <c r="K280" s="324"/>
      <c r="L280" s="324"/>
      <c r="M280" s="324"/>
      <c r="N280" s="324"/>
      <c r="O280" s="324"/>
      <c r="P280" s="324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3"/>
      <c r="AT280" s="153"/>
      <c r="AU280" s="153"/>
      <c r="AV280" s="153"/>
      <c r="AW280" s="153"/>
      <c r="AX280" s="153"/>
      <c r="AY280" s="153"/>
      <c r="AZ280" s="153"/>
      <c r="BA280" s="153"/>
      <c r="BB280" s="153"/>
      <c r="BC280" s="153"/>
      <c r="BD280" s="153"/>
      <c r="BE280" s="153"/>
      <c r="BF280" s="153"/>
      <c r="BG280" s="153"/>
      <c r="BH280" s="153"/>
      <c r="BI280" s="153"/>
      <c r="BJ280" s="82"/>
      <c r="BK280" s="82"/>
      <c r="BL280" s="82"/>
      <c r="BM280" s="82"/>
      <c r="BN280" s="82"/>
      <c r="BO280" s="119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</row>
    <row r="281" spans="1:82">
      <c r="A281" s="279"/>
      <c r="B281" s="279"/>
      <c r="C281" s="279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3"/>
      <c r="AT281" s="153"/>
      <c r="AU281" s="153"/>
      <c r="AV281" s="153"/>
      <c r="AW281" s="153"/>
      <c r="AX281" s="153"/>
      <c r="AY281" s="153"/>
      <c r="AZ281" s="153"/>
      <c r="BA281" s="153"/>
      <c r="BB281" s="153"/>
      <c r="BC281" s="153"/>
      <c r="BD281" s="153"/>
      <c r="BE281" s="153"/>
      <c r="BF281" s="153"/>
      <c r="BG281" s="153"/>
      <c r="BH281" s="153"/>
      <c r="BI281" s="153"/>
      <c r="BJ281" s="82"/>
      <c r="BK281" s="82"/>
      <c r="BL281" s="82"/>
      <c r="BM281" s="82"/>
      <c r="BN281" s="82"/>
      <c r="BO281" s="119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</row>
    <row r="282" spans="1:82">
      <c r="A282" s="279"/>
      <c r="B282" s="279"/>
      <c r="C282" s="279"/>
      <c r="D282" s="324"/>
      <c r="E282" s="324"/>
      <c r="F282" s="324"/>
      <c r="G282" s="324"/>
      <c r="H282" s="324"/>
      <c r="I282" s="324"/>
      <c r="J282" s="324"/>
      <c r="K282" s="324"/>
      <c r="L282" s="324"/>
      <c r="M282" s="324"/>
      <c r="N282" s="324"/>
      <c r="O282" s="324"/>
      <c r="P282" s="324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153"/>
      <c r="AT282" s="153"/>
      <c r="AU282" s="153"/>
      <c r="AV282" s="153"/>
      <c r="AW282" s="153"/>
      <c r="AX282" s="153"/>
      <c r="AY282" s="153"/>
      <c r="AZ282" s="153"/>
      <c r="BA282" s="153"/>
      <c r="BB282" s="153"/>
      <c r="BC282" s="153"/>
      <c r="BD282" s="153"/>
      <c r="BE282" s="153"/>
      <c r="BF282" s="153"/>
      <c r="BG282" s="153"/>
      <c r="BH282" s="153"/>
      <c r="BI282" s="153"/>
      <c r="BJ282" s="82"/>
      <c r="BK282" s="82"/>
      <c r="BL282" s="82"/>
      <c r="BM282" s="82"/>
      <c r="BN282" s="82"/>
      <c r="BO282" s="119"/>
      <c r="BP282" s="82"/>
      <c r="BQ282" s="82"/>
      <c r="BR282" s="82"/>
      <c r="BS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</row>
    <row r="283" spans="1:82">
      <c r="A283" s="279"/>
      <c r="B283" s="279"/>
      <c r="C283" s="279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153"/>
      <c r="AT283" s="153"/>
      <c r="AU283" s="153"/>
      <c r="AV283" s="153"/>
      <c r="AW283" s="153"/>
      <c r="AX283" s="153"/>
      <c r="AY283" s="153"/>
      <c r="AZ283" s="153"/>
      <c r="BA283" s="153"/>
      <c r="BB283" s="153"/>
      <c r="BC283" s="153"/>
      <c r="BD283" s="153"/>
      <c r="BE283" s="153"/>
      <c r="BF283" s="153"/>
      <c r="BG283" s="153"/>
      <c r="BH283" s="153"/>
      <c r="BI283" s="153"/>
      <c r="BJ283" s="82"/>
      <c r="BK283" s="82"/>
      <c r="BL283" s="82"/>
      <c r="BM283" s="82"/>
      <c r="BN283" s="82"/>
      <c r="BO283" s="119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</row>
    <row r="284" spans="1:82">
      <c r="A284" s="279"/>
      <c r="B284" s="279"/>
      <c r="C284" s="279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153"/>
      <c r="AT284" s="153"/>
      <c r="AU284" s="153"/>
      <c r="AV284" s="153"/>
      <c r="AW284" s="153"/>
      <c r="AX284" s="153"/>
      <c r="AY284" s="153"/>
      <c r="AZ284" s="153"/>
      <c r="BA284" s="153"/>
      <c r="BB284" s="153"/>
      <c r="BC284" s="153"/>
      <c r="BD284" s="153"/>
      <c r="BE284" s="153"/>
      <c r="BF284" s="153"/>
      <c r="BG284" s="153"/>
      <c r="BH284" s="153"/>
      <c r="BI284" s="153"/>
      <c r="BJ284" s="82"/>
      <c r="BK284" s="82"/>
      <c r="BL284" s="82"/>
      <c r="BM284" s="82"/>
      <c r="BN284" s="82"/>
      <c r="BO284" s="119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</row>
    <row r="285" spans="1:82">
      <c r="A285" s="279"/>
      <c r="B285" s="279"/>
      <c r="C285" s="279"/>
      <c r="D285" s="324"/>
      <c r="E285" s="324"/>
      <c r="F285" s="324"/>
      <c r="G285" s="324"/>
      <c r="H285" s="324"/>
      <c r="I285" s="324"/>
      <c r="J285" s="324"/>
      <c r="K285" s="324"/>
      <c r="L285" s="324"/>
      <c r="M285" s="324"/>
      <c r="N285" s="324"/>
      <c r="O285" s="324"/>
      <c r="P285" s="324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153"/>
      <c r="AT285" s="153"/>
      <c r="AU285" s="153"/>
      <c r="AV285" s="153"/>
      <c r="AW285" s="153"/>
      <c r="AX285" s="153"/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82"/>
      <c r="BK285" s="82"/>
      <c r="BL285" s="82"/>
      <c r="BM285" s="82"/>
      <c r="BN285" s="82"/>
      <c r="BO285" s="119"/>
      <c r="BP285" s="82"/>
      <c r="BQ285" s="82"/>
      <c r="BR285" s="82"/>
      <c r="BS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</row>
    <row r="286" spans="1:82">
      <c r="A286" s="279"/>
      <c r="B286" s="279"/>
      <c r="C286" s="279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24"/>
      <c r="P286" s="324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  <c r="AY286" s="153"/>
      <c r="AZ286" s="153"/>
      <c r="BA286" s="153"/>
      <c r="BB286" s="153"/>
      <c r="BC286" s="153"/>
      <c r="BD286" s="153"/>
      <c r="BE286" s="153"/>
      <c r="BF286" s="153"/>
      <c r="BG286" s="153"/>
      <c r="BH286" s="153"/>
      <c r="BI286" s="153"/>
      <c r="BJ286" s="82"/>
      <c r="BK286" s="82"/>
      <c r="BL286" s="82"/>
      <c r="BM286" s="82"/>
      <c r="BN286" s="82"/>
      <c r="BO286" s="119"/>
      <c r="BP286" s="82"/>
      <c r="BQ286" s="82"/>
      <c r="BR286" s="82"/>
      <c r="BS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</row>
    <row r="287" spans="1:82">
      <c r="A287" s="279"/>
      <c r="B287" s="279"/>
      <c r="C287" s="279"/>
      <c r="D287" s="324"/>
      <c r="E287" s="324"/>
      <c r="F287" s="324"/>
      <c r="G287" s="324"/>
      <c r="H287" s="324"/>
      <c r="I287" s="324"/>
      <c r="J287" s="324"/>
      <c r="K287" s="324"/>
      <c r="L287" s="324"/>
      <c r="M287" s="324"/>
      <c r="N287" s="324"/>
      <c r="O287" s="324"/>
      <c r="P287" s="324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  <c r="AY287" s="153"/>
      <c r="AZ287" s="153"/>
      <c r="BA287" s="153"/>
      <c r="BB287" s="153"/>
      <c r="BC287" s="153"/>
      <c r="BD287" s="153"/>
      <c r="BE287" s="153"/>
      <c r="BF287" s="153"/>
      <c r="BG287" s="153"/>
      <c r="BH287" s="153"/>
      <c r="BI287" s="153"/>
      <c r="BJ287" s="82"/>
      <c r="BK287" s="82"/>
      <c r="BL287" s="82"/>
      <c r="BM287" s="82"/>
      <c r="BN287" s="82"/>
      <c r="BO287" s="119"/>
      <c r="BP287" s="82"/>
      <c r="BQ287" s="82"/>
      <c r="BR287" s="82"/>
      <c r="BS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</row>
    <row r="288" spans="1:82">
      <c r="A288" s="279"/>
      <c r="B288" s="279"/>
      <c r="C288" s="279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  <c r="AO288" s="153"/>
      <c r="AP288" s="153"/>
      <c r="AQ288" s="153"/>
      <c r="AR288" s="153"/>
      <c r="AS288" s="153"/>
      <c r="AT288" s="153"/>
      <c r="AU288" s="153"/>
      <c r="AV288" s="153"/>
      <c r="AW288" s="153"/>
      <c r="AX288" s="153"/>
      <c r="AY288" s="153"/>
      <c r="AZ288" s="153"/>
      <c r="BA288" s="153"/>
      <c r="BB288" s="153"/>
      <c r="BC288" s="153"/>
      <c r="BD288" s="153"/>
      <c r="BE288" s="153"/>
      <c r="BF288" s="153"/>
      <c r="BG288" s="153"/>
      <c r="BH288" s="153"/>
      <c r="BI288" s="153"/>
      <c r="BJ288" s="82"/>
      <c r="BK288" s="82"/>
      <c r="BL288" s="82"/>
      <c r="BM288" s="82"/>
      <c r="BN288" s="82"/>
      <c r="BO288" s="119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</row>
    <row r="289" spans="1:82">
      <c r="A289" s="279"/>
      <c r="B289" s="279"/>
      <c r="C289" s="279"/>
      <c r="D289" s="324"/>
      <c r="E289" s="324"/>
      <c r="F289" s="324"/>
      <c r="G289" s="324"/>
      <c r="H289" s="324"/>
      <c r="I289" s="324"/>
      <c r="J289" s="324"/>
      <c r="K289" s="324"/>
      <c r="L289" s="324"/>
      <c r="M289" s="324"/>
      <c r="N289" s="324"/>
      <c r="O289" s="324"/>
      <c r="P289" s="324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  <c r="AO289" s="153"/>
      <c r="AP289" s="153"/>
      <c r="AQ289" s="153"/>
      <c r="AR289" s="153"/>
      <c r="AS289" s="153"/>
      <c r="AT289" s="153"/>
      <c r="AU289" s="153"/>
      <c r="AV289" s="153"/>
      <c r="AW289" s="153"/>
      <c r="AX289" s="153"/>
      <c r="AY289" s="153"/>
      <c r="AZ289" s="153"/>
      <c r="BA289" s="153"/>
      <c r="BB289" s="153"/>
      <c r="BC289" s="153"/>
      <c r="BD289" s="153"/>
      <c r="BE289" s="153"/>
      <c r="BF289" s="153"/>
      <c r="BG289" s="153"/>
      <c r="BH289" s="153"/>
      <c r="BI289" s="153"/>
      <c r="BJ289" s="82"/>
      <c r="BK289" s="82"/>
      <c r="BL289" s="82"/>
      <c r="BM289" s="82"/>
      <c r="BN289" s="82"/>
      <c r="BO289" s="119"/>
      <c r="BP289" s="82"/>
      <c r="BQ289" s="82"/>
      <c r="BR289" s="82"/>
      <c r="BS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</row>
    <row r="290" spans="1:82">
      <c r="A290" s="279"/>
      <c r="B290" s="279"/>
      <c r="C290" s="279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  <c r="AO290" s="153"/>
      <c r="AP290" s="153"/>
      <c r="AQ290" s="153"/>
      <c r="AR290" s="153"/>
      <c r="AS290" s="153"/>
      <c r="AT290" s="153"/>
      <c r="AU290" s="153"/>
      <c r="AV290" s="153"/>
      <c r="AW290" s="153"/>
      <c r="AX290" s="153"/>
      <c r="AY290" s="153"/>
      <c r="AZ290" s="153"/>
      <c r="BA290" s="153"/>
      <c r="BB290" s="153"/>
      <c r="BC290" s="153"/>
      <c r="BD290" s="153"/>
      <c r="BE290" s="153"/>
      <c r="BF290" s="153"/>
      <c r="BG290" s="153"/>
      <c r="BH290" s="153"/>
      <c r="BI290" s="153"/>
      <c r="BJ290" s="82"/>
      <c r="BK290" s="82"/>
      <c r="BL290" s="82"/>
      <c r="BM290" s="82"/>
      <c r="BN290" s="82"/>
      <c r="BO290" s="119"/>
      <c r="BP290" s="82"/>
      <c r="BQ290" s="82"/>
      <c r="BR290" s="82"/>
      <c r="BS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</row>
    <row r="293" spans="1:82">
      <c r="I293" s="283">
        <f>+'[7]CASH  FLOW (3)'!$P$181</f>
        <v>571720010.48000002</v>
      </c>
      <c r="CD293" s="77">
        <f>SUM(J109:J110)</f>
        <v>1433000000</v>
      </c>
    </row>
    <row r="294" spans="1:82">
      <c r="I294" s="283">
        <f>+I113-I293</f>
        <v>3409775402.0516324</v>
      </c>
      <c r="L294" s="283">
        <f>L102-[6]PENGELUARAN!$J$83</f>
        <v>4325989636.8339958</v>
      </c>
    </row>
    <row r="295" spans="1:82">
      <c r="L295" s="283">
        <f>[6]PENGELUARAN!$M$83*1000000</f>
        <v>3408616672.75</v>
      </c>
    </row>
    <row r="296" spans="1:82">
      <c r="L296" s="283">
        <f>L294-L295</f>
        <v>917372964.08399582</v>
      </c>
    </row>
    <row r="297" spans="1:82">
      <c r="I297" s="283" t="s">
        <v>128</v>
      </c>
    </row>
    <row r="298" spans="1:82">
      <c r="C298" s="262" t="s">
        <v>135</v>
      </c>
      <c r="J298" s="283">
        <v>95488400</v>
      </c>
    </row>
    <row r="299" spans="1:82">
      <c r="C299" s="262" t="s">
        <v>136</v>
      </c>
      <c r="J299" s="283">
        <f>[3]JULI!$H$112</f>
        <v>136328714</v>
      </c>
    </row>
    <row r="300" spans="1:82">
      <c r="C300" s="262" t="s">
        <v>137</v>
      </c>
      <c r="J300" s="283">
        <f>[8]JULI!$G$312</f>
        <v>156009</v>
      </c>
    </row>
    <row r="301" spans="1:82">
      <c r="C301" s="262" t="s">
        <v>138</v>
      </c>
      <c r="J301" s="283">
        <v>22746010</v>
      </c>
    </row>
    <row r="302" spans="1:82">
      <c r="C302" s="262" t="s">
        <v>139</v>
      </c>
      <c r="J302" s="283">
        <v>53472958.619999997</v>
      </c>
    </row>
    <row r="303" spans="1:82">
      <c r="C303" s="262" t="s">
        <v>140</v>
      </c>
      <c r="J303" s="283">
        <v>101000000</v>
      </c>
    </row>
    <row r="304" spans="1:82">
      <c r="C304" s="262" t="s">
        <v>141</v>
      </c>
      <c r="J304" s="283">
        <v>204641444</v>
      </c>
    </row>
    <row r="305" spans="3:15">
      <c r="C305" s="262" t="s">
        <v>146</v>
      </c>
      <c r="J305" s="283">
        <v>11091584</v>
      </c>
    </row>
    <row r="306" spans="3:15">
      <c r="J306" s="283">
        <f>SUM(J298:J305)</f>
        <v>624925119.62</v>
      </c>
    </row>
    <row r="308" spans="3:15">
      <c r="J308" s="283">
        <f>J113-J306</f>
        <v>2606124735.0943689</v>
      </c>
    </row>
    <row r="310" spans="3:15">
      <c r="M310" s="283">
        <v>1</v>
      </c>
      <c r="N310" s="283">
        <v>75000000</v>
      </c>
      <c r="O310" s="283" t="s">
        <v>147</v>
      </c>
    </row>
    <row r="311" spans="3:15">
      <c r="M311" s="283">
        <v>2</v>
      </c>
      <c r="N311" s="283">
        <v>75000000</v>
      </c>
      <c r="O311" s="283" t="s">
        <v>148</v>
      </c>
    </row>
    <row r="312" spans="3:15">
      <c r="M312" s="283">
        <v>3</v>
      </c>
      <c r="N312" s="283">
        <v>75000000</v>
      </c>
      <c r="O312" s="283" t="s">
        <v>149</v>
      </c>
    </row>
    <row r="313" spans="3:15">
      <c r="M313" s="283">
        <v>4</v>
      </c>
      <c r="N313" s="283">
        <v>75000000</v>
      </c>
      <c r="O313" s="283" t="s">
        <v>150</v>
      </c>
    </row>
    <row r="314" spans="3:15">
      <c r="M314" s="283">
        <v>5</v>
      </c>
      <c r="N314" s="283">
        <v>75000000</v>
      </c>
      <c r="O314" s="283" t="s">
        <v>151</v>
      </c>
    </row>
    <row r="315" spans="3:15">
      <c r="M315" s="283">
        <v>6</v>
      </c>
      <c r="N315" s="283">
        <v>75000000</v>
      </c>
      <c r="O315" s="283" t="s">
        <v>152</v>
      </c>
    </row>
    <row r="316" spans="3:15">
      <c r="M316" s="283">
        <v>7</v>
      </c>
      <c r="N316" s="283">
        <v>75000000</v>
      </c>
      <c r="O316" s="283" t="s">
        <v>153</v>
      </c>
    </row>
    <row r="317" spans="3:15">
      <c r="M317" s="283">
        <v>8</v>
      </c>
      <c r="N317" s="283">
        <v>75000000</v>
      </c>
      <c r="O317" s="283" t="s">
        <v>154</v>
      </c>
    </row>
    <row r="318" spans="3:15">
      <c r="M318" s="283">
        <v>9</v>
      </c>
      <c r="N318" s="283">
        <v>75000000</v>
      </c>
      <c r="O318" s="283" t="s">
        <v>155</v>
      </c>
    </row>
    <row r="319" spans="3:15">
      <c r="M319" s="283">
        <v>10</v>
      </c>
      <c r="N319" s="283">
        <v>75000000</v>
      </c>
      <c r="O319" s="283" t="s">
        <v>156</v>
      </c>
    </row>
    <row r="320" spans="3:15">
      <c r="M320" s="283">
        <v>11</v>
      </c>
      <c r="N320" s="283">
        <v>75000000</v>
      </c>
      <c r="O320" s="283" t="s">
        <v>157</v>
      </c>
    </row>
    <row r="321" spans="13:15">
      <c r="M321" s="283">
        <v>12</v>
      </c>
      <c r="N321" s="283">
        <v>75000000</v>
      </c>
      <c r="O321" s="283" t="s">
        <v>158</v>
      </c>
    </row>
    <row r="322" spans="13:15">
      <c r="M322" s="283">
        <v>13</v>
      </c>
      <c r="N322" s="283">
        <v>75000000</v>
      </c>
      <c r="O322" s="283" t="s">
        <v>147</v>
      </c>
    </row>
    <row r="323" spans="13:15">
      <c r="M323" s="283">
        <v>14</v>
      </c>
      <c r="N323" s="283">
        <v>75000000</v>
      </c>
      <c r="O323" s="283" t="s">
        <v>148</v>
      </c>
    </row>
    <row r="324" spans="13:15">
      <c r="M324" s="283">
        <v>15</v>
      </c>
      <c r="N324" s="283">
        <v>75000000</v>
      </c>
      <c r="O324" s="283" t="s">
        <v>149</v>
      </c>
    </row>
    <row r="325" spans="13:15">
      <c r="M325" s="283">
        <v>16</v>
      </c>
      <c r="N325" s="283">
        <v>75000000</v>
      </c>
      <c r="O325" s="283" t="s">
        <v>150</v>
      </c>
    </row>
    <row r="326" spans="13:15">
      <c r="M326" s="283">
        <v>17</v>
      </c>
      <c r="N326" s="283">
        <v>75000000</v>
      </c>
      <c r="O326" s="283" t="s">
        <v>151</v>
      </c>
    </row>
    <row r="327" spans="13:15">
      <c r="M327" s="283">
        <v>18</v>
      </c>
      <c r="N327" s="283">
        <v>75000000</v>
      </c>
      <c r="O327" s="283" t="s">
        <v>152</v>
      </c>
    </row>
    <row r="328" spans="13:15">
      <c r="M328" s="283">
        <v>19</v>
      </c>
      <c r="N328" s="283">
        <v>75000000</v>
      </c>
      <c r="O328" s="283" t="s">
        <v>153</v>
      </c>
    </row>
    <row r="329" spans="13:15">
      <c r="M329" s="283">
        <v>20</v>
      </c>
      <c r="N329" s="283">
        <v>75000000</v>
      </c>
      <c r="O329" s="283" t="s">
        <v>154</v>
      </c>
    </row>
    <row r="330" spans="13:15">
      <c r="M330" s="283">
        <v>21</v>
      </c>
      <c r="N330" s="283">
        <v>75000000</v>
      </c>
      <c r="O330" s="283" t="s">
        <v>155</v>
      </c>
    </row>
    <row r="331" spans="13:15">
      <c r="M331" s="283">
        <v>22</v>
      </c>
      <c r="N331" s="283">
        <v>75000000</v>
      </c>
      <c r="O331" s="283" t="s">
        <v>156</v>
      </c>
    </row>
    <row r="332" spans="13:15">
      <c r="M332" s="283">
        <v>23</v>
      </c>
      <c r="N332" s="283">
        <v>75000000</v>
      </c>
      <c r="O332" s="283" t="s">
        <v>157</v>
      </c>
    </row>
    <row r="333" spans="13:15">
      <c r="M333" s="283">
        <v>24</v>
      </c>
      <c r="N333" s="283">
        <v>75000000</v>
      </c>
      <c r="O333" s="283" t="s">
        <v>147</v>
      </c>
    </row>
    <row r="334" spans="13:15">
      <c r="M334" s="283">
        <v>25</v>
      </c>
      <c r="N334" s="283">
        <v>75000000</v>
      </c>
      <c r="O334" s="283" t="s">
        <v>148</v>
      </c>
    </row>
    <row r="335" spans="13:15">
      <c r="M335" s="283">
        <v>26</v>
      </c>
      <c r="N335" s="283">
        <v>75000000</v>
      </c>
      <c r="O335" s="283" t="s">
        <v>149</v>
      </c>
    </row>
    <row r="336" spans="13:15">
      <c r="M336" s="283">
        <v>27</v>
      </c>
      <c r="N336" s="283">
        <v>75000000</v>
      </c>
      <c r="O336" s="283" t="s">
        <v>150</v>
      </c>
    </row>
    <row r="337" spans="13:15">
      <c r="M337" s="283">
        <v>28</v>
      </c>
      <c r="N337" s="283">
        <v>75000000</v>
      </c>
      <c r="O337" s="283" t="s">
        <v>151</v>
      </c>
    </row>
    <row r="338" spans="13:15">
      <c r="M338" s="283">
        <v>29</v>
      </c>
      <c r="N338" s="283">
        <v>75000000</v>
      </c>
      <c r="O338" s="283" t="s">
        <v>152</v>
      </c>
    </row>
    <row r="339" spans="13:15">
      <c r="M339" s="283">
        <v>30</v>
      </c>
      <c r="N339" s="283">
        <v>75000000</v>
      </c>
      <c r="O339" s="283" t="s">
        <v>153</v>
      </c>
    </row>
    <row r="340" spans="13:15">
      <c r="M340" s="283">
        <v>31</v>
      </c>
      <c r="N340" s="283">
        <v>75000000</v>
      </c>
      <c r="O340" s="283" t="s">
        <v>154</v>
      </c>
    </row>
    <row r="341" spans="13:15">
      <c r="M341" s="283">
        <v>32</v>
      </c>
      <c r="N341" s="283">
        <f>SUM(N310:N340)</f>
        <v>2325000000</v>
      </c>
    </row>
    <row r="342" spans="13:15">
      <c r="M342" s="283">
        <v>33</v>
      </c>
    </row>
    <row r="343" spans="13:15">
      <c r="M343" s="283">
        <v>34</v>
      </c>
    </row>
    <row r="344" spans="13:15">
      <c r="M344" s="283">
        <v>35</v>
      </c>
    </row>
    <row r="345" spans="13:15">
      <c r="M345" s="283">
        <v>36</v>
      </c>
    </row>
    <row r="346" spans="13:15">
      <c r="M346" s="283">
        <v>37</v>
      </c>
    </row>
  </sheetData>
  <mergeCells count="33">
    <mergeCell ref="P7:P9"/>
    <mergeCell ref="B238:C238"/>
    <mergeCell ref="B233:C233"/>
    <mergeCell ref="B234:C234"/>
    <mergeCell ref="B235:C235"/>
    <mergeCell ref="B236:C236"/>
    <mergeCell ref="B237:C237"/>
    <mergeCell ref="A113:C113"/>
    <mergeCell ref="B22:C22"/>
    <mergeCell ref="B18:C18"/>
    <mergeCell ref="B25:C25"/>
    <mergeCell ref="B27:D27"/>
    <mergeCell ref="D8:H8"/>
    <mergeCell ref="A111:C111"/>
    <mergeCell ref="B20:C20"/>
    <mergeCell ref="A7:C9"/>
    <mergeCell ref="D261:O261"/>
    <mergeCell ref="D262:O262"/>
    <mergeCell ref="B102:C102"/>
    <mergeCell ref="D263:O263"/>
    <mergeCell ref="A11:C11"/>
    <mergeCell ref="N7:O7"/>
    <mergeCell ref="N8:O8"/>
    <mergeCell ref="D7:H7"/>
    <mergeCell ref="B10:C10"/>
    <mergeCell ref="B23:C23"/>
    <mergeCell ref="B12:C12"/>
    <mergeCell ref="B14:C14"/>
    <mergeCell ref="B15:C15"/>
    <mergeCell ref="B16:C16"/>
    <mergeCell ref="B19:C19"/>
    <mergeCell ref="B21:C21"/>
    <mergeCell ref="B17:C17"/>
  </mergeCells>
  <pageMargins left="0.7" right="0" top="0.75" bottom="0.25" header="0.3" footer="0.3"/>
  <pageSetup paperSize="5" scale="8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GA628"/>
  <sheetViews>
    <sheetView zoomScale="85" zoomScaleNormal="85" workbookViewId="0">
      <pane xSplit="3" ySplit="7" topLeftCell="I109" activePane="bottomRight" state="frozen"/>
      <selection pane="topRight" activeCell="D1" sqref="D1"/>
      <selection pane="bottomLeft" activeCell="A4" sqref="A4"/>
      <selection pane="bottomRight" sqref="A1:P119"/>
    </sheetView>
  </sheetViews>
  <sheetFormatPr defaultRowHeight="15"/>
  <cols>
    <col min="1" max="1" width="3.5703125" style="262" customWidth="1"/>
    <col min="2" max="2" width="9.140625" style="262"/>
    <col min="3" max="3" width="27.28515625" style="262" customWidth="1"/>
    <col min="4" max="8" width="14.85546875" style="283" hidden="1" customWidth="1"/>
    <col min="9" max="13" width="14.42578125" style="283" hidden="1" customWidth="1"/>
    <col min="14" max="15" width="16.5703125" style="283" customWidth="1"/>
    <col min="16" max="16" width="17" style="283" bestFit="1" customWidth="1"/>
    <col min="17" max="155" width="17" style="136" customWidth="1"/>
    <col min="156" max="166" width="16" style="125" customWidth="1"/>
    <col min="167" max="167" width="16" style="74" customWidth="1"/>
    <col min="168" max="168" width="16.85546875" style="74" bestFit="1" customWidth="1"/>
    <col min="169" max="181" width="15" style="74" customWidth="1"/>
    <col min="182" max="182" width="9.85546875" customWidth="1"/>
    <col min="183" max="183" width="12.5703125" bestFit="1" customWidth="1"/>
  </cols>
  <sheetData>
    <row r="1" spans="1:181" ht="15.75">
      <c r="A1" s="237" t="s">
        <v>537</v>
      </c>
      <c r="B1" s="409"/>
      <c r="C1" s="409"/>
      <c r="D1" s="386"/>
      <c r="E1" s="387"/>
      <c r="F1" s="387"/>
      <c r="G1" s="387"/>
      <c r="H1" s="387"/>
      <c r="I1" s="387"/>
      <c r="J1" s="313" t="s">
        <v>272</v>
      </c>
    </row>
    <row r="2" spans="1:181" s="213" customFormat="1" ht="15.75">
      <c r="A2" s="410" t="s">
        <v>226</v>
      </c>
      <c r="B2" s="411"/>
      <c r="C2" s="411"/>
      <c r="D2" s="313"/>
      <c r="E2" s="313"/>
      <c r="F2" s="313"/>
      <c r="G2" s="313"/>
      <c r="H2" s="313"/>
      <c r="I2" s="313"/>
      <c r="J2" s="313"/>
      <c r="K2" s="356"/>
      <c r="L2" s="356"/>
      <c r="M2" s="356"/>
      <c r="N2" s="356"/>
      <c r="O2" s="356"/>
      <c r="P2" s="356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  <c r="CT2" s="211"/>
      <c r="CU2" s="211"/>
      <c r="CV2" s="211"/>
      <c r="CW2" s="211"/>
      <c r="CX2" s="211"/>
      <c r="CY2" s="211"/>
      <c r="CZ2" s="211"/>
      <c r="DA2" s="211"/>
      <c r="DB2" s="211"/>
      <c r="DC2" s="211"/>
      <c r="DD2" s="211"/>
      <c r="DE2" s="211"/>
      <c r="DF2" s="211"/>
      <c r="DG2" s="211"/>
      <c r="DH2" s="211"/>
      <c r="DI2" s="211"/>
      <c r="DJ2" s="211"/>
      <c r="DK2" s="211"/>
      <c r="DL2" s="211"/>
      <c r="DM2" s="211"/>
      <c r="DN2" s="211"/>
      <c r="DO2" s="211"/>
      <c r="DP2" s="211"/>
      <c r="DQ2" s="211"/>
      <c r="DR2" s="211"/>
      <c r="DS2" s="211"/>
      <c r="DT2" s="211"/>
      <c r="DU2" s="211"/>
      <c r="DV2" s="211"/>
      <c r="DW2" s="211"/>
      <c r="DX2" s="211"/>
      <c r="DY2" s="211"/>
      <c r="DZ2" s="211"/>
      <c r="EA2" s="211"/>
      <c r="EB2" s="211"/>
      <c r="EC2" s="211"/>
      <c r="ED2" s="211"/>
      <c r="EE2" s="211"/>
      <c r="EF2" s="211"/>
      <c r="EG2" s="211"/>
      <c r="EH2" s="211"/>
      <c r="EI2" s="211"/>
      <c r="EJ2" s="211"/>
      <c r="EK2" s="211"/>
      <c r="EL2" s="211"/>
      <c r="EM2" s="211"/>
      <c r="EN2" s="211"/>
      <c r="EO2" s="211"/>
      <c r="EP2" s="211"/>
      <c r="EQ2" s="211"/>
      <c r="ER2" s="211"/>
      <c r="ES2" s="211"/>
      <c r="ET2" s="211"/>
      <c r="EU2" s="211"/>
      <c r="EV2" s="211"/>
      <c r="EW2" s="211"/>
      <c r="EX2" s="211"/>
      <c r="EY2" s="211"/>
      <c r="EZ2" s="211"/>
      <c r="FA2" s="211"/>
      <c r="FB2" s="211"/>
      <c r="FC2" s="211"/>
      <c r="FD2" s="211"/>
      <c r="FE2" s="211"/>
      <c r="FF2" s="211"/>
      <c r="FG2" s="211"/>
      <c r="FH2" s="211"/>
      <c r="FI2" s="211"/>
      <c r="FJ2" s="211"/>
      <c r="FK2" s="212"/>
      <c r="FL2" s="212"/>
      <c r="FM2" s="212"/>
      <c r="FN2" s="212"/>
      <c r="FO2" s="212"/>
      <c r="FP2" s="212"/>
      <c r="FQ2" s="212"/>
      <c r="FR2" s="212"/>
      <c r="FS2" s="212"/>
      <c r="FT2" s="212"/>
      <c r="FU2" s="212"/>
      <c r="FV2" s="212"/>
      <c r="FW2" s="212"/>
      <c r="FX2" s="212"/>
      <c r="FY2" s="212"/>
    </row>
    <row r="3" spans="1:181" s="213" customFormat="1" ht="15.75">
      <c r="A3" s="410" t="s">
        <v>232</v>
      </c>
      <c r="B3" s="411"/>
      <c r="C3" s="411"/>
      <c r="D3" s="313" t="s">
        <v>276</v>
      </c>
      <c r="E3" s="313" t="s">
        <v>275</v>
      </c>
      <c r="F3" s="313"/>
      <c r="G3" s="313">
        <v>50</v>
      </c>
      <c r="H3" s="313"/>
      <c r="I3" s="313" t="s">
        <v>273</v>
      </c>
      <c r="J3" s="313">
        <v>75</v>
      </c>
      <c r="K3" s="356"/>
      <c r="L3" s="356"/>
      <c r="M3" s="356"/>
      <c r="N3" s="356"/>
      <c r="O3" s="356"/>
      <c r="P3" s="356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  <c r="CT3" s="211"/>
      <c r="CU3" s="211"/>
      <c r="CV3" s="211"/>
      <c r="CW3" s="211"/>
      <c r="CX3" s="211"/>
      <c r="CY3" s="211"/>
      <c r="CZ3" s="211"/>
      <c r="DA3" s="211"/>
      <c r="DB3" s="211"/>
      <c r="DC3" s="211"/>
      <c r="DD3" s="211"/>
      <c r="DE3" s="211"/>
      <c r="DF3" s="211"/>
      <c r="DG3" s="211"/>
      <c r="DH3" s="211"/>
      <c r="DI3" s="211"/>
      <c r="DJ3" s="211"/>
      <c r="DK3" s="211"/>
      <c r="DL3" s="211"/>
      <c r="DM3" s="211"/>
      <c r="DN3" s="211"/>
      <c r="DO3" s="211"/>
      <c r="DP3" s="211"/>
      <c r="DQ3" s="211"/>
      <c r="DR3" s="211"/>
      <c r="DS3" s="211"/>
      <c r="DT3" s="211"/>
      <c r="DU3" s="211"/>
      <c r="DV3" s="211"/>
      <c r="DW3" s="211"/>
      <c r="DX3" s="211"/>
      <c r="DY3" s="211"/>
      <c r="DZ3" s="211"/>
      <c r="EA3" s="211"/>
      <c r="EB3" s="211"/>
      <c r="EC3" s="211"/>
      <c r="ED3" s="211"/>
      <c r="EE3" s="211"/>
      <c r="EF3" s="211"/>
      <c r="EG3" s="211"/>
      <c r="EH3" s="211"/>
      <c r="EI3" s="211"/>
      <c r="EJ3" s="211"/>
      <c r="EK3" s="211"/>
      <c r="EL3" s="211"/>
      <c r="EM3" s="211"/>
      <c r="EN3" s="211"/>
      <c r="EO3" s="211"/>
      <c r="EP3" s="211"/>
      <c r="EQ3" s="211"/>
      <c r="ER3" s="211"/>
      <c r="ES3" s="211"/>
      <c r="ET3" s="211"/>
      <c r="EU3" s="211"/>
      <c r="EV3" s="211"/>
      <c r="EW3" s="211"/>
      <c r="EX3" s="211"/>
      <c r="EY3" s="211"/>
      <c r="EZ3" s="211">
        <f>200000000*12</f>
        <v>2400000000</v>
      </c>
      <c r="FA3" s="211"/>
      <c r="FB3" s="211"/>
      <c r="FC3" s="211"/>
      <c r="FD3" s="211"/>
      <c r="FE3" s="211"/>
      <c r="FF3" s="211"/>
      <c r="FG3" s="211"/>
      <c r="FH3" s="211"/>
      <c r="FI3" s="211"/>
      <c r="FJ3" s="211"/>
      <c r="FK3" s="212"/>
      <c r="FL3" s="212"/>
      <c r="FM3" s="212"/>
      <c r="FN3" s="212"/>
      <c r="FO3" s="212"/>
      <c r="FP3" s="212"/>
      <c r="FQ3" s="212"/>
      <c r="FR3" s="212"/>
      <c r="FS3" s="212"/>
      <c r="FT3" s="212"/>
      <c r="FU3" s="212"/>
      <c r="FV3" s="212"/>
      <c r="FW3" s="212"/>
      <c r="FX3" s="212"/>
      <c r="FY3" s="212"/>
    </row>
    <row r="4" spans="1:181" s="213" customFormat="1">
      <c r="A4" s="377"/>
      <c r="B4" s="377"/>
      <c r="C4" s="377"/>
      <c r="D4" s="313"/>
      <c r="E4" s="313"/>
      <c r="F4" s="313"/>
      <c r="G4" s="313"/>
      <c r="H4" s="313"/>
      <c r="I4" s="313"/>
      <c r="J4" s="313" t="s">
        <v>274</v>
      </c>
      <c r="K4" s="356"/>
      <c r="L4" s="356"/>
      <c r="M4" s="356"/>
      <c r="N4" s="356"/>
      <c r="O4" s="356"/>
      <c r="P4" s="356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  <c r="CT4" s="211"/>
      <c r="CU4" s="211"/>
      <c r="CV4" s="211"/>
      <c r="CW4" s="211"/>
      <c r="CX4" s="211"/>
      <c r="CY4" s="211"/>
      <c r="CZ4" s="211"/>
      <c r="DA4" s="211"/>
      <c r="DB4" s="211"/>
      <c r="DC4" s="211"/>
      <c r="DD4" s="211"/>
      <c r="DE4" s="211"/>
      <c r="DF4" s="211"/>
      <c r="DG4" s="211"/>
      <c r="DH4" s="211"/>
      <c r="DI4" s="211"/>
      <c r="DJ4" s="211"/>
      <c r="DK4" s="211"/>
      <c r="DL4" s="211"/>
      <c r="DM4" s="211"/>
      <c r="DN4" s="211"/>
      <c r="DO4" s="211"/>
      <c r="DP4" s="211"/>
      <c r="DQ4" s="211"/>
      <c r="DR4" s="211"/>
      <c r="DS4" s="211"/>
      <c r="DT4" s="211"/>
      <c r="DU4" s="211"/>
      <c r="DV4" s="211"/>
      <c r="DW4" s="211"/>
      <c r="DX4" s="211"/>
      <c r="DY4" s="211"/>
      <c r="DZ4" s="211"/>
      <c r="EA4" s="211"/>
      <c r="EB4" s="211"/>
      <c r="EC4" s="211"/>
      <c r="ED4" s="211"/>
      <c r="EE4" s="211"/>
      <c r="EF4" s="211"/>
      <c r="EG4" s="211"/>
      <c r="EH4" s="211"/>
      <c r="EI4" s="211"/>
      <c r="EJ4" s="211"/>
      <c r="EK4" s="211"/>
      <c r="EL4" s="211"/>
      <c r="EM4" s="211"/>
      <c r="EN4" s="211"/>
      <c r="EO4" s="211"/>
      <c r="EP4" s="211"/>
      <c r="EQ4" s="211"/>
      <c r="ER4" s="211"/>
      <c r="ES4" s="211"/>
      <c r="ET4" s="211"/>
      <c r="EU4" s="211"/>
      <c r="EV4" s="211"/>
      <c r="EW4" s="211"/>
      <c r="EX4" s="211"/>
      <c r="EY4" s="211"/>
      <c r="EZ4" s="211">
        <f>EZ3/5</f>
        <v>480000000</v>
      </c>
      <c r="FA4" s="211"/>
      <c r="FB4" s="211"/>
      <c r="FC4" s="211"/>
      <c r="FD4" s="211"/>
      <c r="FE4" s="211"/>
      <c r="FF4" s="211"/>
      <c r="FG4" s="211"/>
      <c r="FH4" s="211"/>
      <c r="FI4" s="211"/>
      <c r="FJ4" s="211"/>
      <c r="FK4" s="212"/>
      <c r="FL4" s="212"/>
      <c r="FM4" s="212"/>
      <c r="FN4" s="212"/>
      <c r="FO4" s="212"/>
      <c r="FP4" s="212"/>
      <c r="FQ4" s="212"/>
      <c r="FR4" s="212"/>
      <c r="FS4" s="212"/>
      <c r="FT4" s="212"/>
      <c r="FU4" s="212"/>
      <c r="FV4" s="212"/>
      <c r="FW4" s="212"/>
      <c r="FX4" s="212"/>
      <c r="FY4" s="212"/>
    </row>
    <row r="5" spans="1:181">
      <c r="A5" s="602" t="s">
        <v>1</v>
      </c>
      <c r="B5" s="603"/>
      <c r="C5" s="603"/>
      <c r="D5" s="588" t="s">
        <v>3</v>
      </c>
      <c r="E5" s="589"/>
      <c r="F5" s="589"/>
      <c r="G5" s="589"/>
      <c r="H5" s="590"/>
      <c r="I5" s="349" t="s">
        <v>3</v>
      </c>
      <c r="J5" s="350"/>
      <c r="K5" s="350"/>
      <c r="L5" s="350"/>
      <c r="M5" s="351"/>
      <c r="N5" s="588" t="s">
        <v>3</v>
      </c>
      <c r="O5" s="590"/>
      <c r="P5" s="615" t="s">
        <v>235</v>
      </c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162"/>
      <c r="DK5" s="162"/>
      <c r="DL5" s="162"/>
      <c r="DM5" s="162"/>
      <c r="DN5" s="162"/>
      <c r="DO5" s="162"/>
      <c r="DP5" s="162"/>
      <c r="DQ5" s="162"/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/>
      <c r="EF5" s="162"/>
      <c r="EG5" s="162"/>
      <c r="EH5" s="162"/>
      <c r="EI5" s="162"/>
      <c r="EJ5" s="162"/>
      <c r="EK5" s="162"/>
      <c r="EL5" s="162"/>
      <c r="EM5" s="162"/>
      <c r="EN5" s="162"/>
      <c r="EO5" s="162"/>
      <c r="EP5" s="162"/>
      <c r="EQ5" s="162"/>
      <c r="ER5" s="162"/>
      <c r="ES5" s="162"/>
      <c r="ET5" s="162"/>
      <c r="EU5" s="162"/>
      <c r="EV5" s="162"/>
      <c r="EW5" s="162"/>
      <c r="EX5" s="162"/>
      <c r="EY5" s="162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</row>
    <row r="6" spans="1:181">
      <c r="A6" s="604"/>
      <c r="B6" s="605"/>
      <c r="C6" s="605"/>
      <c r="D6" s="619" t="s">
        <v>126</v>
      </c>
      <c r="E6" s="621"/>
      <c r="F6" s="621"/>
      <c r="G6" s="621"/>
      <c r="H6" s="620"/>
      <c r="I6" s="383" t="s">
        <v>126</v>
      </c>
      <c r="J6" s="345"/>
      <c r="K6" s="345"/>
      <c r="L6" s="345"/>
      <c r="M6" s="346"/>
      <c r="N6" s="619" t="s">
        <v>126</v>
      </c>
      <c r="O6" s="620"/>
      <c r="P6" s="616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  <c r="CT6" s="162"/>
      <c r="CU6" s="162"/>
      <c r="CV6" s="162"/>
      <c r="CW6" s="162"/>
      <c r="CX6" s="162"/>
      <c r="CY6" s="162"/>
      <c r="CZ6" s="162"/>
      <c r="DA6" s="162"/>
      <c r="DB6" s="162"/>
      <c r="DC6" s="162"/>
      <c r="DD6" s="162"/>
      <c r="DE6" s="162"/>
      <c r="DF6" s="162"/>
      <c r="DG6" s="162"/>
      <c r="DH6" s="162"/>
      <c r="DI6" s="162"/>
      <c r="DJ6" s="162"/>
      <c r="DK6" s="162"/>
      <c r="DL6" s="162"/>
      <c r="DM6" s="162"/>
      <c r="DN6" s="162"/>
      <c r="DO6" s="162"/>
      <c r="DP6" s="162"/>
      <c r="DQ6" s="162"/>
      <c r="DR6" s="162"/>
      <c r="DS6" s="162"/>
      <c r="DT6" s="162"/>
      <c r="DU6" s="162"/>
      <c r="DV6" s="162"/>
      <c r="DW6" s="162"/>
      <c r="DX6" s="162"/>
      <c r="DY6" s="162"/>
      <c r="DZ6" s="162"/>
      <c r="EA6" s="162"/>
      <c r="EB6" s="162"/>
      <c r="EC6" s="162"/>
      <c r="ED6" s="162"/>
      <c r="EE6" s="162"/>
      <c r="EF6" s="162"/>
      <c r="EG6" s="162"/>
      <c r="EH6" s="162"/>
      <c r="EI6" s="162"/>
      <c r="EJ6" s="162"/>
      <c r="EK6" s="162"/>
      <c r="EL6" s="162"/>
      <c r="EM6" s="162"/>
      <c r="EN6" s="162"/>
      <c r="EO6" s="162"/>
      <c r="EP6" s="162"/>
      <c r="EQ6" s="162"/>
      <c r="ER6" s="162"/>
      <c r="ES6" s="162"/>
      <c r="ET6" s="162"/>
      <c r="EU6" s="162"/>
      <c r="EV6" s="162"/>
      <c r="EW6" s="162"/>
      <c r="EX6" s="162"/>
      <c r="EY6" s="162"/>
      <c r="EZ6" s="127"/>
      <c r="FA6" s="127"/>
      <c r="FB6" s="127"/>
      <c r="FC6" s="127"/>
      <c r="FD6" s="127"/>
      <c r="FE6" s="127"/>
      <c r="FF6" s="127"/>
      <c r="FG6" s="127"/>
      <c r="FH6" s="127"/>
      <c r="FI6" s="127"/>
      <c r="FJ6" s="127"/>
      <c r="FK6" s="127"/>
      <c r="FL6" s="79"/>
      <c r="FM6" s="79"/>
      <c r="FN6" s="79"/>
      <c r="FO6" s="79"/>
      <c r="FP6" s="79"/>
      <c r="FQ6" s="79"/>
      <c r="FR6" s="79"/>
      <c r="FS6" s="79"/>
      <c r="FT6" s="79"/>
      <c r="FU6" s="79"/>
      <c r="FV6" s="79"/>
      <c r="FW6" s="79"/>
      <c r="FX6" s="79"/>
      <c r="FY6" s="79"/>
    </row>
    <row r="7" spans="1:181">
      <c r="A7" s="604"/>
      <c r="B7" s="605"/>
      <c r="C7" s="605"/>
      <c r="D7" s="264" t="s">
        <v>4</v>
      </c>
      <c r="E7" s="264" t="s">
        <v>5</v>
      </c>
      <c r="F7" s="264" t="s">
        <v>6</v>
      </c>
      <c r="G7" s="264" t="s">
        <v>7</v>
      </c>
      <c r="H7" s="264" t="s">
        <v>8</v>
      </c>
      <c r="I7" s="264" t="s">
        <v>9</v>
      </c>
      <c r="J7" s="264" t="s">
        <v>127</v>
      </c>
      <c r="K7" s="264" t="s">
        <v>129</v>
      </c>
      <c r="L7" s="264" t="s">
        <v>130</v>
      </c>
      <c r="M7" s="264" t="s">
        <v>131</v>
      </c>
      <c r="N7" s="264" t="s">
        <v>132</v>
      </c>
      <c r="O7" s="264" t="s">
        <v>133</v>
      </c>
      <c r="P7" s="616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  <c r="CT7" s="162"/>
      <c r="CU7" s="162"/>
      <c r="CV7" s="162"/>
      <c r="CW7" s="162"/>
      <c r="CX7" s="162"/>
      <c r="CY7" s="162"/>
      <c r="CZ7" s="162"/>
      <c r="DA7" s="162"/>
      <c r="DB7" s="162"/>
      <c r="DC7" s="162"/>
      <c r="DD7" s="162"/>
      <c r="DE7" s="162"/>
      <c r="DF7" s="162"/>
      <c r="DG7" s="162"/>
      <c r="DH7" s="162"/>
      <c r="DI7" s="162"/>
      <c r="DJ7" s="162"/>
      <c r="DK7" s="162"/>
      <c r="DL7" s="162"/>
      <c r="DM7" s="162"/>
      <c r="DN7" s="162"/>
      <c r="DO7" s="162"/>
      <c r="DP7" s="162"/>
      <c r="DQ7" s="162"/>
      <c r="DR7" s="162"/>
      <c r="DS7" s="162"/>
      <c r="DT7" s="162"/>
      <c r="DU7" s="162"/>
      <c r="DV7" s="162"/>
      <c r="DW7" s="162"/>
      <c r="DX7" s="162"/>
      <c r="DY7" s="162"/>
      <c r="DZ7" s="162"/>
      <c r="EA7" s="162"/>
      <c r="EB7" s="162"/>
      <c r="EC7" s="162"/>
      <c r="ED7" s="162"/>
      <c r="EE7" s="162"/>
      <c r="EF7" s="162"/>
      <c r="EG7" s="162"/>
      <c r="EH7" s="162"/>
      <c r="EI7" s="162"/>
      <c r="EJ7" s="162"/>
      <c r="EK7" s="162"/>
      <c r="EL7" s="162"/>
      <c r="EM7" s="162"/>
      <c r="EN7" s="162"/>
      <c r="EO7" s="162"/>
      <c r="EP7" s="162"/>
      <c r="EQ7" s="162"/>
      <c r="ER7" s="162"/>
      <c r="ES7" s="162"/>
      <c r="ET7" s="162"/>
      <c r="EU7" s="162"/>
      <c r="EV7" s="162"/>
      <c r="EW7" s="162"/>
      <c r="EX7" s="162"/>
      <c r="EY7" s="162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</row>
    <row r="8" spans="1:181">
      <c r="A8" s="361"/>
      <c r="B8" s="605" t="s">
        <v>215</v>
      </c>
      <c r="C8" s="605"/>
      <c r="D8" s="264">
        <f>D9-'CF 2018'!O11</f>
        <v>-16</v>
      </c>
      <c r="E8" s="359">
        <f>E9-D9</f>
        <v>2</v>
      </c>
      <c r="F8" s="359">
        <f t="shared" ref="F8" si="0">F9-E9</f>
        <v>2</v>
      </c>
      <c r="G8" s="359">
        <f>G9-F9</f>
        <v>-4</v>
      </c>
      <c r="H8" s="359">
        <f t="shared" ref="H8:K8" si="1">H9-G9</f>
        <v>1</v>
      </c>
      <c r="I8" s="359">
        <f t="shared" si="1"/>
        <v>1</v>
      </c>
      <c r="J8" s="359">
        <f t="shared" si="1"/>
        <v>-2</v>
      </c>
      <c r="K8" s="359">
        <f t="shared" si="1"/>
        <v>2</v>
      </c>
      <c r="L8" s="359">
        <f t="shared" ref="L8" si="2">L9-K9</f>
        <v>2</v>
      </c>
      <c r="M8" s="359">
        <f t="shared" ref="M8" si="3">M9-L9</f>
        <v>2</v>
      </c>
      <c r="N8" s="359">
        <f t="shared" ref="N8" si="4">N9-M9</f>
        <v>4</v>
      </c>
      <c r="O8" s="359">
        <f t="shared" ref="O8" si="5">O9-N9</f>
        <v>2</v>
      </c>
      <c r="P8" s="368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  <c r="BY8" s="164"/>
      <c r="BZ8" s="164"/>
      <c r="CA8" s="164"/>
      <c r="CB8" s="164"/>
      <c r="CC8" s="164"/>
      <c r="CD8" s="164"/>
      <c r="CE8" s="164"/>
      <c r="CF8" s="164"/>
      <c r="CG8" s="164"/>
      <c r="CH8" s="164"/>
      <c r="CI8" s="164"/>
      <c r="CJ8" s="164"/>
      <c r="CK8" s="164"/>
      <c r="CL8" s="164"/>
      <c r="CM8" s="164"/>
      <c r="CN8" s="164"/>
      <c r="CO8" s="164"/>
      <c r="CP8" s="164"/>
      <c r="CQ8" s="164"/>
      <c r="CR8" s="164"/>
      <c r="CS8" s="164"/>
      <c r="CT8" s="164"/>
      <c r="CU8" s="164"/>
      <c r="CV8" s="164"/>
      <c r="CW8" s="164"/>
      <c r="CX8" s="164"/>
      <c r="CY8" s="164"/>
      <c r="CZ8" s="164"/>
      <c r="DA8" s="164"/>
      <c r="DB8" s="164"/>
      <c r="DC8" s="164"/>
      <c r="DD8" s="164"/>
      <c r="DE8" s="164"/>
      <c r="DF8" s="164"/>
      <c r="DG8" s="164"/>
      <c r="DH8" s="164"/>
      <c r="DI8" s="164"/>
      <c r="DJ8" s="164"/>
      <c r="DK8" s="164"/>
      <c r="DL8" s="164"/>
      <c r="DM8" s="164"/>
      <c r="DN8" s="164"/>
      <c r="DO8" s="164"/>
      <c r="DP8" s="164"/>
      <c r="DQ8" s="164"/>
      <c r="DR8" s="164"/>
      <c r="DS8" s="164"/>
      <c r="DT8" s="164"/>
      <c r="DU8" s="164"/>
      <c r="DV8" s="164"/>
      <c r="DW8" s="164"/>
      <c r="DX8" s="164"/>
      <c r="DY8" s="164"/>
      <c r="DZ8" s="164"/>
      <c r="EA8" s="164"/>
      <c r="EB8" s="164"/>
      <c r="EC8" s="164"/>
      <c r="ED8" s="164"/>
      <c r="EE8" s="164"/>
      <c r="EF8" s="164"/>
      <c r="EG8" s="164"/>
      <c r="EH8" s="164"/>
      <c r="EI8" s="164"/>
      <c r="EJ8" s="164"/>
      <c r="EK8" s="164"/>
      <c r="EL8" s="164"/>
      <c r="EM8" s="164"/>
      <c r="EN8" s="164"/>
      <c r="EO8" s="164"/>
      <c r="EP8" s="164"/>
      <c r="EQ8" s="164"/>
      <c r="ER8" s="164"/>
      <c r="ES8" s="164"/>
      <c r="ET8" s="164"/>
      <c r="EU8" s="164"/>
      <c r="EV8" s="164"/>
      <c r="EW8" s="164"/>
      <c r="EX8" s="164"/>
      <c r="EY8" s="164"/>
      <c r="EZ8" s="123"/>
      <c r="FA8" s="123"/>
      <c r="FB8" s="123"/>
      <c r="FC8" s="123"/>
      <c r="FD8" s="123"/>
      <c r="FE8" s="123"/>
      <c r="FF8" s="123"/>
      <c r="FG8" s="123"/>
      <c r="FH8" s="123"/>
      <c r="FI8" s="123"/>
      <c r="FJ8" s="123"/>
      <c r="FK8" s="123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</row>
    <row r="9" spans="1:181" s="124" customFormat="1">
      <c r="A9" s="606" t="s">
        <v>134</v>
      </c>
      <c r="B9" s="607"/>
      <c r="C9" s="607"/>
      <c r="D9" s="275">
        <v>70</v>
      </c>
      <c r="E9" s="275">
        <v>72</v>
      </c>
      <c r="F9" s="275">
        <v>74</v>
      </c>
      <c r="G9" s="275">
        <v>70</v>
      </c>
      <c r="H9" s="275">
        <v>71</v>
      </c>
      <c r="I9" s="275">
        <v>72</v>
      </c>
      <c r="J9" s="275">
        <v>70</v>
      </c>
      <c r="K9" s="264">
        <v>72</v>
      </c>
      <c r="L9" s="264">
        <v>74</v>
      </c>
      <c r="M9" s="264">
        <v>76</v>
      </c>
      <c r="N9" s="264">
        <v>80</v>
      </c>
      <c r="O9" s="264">
        <v>82</v>
      </c>
      <c r="P9" s="321">
        <f>SUM(D9:O9)/12</f>
        <v>73.583333333333329</v>
      </c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63"/>
      <c r="BW9" s="163"/>
      <c r="BX9" s="163"/>
      <c r="BY9" s="163"/>
      <c r="BZ9" s="163"/>
      <c r="CA9" s="163"/>
      <c r="CB9" s="163"/>
      <c r="CC9" s="163"/>
      <c r="CD9" s="163"/>
      <c r="CE9" s="163"/>
      <c r="CF9" s="163"/>
      <c r="CG9" s="163"/>
      <c r="CH9" s="163"/>
      <c r="CI9" s="163"/>
      <c r="CJ9" s="163"/>
      <c r="CK9" s="163"/>
      <c r="CL9" s="163"/>
      <c r="CM9" s="163"/>
      <c r="CN9" s="163"/>
      <c r="CO9" s="163"/>
      <c r="CP9" s="163"/>
      <c r="CQ9" s="163"/>
      <c r="CR9" s="163"/>
      <c r="CS9" s="163"/>
      <c r="CT9" s="163"/>
      <c r="CU9" s="163"/>
      <c r="CV9" s="163"/>
      <c r="CW9" s="163"/>
      <c r="CX9" s="163"/>
      <c r="CY9" s="163"/>
      <c r="CZ9" s="163"/>
      <c r="DA9" s="163"/>
      <c r="DB9" s="163"/>
      <c r="DC9" s="163"/>
      <c r="DD9" s="163"/>
      <c r="DE9" s="163"/>
      <c r="DF9" s="163"/>
      <c r="DG9" s="163"/>
      <c r="DH9" s="163"/>
      <c r="DI9" s="163"/>
      <c r="DJ9" s="163"/>
      <c r="DK9" s="163"/>
      <c r="DL9" s="163"/>
      <c r="DM9" s="163"/>
      <c r="DN9" s="163"/>
      <c r="DO9" s="163"/>
      <c r="DP9" s="163"/>
      <c r="DQ9" s="163"/>
      <c r="DR9" s="163"/>
      <c r="DS9" s="163"/>
      <c r="DT9" s="163"/>
      <c r="DU9" s="163"/>
      <c r="DV9" s="163"/>
      <c r="DW9" s="163"/>
      <c r="DX9" s="163"/>
      <c r="DY9" s="163"/>
      <c r="DZ9" s="163"/>
      <c r="EA9" s="163"/>
      <c r="EB9" s="163"/>
      <c r="EC9" s="163"/>
      <c r="ED9" s="163"/>
      <c r="EE9" s="163"/>
      <c r="EF9" s="163"/>
      <c r="EG9" s="163"/>
      <c r="EH9" s="163"/>
      <c r="EI9" s="163"/>
      <c r="EJ9" s="163"/>
      <c r="EK9" s="163"/>
      <c r="EL9" s="163"/>
      <c r="EM9" s="163"/>
      <c r="EN9" s="163"/>
      <c r="EO9" s="163"/>
      <c r="EP9" s="163"/>
      <c r="EQ9" s="163"/>
      <c r="ER9" s="163"/>
      <c r="ES9" s="163"/>
      <c r="ET9" s="163"/>
      <c r="EU9" s="163"/>
      <c r="EV9" s="163"/>
      <c r="EW9" s="163"/>
      <c r="EX9" s="163"/>
      <c r="EY9" s="163"/>
      <c r="EZ9" s="80"/>
      <c r="FA9" s="80">
        <f>+P16+'CF 2018'!P17+'CF 2017'!P16+'CF 2016'!P16</f>
        <v>9765000000</v>
      </c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</row>
    <row r="10" spans="1:181">
      <c r="A10" s="378"/>
      <c r="B10" s="379"/>
      <c r="C10" s="379"/>
      <c r="D10" s="275"/>
      <c r="E10" s="275"/>
      <c r="F10" s="275"/>
      <c r="G10" s="275"/>
      <c r="H10" s="275"/>
      <c r="I10" s="275"/>
      <c r="J10" s="275"/>
      <c r="K10" s="264"/>
      <c r="L10" s="264"/>
      <c r="M10" s="264"/>
      <c r="N10" s="264"/>
      <c r="O10" s="264"/>
      <c r="P10" s="321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  <c r="DB10" s="163"/>
      <c r="DC10" s="163"/>
      <c r="DD10" s="163"/>
      <c r="DE10" s="163"/>
      <c r="DF10" s="163"/>
      <c r="DG10" s="163"/>
      <c r="DH10" s="163"/>
      <c r="DI10" s="163"/>
      <c r="DJ10" s="163"/>
      <c r="DK10" s="163"/>
      <c r="DL10" s="163"/>
      <c r="DM10" s="163"/>
      <c r="DN10" s="163"/>
      <c r="DO10" s="163"/>
      <c r="DP10" s="163"/>
      <c r="DQ10" s="163"/>
      <c r="DR10" s="163"/>
      <c r="DS10" s="163"/>
      <c r="DT10" s="163"/>
      <c r="DU10" s="163"/>
      <c r="DV10" s="163"/>
      <c r="DW10" s="163"/>
      <c r="DX10" s="163"/>
      <c r="DY10" s="163"/>
      <c r="DZ10" s="163"/>
      <c r="EA10" s="163"/>
      <c r="EB10" s="163"/>
      <c r="EC10" s="163"/>
      <c r="ED10" s="163"/>
      <c r="EE10" s="163"/>
      <c r="EF10" s="163"/>
      <c r="EG10" s="163"/>
      <c r="EH10" s="163"/>
      <c r="EI10" s="163"/>
      <c r="EJ10" s="163"/>
      <c r="EK10" s="163"/>
      <c r="EL10" s="163"/>
      <c r="EM10" s="163"/>
      <c r="EN10" s="163"/>
      <c r="EO10" s="163"/>
      <c r="EP10" s="163"/>
      <c r="EQ10" s="163"/>
      <c r="ER10" s="163"/>
      <c r="ES10" s="163"/>
      <c r="ET10" s="163"/>
      <c r="EU10" s="163"/>
      <c r="EV10" s="163"/>
      <c r="EW10" s="163"/>
      <c r="EX10" s="163"/>
      <c r="EY10" s="163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</row>
    <row r="11" spans="1:181">
      <c r="A11" s="265" t="s">
        <v>10</v>
      </c>
      <c r="B11" s="594" t="s">
        <v>11</v>
      </c>
      <c r="C11" s="594"/>
      <c r="D11" s="264">
        <f>+'CF 2018'!O113</f>
        <v>1130494004.7982759</v>
      </c>
      <c r="E11" s="264">
        <f>+D119</f>
        <v>1811752537.2003708</v>
      </c>
      <c r="F11" s="264">
        <f t="shared" ref="F11:O11" si="6">+E119</f>
        <v>1319924210.8177147</v>
      </c>
      <c r="G11" s="264">
        <f t="shared" si="6"/>
        <v>1823618825.9090405</v>
      </c>
      <c r="H11" s="264">
        <f t="shared" si="6"/>
        <v>1505974055.7938271</v>
      </c>
      <c r="I11" s="264">
        <f t="shared" si="6"/>
        <v>1496057207.9268389</v>
      </c>
      <c r="J11" s="264">
        <f t="shared" si="6"/>
        <v>366573700.27810287</v>
      </c>
      <c r="K11" s="264">
        <f t="shared" si="6"/>
        <v>374526863.52059937</v>
      </c>
      <c r="L11" s="264">
        <f t="shared" si="6"/>
        <v>287959263.87882996</v>
      </c>
      <c r="M11" s="264">
        <f t="shared" si="6"/>
        <v>419505186.97398567</v>
      </c>
      <c r="N11" s="264">
        <f t="shared" si="6"/>
        <v>304391108.41743279</v>
      </c>
      <c r="O11" s="264">
        <f t="shared" si="6"/>
        <v>293496071.98563957</v>
      </c>
      <c r="P11" s="321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163"/>
      <c r="BN11" s="163"/>
      <c r="BO11" s="163"/>
      <c r="BP11" s="163"/>
      <c r="BQ11" s="163"/>
      <c r="BR11" s="163"/>
      <c r="BS11" s="163"/>
      <c r="BT11" s="163"/>
      <c r="BU11" s="163"/>
      <c r="BV11" s="163"/>
      <c r="BW11" s="163"/>
      <c r="BX11" s="163"/>
      <c r="BY11" s="163"/>
      <c r="BZ11" s="163"/>
      <c r="CA11" s="163"/>
      <c r="CB11" s="163"/>
      <c r="CC11" s="163"/>
      <c r="CD11" s="163"/>
      <c r="CE11" s="163"/>
      <c r="CF11" s="163"/>
      <c r="CG11" s="163"/>
      <c r="CH11" s="163"/>
      <c r="CI11" s="163"/>
      <c r="CJ11" s="163"/>
      <c r="CK11" s="163"/>
      <c r="CL11" s="163"/>
      <c r="CM11" s="163"/>
      <c r="CN11" s="163"/>
      <c r="CO11" s="163"/>
      <c r="CP11" s="163"/>
      <c r="CQ11" s="163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  <c r="DB11" s="163"/>
      <c r="DC11" s="163"/>
      <c r="DD11" s="163"/>
      <c r="DE11" s="163"/>
      <c r="DF11" s="163"/>
      <c r="DG11" s="163"/>
      <c r="DH11" s="163"/>
      <c r="DI11" s="163"/>
      <c r="DJ11" s="163"/>
      <c r="DK11" s="163"/>
      <c r="DL11" s="163"/>
      <c r="DM11" s="163"/>
      <c r="DN11" s="163"/>
      <c r="DO11" s="163"/>
      <c r="DP11" s="163"/>
      <c r="DQ11" s="163"/>
      <c r="DR11" s="163"/>
      <c r="DS11" s="163"/>
      <c r="DT11" s="163"/>
      <c r="DU11" s="163"/>
      <c r="DV11" s="163"/>
      <c r="DW11" s="163"/>
      <c r="DX11" s="163"/>
      <c r="DY11" s="163"/>
      <c r="DZ11" s="163"/>
      <c r="EA11" s="163"/>
      <c r="EB11" s="163"/>
      <c r="EC11" s="163"/>
      <c r="ED11" s="163"/>
      <c r="EE11" s="163"/>
      <c r="EF11" s="163"/>
      <c r="EG11" s="163"/>
      <c r="EH11" s="163"/>
      <c r="EI11" s="163"/>
      <c r="EJ11" s="163"/>
      <c r="EK11" s="163"/>
      <c r="EL11" s="163"/>
      <c r="EM11" s="163"/>
      <c r="EN11" s="163"/>
      <c r="EO11" s="163"/>
      <c r="EP11" s="163"/>
      <c r="EQ11" s="163"/>
      <c r="ER11" s="163"/>
      <c r="ES11" s="163"/>
      <c r="ET11" s="163"/>
      <c r="EU11" s="163"/>
      <c r="EV11" s="163"/>
      <c r="EW11" s="163"/>
      <c r="EX11" s="163"/>
      <c r="EY11" s="163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117">
        <v>-684592114.15999985</v>
      </c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</row>
    <row r="12" spans="1:181">
      <c r="A12" s="265"/>
      <c r="B12" s="266"/>
      <c r="C12" s="266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21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163"/>
      <c r="BO12" s="163"/>
      <c r="BP12" s="163"/>
      <c r="BQ12" s="163"/>
      <c r="BR12" s="163"/>
      <c r="BS12" s="163"/>
      <c r="BT12" s="163"/>
      <c r="BU12" s="163"/>
      <c r="BV12" s="163"/>
      <c r="BW12" s="163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/>
      <c r="CI12" s="163"/>
      <c r="CJ12" s="163"/>
      <c r="CK12" s="163"/>
      <c r="CL12" s="163"/>
      <c r="CM12" s="163"/>
      <c r="CN12" s="163"/>
      <c r="CO12" s="163"/>
      <c r="CP12" s="163"/>
      <c r="CQ12" s="163"/>
      <c r="CR12" s="163"/>
      <c r="CS12" s="163"/>
      <c r="CT12" s="163"/>
      <c r="CU12" s="163"/>
      <c r="CV12" s="163"/>
      <c r="CW12" s="163"/>
      <c r="CX12" s="163"/>
      <c r="CY12" s="163"/>
      <c r="CZ12" s="163"/>
      <c r="DA12" s="163"/>
      <c r="DB12" s="163"/>
      <c r="DC12" s="163"/>
      <c r="DD12" s="163"/>
      <c r="DE12" s="163"/>
      <c r="DF12" s="163"/>
      <c r="DG12" s="163"/>
      <c r="DH12" s="163"/>
      <c r="DI12" s="163"/>
      <c r="DJ12" s="163"/>
      <c r="DK12" s="163"/>
      <c r="DL12" s="163"/>
      <c r="DM12" s="163"/>
      <c r="DN12" s="163"/>
      <c r="DO12" s="163"/>
      <c r="DP12" s="163"/>
      <c r="DQ12" s="163"/>
      <c r="DR12" s="163"/>
      <c r="DS12" s="163"/>
      <c r="DT12" s="163"/>
      <c r="DU12" s="163"/>
      <c r="DV12" s="163"/>
      <c r="DW12" s="163"/>
      <c r="DX12" s="163"/>
      <c r="DY12" s="163"/>
      <c r="DZ12" s="163"/>
      <c r="EA12" s="163"/>
      <c r="EB12" s="163"/>
      <c r="EC12" s="163"/>
      <c r="ED12" s="163"/>
      <c r="EE12" s="163"/>
      <c r="EF12" s="163"/>
      <c r="EG12" s="163"/>
      <c r="EH12" s="163"/>
      <c r="EI12" s="163"/>
      <c r="EJ12" s="163"/>
      <c r="EK12" s="163"/>
      <c r="EL12" s="163"/>
      <c r="EM12" s="163"/>
      <c r="EN12" s="163"/>
      <c r="EO12" s="163"/>
      <c r="EP12" s="163"/>
      <c r="EQ12" s="163"/>
      <c r="ER12" s="163"/>
      <c r="ES12" s="163"/>
      <c r="ET12" s="163"/>
      <c r="EU12" s="163"/>
      <c r="EV12" s="163"/>
      <c r="EW12" s="163"/>
      <c r="EX12" s="163"/>
      <c r="EY12" s="163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1"/>
      <c r="FL12" s="117"/>
      <c r="FM12" s="81"/>
      <c r="FN12" s="81"/>
      <c r="FO12" s="81"/>
      <c r="FP12" s="81"/>
      <c r="FQ12" s="81"/>
      <c r="FR12" s="81"/>
      <c r="FS12" s="81"/>
      <c r="FT12" s="81"/>
      <c r="FU12" s="81"/>
      <c r="FV12" s="81"/>
      <c r="FW12" s="81"/>
      <c r="FX12" s="81"/>
      <c r="FY12" s="81"/>
    </row>
    <row r="13" spans="1:181" ht="15" customHeight="1">
      <c r="A13" s="265" t="s">
        <v>12</v>
      </c>
      <c r="B13" s="594" t="s">
        <v>159</v>
      </c>
      <c r="C13" s="59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21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163"/>
      <c r="BN13" s="163"/>
      <c r="BO13" s="163"/>
      <c r="BP13" s="163"/>
      <c r="BQ13" s="163"/>
      <c r="BR13" s="163"/>
      <c r="BS13" s="163"/>
      <c r="BT13" s="163"/>
      <c r="BU13" s="163"/>
      <c r="BV13" s="163"/>
      <c r="BW13" s="163"/>
      <c r="BX13" s="163"/>
      <c r="BY13" s="163"/>
      <c r="BZ13" s="163"/>
      <c r="CA13" s="163"/>
      <c r="CB13" s="163"/>
      <c r="CC13" s="163"/>
      <c r="CD13" s="163"/>
      <c r="CE13" s="163"/>
      <c r="CF13" s="163"/>
      <c r="CG13" s="163"/>
      <c r="CH13" s="163"/>
      <c r="CI13" s="163"/>
      <c r="CJ13" s="163"/>
      <c r="CK13" s="163"/>
      <c r="CL13" s="163"/>
      <c r="CM13" s="163"/>
      <c r="CN13" s="163"/>
      <c r="CO13" s="163"/>
      <c r="CP13" s="163"/>
      <c r="CQ13" s="163"/>
      <c r="CR13" s="163"/>
      <c r="CS13" s="163"/>
      <c r="CT13" s="163"/>
      <c r="CU13" s="163"/>
      <c r="CV13" s="163"/>
      <c r="CW13" s="163"/>
      <c r="CX13" s="163"/>
      <c r="CY13" s="163"/>
      <c r="CZ13" s="163"/>
      <c r="DA13" s="163"/>
      <c r="DB13" s="163"/>
      <c r="DC13" s="163"/>
      <c r="DD13" s="163"/>
      <c r="DE13" s="163"/>
      <c r="DF13" s="163"/>
      <c r="DG13" s="163"/>
      <c r="DH13" s="163"/>
      <c r="DI13" s="163"/>
      <c r="DJ13" s="163"/>
      <c r="DK13" s="163"/>
      <c r="DL13" s="163"/>
      <c r="DM13" s="163"/>
      <c r="DN13" s="163"/>
      <c r="DO13" s="163"/>
      <c r="DP13" s="163"/>
      <c r="DQ13" s="163"/>
      <c r="DR13" s="163"/>
      <c r="DS13" s="163"/>
      <c r="DT13" s="163"/>
      <c r="DU13" s="163"/>
      <c r="DV13" s="163"/>
      <c r="DW13" s="163"/>
      <c r="DX13" s="163"/>
      <c r="DY13" s="163"/>
      <c r="DZ13" s="163"/>
      <c r="EA13" s="163"/>
      <c r="EB13" s="163"/>
      <c r="EC13" s="163"/>
      <c r="ED13" s="163"/>
      <c r="EE13" s="163"/>
      <c r="EF13" s="163"/>
      <c r="EG13" s="163"/>
      <c r="EH13" s="163"/>
      <c r="EI13" s="163"/>
      <c r="EJ13" s="163"/>
      <c r="EK13" s="163"/>
      <c r="EL13" s="163"/>
      <c r="EM13" s="163"/>
      <c r="EN13" s="163"/>
      <c r="EO13" s="163"/>
      <c r="EP13" s="163"/>
      <c r="EQ13" s="163"/>
      <c r="ER13" s="163"/>
      <c r="ES13" s="163"/>
      <c r="ET13" s="163"/>
      <c r="EU13" s="163"/>
      <c r="EV13" s="163"/>
      <c r="EW13" s="163"/>
      <c r="EX13" s="163"/>
      <c r="EY13" s="163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1"/>
      <c r="FL13" s="117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</row>
    <row r="14" spans="1:181" ht="15" customHeight="1">
      <c r="A14" s="265"/>
      <c r="B14" s="587" t="s">
        <v>13</v>
      </c>
      <c r="C14" s="587"/>
      <c r="D14" s="264">
        <f>D377</f>
        <v>2068844789.460568</v>
      </c>
      <c r="E14" s="264">
        <f t="shared" ref="E14:O14" si="7">E377</f>
        <v>2110221685.2497792</v>
      </c>
      <c r="F14" s="264">
        <f t="shared" si="7"/>
        <v>2152426118.9547749</v>
      </c>
      <c r="G14" s="264">
        <f t="shared" si="7"/>
        <v>2155230908.9306436</v>
      </c>
      <c r="H14" s="264">
        <f t="shared" si="7"/>
        <v>2176783218.0199499</v>
      </c>
      <c r="I14" s="264">
        <f t="shared" si="7"/>
        <v>2198551050.2001495</v>
      </c>
      <c r="J14" s="264">
        <f t="shared" si="7"/>
        <v>2212821655.2440267</v>
      </c>
      <c r="K14" s="264">
        <f t="shared" si="7"/>
        <v>2257078088.348907</v>
      </c>
      <c r="L14" s="264">
        <f t="shared" si="7"/>
        <v>2302219650.1158853</v>
      </c>
      <c r="M14" s="264">
        <f t="shared" si="7"/>
        <v>2518339231.317399</v>
      </c>
      <c r="N14" s="264">
        <f t="shared" si="7"/>
        <v>2619072800.5700951</v>
      </c>
      <c r="O14" s="264">
        <f t="shared" si="7"/>
        <v>2671454256.5814972</v>
      </c>
      <c r="P14" s="321">
        <f>SUM(D14:O14)</f>
        <v>27443043452.993675</v>
      </c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163"/>
      <c r="BN14" s="163"/>
      <c r="BO14" s="163"/>
      <c r="BP14" s="163"/>
      <c r="BQ14" s="163"/>
      <c r="BR14" s="163"/>
      <c r="BS14" s="163"/>
      <c r="BT14" s="163"/>
      <c r="BU14" s="163"/>
      <c r="BV14" s="163"/>
      <c r="BW14" s="163"/>
      <c r="BX14" s="163"/>
      <c r="BY14" s="163"/>
      <c r="BZ14" s="163"/>
      <c r="CA14" s="163"/>
      <c r="CB14" s="163"/>
      <c r="CC14" s="163"/>
      <c r="CD14" s="163"/>
      <c r="CE14" s="163"/>
      <c r="CF14" s="163"/>
      <c r="CG14" s="163"/>
      <c r="CH14" s="163"/>
      <c r="CI14" s="163"/>
      <c r="CJ14" s="163"/>
      <c r="CK14" s="163"/>
      <c r="CL14" s="163"/>
      <c r="CM14" s="163"/>
      <c r="CN14" s="163"/>
      <c r="CO14" s="163"/>
      <c r="CP14" s="163"/>
      <c r="CQ14" s="163"/>
      <c r="CR14" s="163"/>
      <c r="CS14" s="163"/>
      <c r="CT14" s="163"/>
      <c r="CU14" s="163"/>
      <c r="CV14" s="163"/>
      <c r="CW14" s="163"/>
      <c r="CX14" s="163"/>
      <c r="CY14" s="163"/>
      <c r="CZ14" s="163"/>
      <c r="DA14" s="163"/>
      <c r="DB14" s="163"/>
      <c r="DC14" s="163"/>
      <c r="DD14" s="163"/>
      <c r="DE14" s="163"/>
      <c r="DF14" s="163"/>
      <c r="DG14" s="163"/>
      <c r="DH14" s="163"/>
      <c r="DI14" s="163"/>
      <c r="DJ14" s="163"/>
      <c r="DK14" s="163"/>
      <c r="DL14" s="163"/>
      <c r="DM14" s="163"/>
      <c r="DN14" s="163"/>
      <c r="DO14" s="163"/>
      <c r="DP14" s="163"/>
      <c r="DQ14" s="163"/>
      <c r="DR14" s="163"/>
      <c r="DS14" s="163"/>
      <c r="DT14" s="163"/>
      <c r="DU14" s="163"/>
      <c r="DV14" s="163"/>
      <c r="DW14" s="163"/>
      <c r="DX14" s="163"/>
      <c r="DY14" s="163"/>
      <c r="DZ14" s="163"/>
      <c r="EA14" s="163"/>
      <c r="EB14" s="163"/>
      <c r="EC14" s="163"/>
      <c r="ED14" s="163"/>
      <c r="EE14" s="163"/>
      <c r="EF14" s="163"/>
      <c r="EG14" s="163"/>
      <c r="EH14" s="163"/>
      <c r="EI14" s="163"/>
      <c r="EJ14" s="163"/>
      <c r="EK14" s="163"/>
      <c r="EL14" s="163"/>
      <c r="EM14" s="163"/>
      <c r="EN14" s="163"/>
      <c r="EO14" s="163"/>
      <c r="EP14" s="163"/>
      <c r="EQ14" s="163"/>
      <c r="ER14" s="163"/>
      <c r="ES14" s="163"/>
      <c r="ET14" s="163"/>
      <c r="EU14" s="163"/>
      <c r="EV14" s="163"/>
      <c r="EW14" s="163"/>
      <c r="EX14" s="163"/>
      <c r="EY14" s="163"/>
      <c r="EZ14" s="82">
        <f>+'[5]CF 2019'!P14</f>
        <v>18985742759.562939</v>
      </c>
      <c r="FA14" s="80">
        <f>+'CF 2018'!O15</f>
        <v>1619417259.2310407</v>
      </c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118">
        <v>1250000000</v>
      </c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</row>
    <row r="15" spans="1:181" s="124" customFormat="1" ht="15" customHeight="1">
      <c r="A15" s="265"/>
      <c r="B15" s="587" t="s">
        <v>14</v>
      </c>
      <c r="C15" s="587"/>
      <c r="D15" s="264">
        <f>D378</f>
        <v>565940224.16176283</v>
      </c>
      <c r="E15" s="264">
        <f t="shared" ref="E15:O15" si="8">E378</f>
        <v>577259028.64499807</v>
      </c>
      <c r="F15" s="264">
        <f t="shared" si="8"/>
        <v>588804209.21789801</v>
      </c>
      <c r="G15" s="264">
        <f t="shared" si="8"/>
        <v>589571469.99828911</v>
      </c>
      <c r="H15" s="264">
        <f t="shared" si="8"/>
        <v>595467184.69827199</v>
      </c>
      <c r="I15" s="264">
        <f t="shared" si="8"/>
        <v>601421856.54525471</v>
      </c>
      <c r="J15" s="264">
        <f t="shared" si="8"/>
        <v>605325633.88930666</v>
      </c>
      <c r="K15" s="264">
        <f t="shared" si="8"/>
        <v>617432146.56709278</v>
      </c>
      <c r="L15" s="264">
        <f t="shared" si="8"/>
        <v>629780789.49843466</v>
      </c>
      <c r="M15" s="264">
        <f t="shared" si="8"/>
        <v>688901108.65143514</v>
      </c>
      <c r="N15" s="264">
        <f t="shared" si="8"/>
        <v>716457152.99749255</v>
      </c>
      <c r="O15" s="264">
        <f t="shared" si="8"/>
        <v>730786296.05744243</v>
      </c>
      <c r="P15" s="321">
        <f t="shared" ref="P15:P21" si="9">SUM(D15:O15)</f>
        <v>7507147100.9276791</v>
      </c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 t="s">
        <v>411</v>
      </c>
      <c r="AX15" s="163">
        <v>2000</v>
      </c>
      <c r="AY15" s="163">
        <v>9000000</v>
      </c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3"/>
      <c r="BN15" s="163"/>
      <c r="BO15" s="163"/>
      <c r="BP15" s="163"/>
      <c r="BQ15" s="163"/>
      <c r="BR15" s="163"/>
      <c r="BS15" s="163"/>
      <c r="BT15" s="163"/>
      <c r="BU15" s="163"/>
      <c r="BV15" s="163"/>
      <c r="BW15" s="163"/>
      <c r="BX15" s="163"/>
      <c r="BY15" s="163"/>
      <c r="BZ15" s="163"/>
      <c r="CA15" s="163"/>
      <c r="CB15" s="163"/>
      <c r="CC15" s="163"/>
      <c r="CD15" s="163"/>
      <c r="CE15" s="163"/>
      <c r="CF15" s="163"/>
      <c r="CG15" s="163"/>
      <c r="CH15" s="163"/>
      <c r="CI15" s="163"/>
      <c r="CJ15" s="163"/>
      <c r="CK15" s="163"/>
      <c r="CL15" s="163"/>
      <c r="CM15" s="163"/>
      <c r="CN15" s="163"/>
      <c r="CO15" s="163"/>
      <c r="CP15" s="163"/>
      <c r="CQ15" s="163"/>
      <c r="CR15" s="163"/>
      <c r="CS15" s="163"/>
      <c r="CT15" s="163"/>
      <c r="CU15" s="163"/>
      <c r="CV15" s="163"/>
      <c r="CW15" s="163"/>
      <c r="CX15" s="163"/>
      <c r="CY15" s="163"/>
      <c r="CZ15" s="163"/>
      <c r="DA15" s="163"/>
      <c r="DB15" s="163"/>
      <c r="DC15" s="163"/>
      <c r="DD15" s="163"/>
      <c r="DE15" s="163"/>
      <c r="DF15" s="163"/>
      <c r="DG15" s="163"/>
      <c r="DH15" s="163"/>
      <c r="DI15" s="163"/>
      <c r="DJ15" s="163"/>
      <c r="DK15" s="163"/>
      <c r="DL15" s="163"/>
      <c r="DM15" s="163"/>
      <c r="DN15" s="163"/>
      <c r="DO15" s="163"/>
      <c r="DP15" s="163"/>
      <c r="DQ15" s="163"/>
      <c r="DR15" s="163"/>
      <c r="DS15" s="163"/>
      <c r="DT15" s="163"/>
      <c r="DU15" s="163"/>
      <c r="DV15" s="163"/>
      <c r="DW15" s="163"/>
      <c r="DX15" s="163"/>
      <c r="DY15" s="163"/>
      <c r="DZ15" s="163"/>
      <c r="EA15" s="163"/>
      <c r="EB15" s="163"/>
      <c r="EC15" s="163"/>
      <c r="ED15" s="163"/>
      <c r="EE15" s="163"/>
      <c r="EF15" s="163"/>
      <c r="EG15" s="163"/>
      <c r="EH15" s="163"/>
      <c r="EI15" s="163"/>
      <c r="EJ15" s="163"/>
      <c r="EK15" s="163"/>
      <c r="EL15" s="163"/>
      <c r="EM15" s="163"/>
      <c r="EN15" s="163"/>
      <c r="EO15" s="163"/>
      <c r="EP15" s="163"/>
      <c r="EQ15" s="163"/>
      <c r="ER15" s="163"/>
      <c r="ES15" s="163"/>
      <c r="ET15" s="163"/>
      <c r="EU15" s="163"/>
      <c r="EV15" s="163"/>
      <c r="EW15" s="163"/>
      <c r="EX15" s="163"/>
      <c r="EY15" s="163"/>
      <c r="EZ15" s="82">
        <f>+'[5]CF 2019'!P15</f>
        <v>5000299319.9299412</v>
      </c>
      <c r="FA15" s="80">
        <f>+'CF 2018'!O16</f>
        <v>721857291.21278775</v>
      </c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118">
        <v>350000000</v>
      </c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</row>
    <row r="16" spans="1:181" s="182" customFormat="1" ht="15" customHeight="1">
      <c r="A16" s="265"/>
      <c r="B16" s="595" t="str">
        <f>+'CF 2018'!B17:C17</f>
        <v>Pendapatan Alat Jantung</v>
      </c>
      <c r="C16" s="596"/>
      <c r="D16" s="264">
        <f>50*7500000</f>
        <v>375000000</v>
      </c>
      <c r="E16" s="264">
        <f>D16</f>
        <v>375000000</v>
      </c>
      <c r="F16" s="264">
        <f t="shared" ref="F16:O16" si="10">E16</f>
        <v>375000000</v>
      </c>
      <c r="G16" s="264">
        <f t="shared" si="10"/>
        <v>375000000</v>
      </c>
      <c r="H16" s="264">
        <f t="shared" si="10"/>
        <v>375000000</v>
      </c>
      <c r="I16" s="264">
        <f t="shared" si="10"/>
        <v>375000000</v>
      </c>
      <c r="J16" s="264">
        <f t="shared" si="10"/>
        <v>375000000</v>
      </c>
      <c r="K16" s="264">
        <f t="shared" si="10"/>
        <v>375000000</v>
      </c>
      <c r="L16" s="264">
        <f t="shared" si="10"/>
        <v>375000000</v>
      </c>
      <c r="M16" s="264">
        <f t="shared" si="10"/>
        <v>375000000</v>
      </c>
      <c r="N16" s="264">
        <f t="shared" si="10"/>
        <v>375000000</v>
      </c>
      <c r="O16" s="264">
        <f t="shared" si="10"/>
        <v>375000000</v>
      </c>
      <c r="P16" s="321">
        <f t="shared" si="9"/>
        <v>4500000000</v>
      </c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>
        <f>+AX15*AY15</f>
        <v>18000000000</v>
      </c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163"/>
      <c r="BM16" s="163"/>
      <c r="BN16" s="163"/>
      <c r="BO16" s="163"/>
      <c r="BP16" s="163"/>
      <c r="BQ16" s="163"/>
      <c r="BR16" s="163"/>
      <c r="BS16" s="163"/>
      <c r="BT16" s="163"/>
      <c r="BU16" s="163"/>
      <c r="BV16" s="163"/>
      <c r="BW16" s="163"/>
      <c r="BX16" s="163"/>
      <c r="BY16" s="163"/>
      <c r="BZ16" s="163"/>
      <c r="CA16" s="163"/>
      <c r="CB16" s="163"/>
      <c r="CC16" s="163"/>
      <c r="CD16" s="163"/>
      <c r="CE16" s="163"/>
      <c r="CF16" s="163"/>
      <c r="CG16" s="163"/>
      <c r="CH16" s="163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  <c r="CT16" s="190"/>
      <c r="CU16" s="190"/>
      <c r="CV16" s="190"/>
      <c r="CW16" s="190"/>
      <c r="CX16" s="190"/>
      <c r="CY16" s="190"/>
      <c r="CZ16" s="190"/>
      <c r="DA16" s="190"/>
      <c r="DB16" s="190"/>
      <c r="DC16" s="190"/>
      <c r="DD16" s="190"/>
      <c r="DE16" s="190"/>
      <c r="DF16" s="190"/>
      <c r="DG16" s="190"/>
      <c r="DH16" s="190"/>
      <c r="DI16" s="190"/>
      <c r="DJ16" s="190"/>
      <c r="DK16" s="190"/>
      <c r="DL16" s="190"/>
      <c r="DM16" s="190"/>
      <c r="DN16" s="190"/>
      <c r="DO16" s="190"/>
      <c r="DP16" s="190"/>
      <c r="DQ16" s="190"/>
      <c r="DR16" s="190"/>
      <c r="DS16" s="190"/>
      <c r="DT16" s="190"/>
      <c r="DU16" s="190"/>
      <c r="DV16" s="163"/>
      <c r="DW16" s="163"/>
      <c r="DX16" s="163"/>
      <c r="DY16" s="163"/>
      <c r="DZ16" s="163"/>
      <c r="EA16" s="163"/>
      <c r="EB16" s="163"/>
      <c r="EC16" s="163"/>
      <c r="ED16" s="163"/>
      <c r="EE16" s="163"/>
      <c r="EF16" s="163"/>
      <c r="EG16" s="163"/>
      <c r="EH16" s="163"/>
      <c r="EI16" s="163"/>
      <c r="EJ16" s="163"/>
      <c r="EK16" s="163"/>
      <c r="EL16" s="163"/>
      <c r="EM16" s="163"/>
      <c r="EN16" s="163"/>
      <c r="EO16" s="163"/>
      <c r="EP16" s="163"/>
      <c r="EQ16" s="163"/>
      <c r="ER16" s="163"/>
      <c r="ES16" s="163"/>
      <c r="ET16" s="163"/>
      <c r="EU16" s="163"/>
      <c r="EV16" s="163"/>
      <c r="EW16" s="163"/>
      <c r="EX16" s="163"/>
      <c r="EY16" s="163"/>
      <c r="EZ16" s="82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181"/>
      <c r="FL16" s="188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</row>
    <row r="17" spans="1:183" s="124" customFormat="1" ht="30.75" customHeight="1">
      <c r="A17" s="265"/>
      <c r="B17" s="587" t="s">
        <v>244</v>
      </c>
      <c r="C17" s="587"/>
      <c r="D17" s="264">
        <f>'CF 2018'!N189</f>
        <v>2923493722.6714592</v>
      </c>
      <c r="E17" s="264">
        <f>'CF 2018'!O189</f>
        <v>2923493722.6714592</v>
      </c>
      <c r="F17" s="264">
        <f>D380</f>
        <v>4183923878.8314323</v>
      </c>
      <c r="G17" s="264">
        <f t="shared" ref="G17:O17" si="11">E380</f>
        <v>4267602356.408061</v>
      </c>
      <c r="H17" s="264">
        <f t="shared" si="11"/>
        <v>4352954403.5362225</v>
      </c>
      <c r="I17" s="264">
        <f t="shared" si="11"/>
        <v>4358626664.6042957</v>
      </c>
      <c r="J17" s="264">
        <f t="shared" si="11"/>
        <v>4402212931.2503386</v>
      </c>
      <c r="K17" s="264">
        <f t="shared" si="11"/>
        <v>4446235060.5628424</v>
      </c>
      <c r="L17" s="264">
        <f t="shared" si="11"/>
        <v>4475095188.4528704</v>
      </c>
      <c r="M17" s="264">
        <f t="shared" si="11"/>
        <v>4564597092.2219276</v>
      </c>
      <c r="N17" s="264">
        <f t="shared" si="11"/>
        <v>4655889034.0663662</v>
      </c>
      <c r="O17" s="264">
        <f t="shared" si="11"/>
        <v>5092958011.4389172</v>
      </c>
      <c r="P17" s="321">
        <f t="shared" si="9"/>
        <v>50647082066.716194</v>
      </c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163"/>
      <c r="BK17" s="163"/>
      <c r="BL17" s="163"/>
      <c r="BM17" s="163"/>
      <c r="BN17" s="163"/>
      <c r="BO17" s="163"/>
      <c r="BP17" s="163"/>
      <c r="BQ17" s="163"/>
      <c r="BR17" s="163"/>
      <c r="BS17" s="163"/>
      <c r="BT17" s="163"/>
      <c r="BU17" s="163"/>
      <c r="BV17" s="163"/>
      <c r="BW17" s="163"/>
      <c r="BX17" s="163"/>
      <c r="BY17" s="163"/>
      <c r="BZ17" s="163"/>
      <c r="CA17" s="163"/>
      <c r="CB17" s="163"/>
      <c r="CC17" s="163"/>
      <c r="CD17" s="163"/>
      <c r="CE17" s="163"/>
      <c r="CF17" s="163"/>
      <c r="CG17" s="163"/>
      <c r="CH17" s="163"/>
      <c r="CI17" s="163"/>
      <c r="CJ17" s="163"/>
      <c r="CK17" s="163"/>
      <c r="CL17" s="163"/>
      <c r="CM17" s="163"/>
      <c r="CN17" s="163"/>
      <c r="CO17" s="163"/>
      <c r="CP17" s="163"/>
      <c r="CQ17" s="163"/>
      <c r="CR17" s="163"/>
      <c r="CS17" s="163"/>
      <c r="CT17" s="163"/>
      <c r="CU17" s="163"/>
      <c r="CV17" s="163"/>
      <c r="CW17" s="163"/>
      <c r="CX17" s="163"/>
      <c r="CY17" s="163"/>
      <c r="CZ17" s="163"/>
      <c r="DA17" s="163"/>
      <c r="DB17" s="163"/>
      <c r="DC17" s="163"/>
      <c r="DD17" s="163"/>
      <c r="DE17" s="163"/>
      <c r="DF17" s="163"/>
      <c r="DG17" s="163"/>
      <c r="DH17" s="163"/>
      <c r="DI17" s="163"/>
      <c r="DJ17" s="163"/>
      <c r="DK17" s="163"/>
      <c r="DL17" s="163"/>
      <c r="DM17" s="163"/>
      <c r="DN17" s="163"/>
      <c r="DO17" s="163"/>
      <c r="DP17" s="163"/>
      <c r="DQ17" s="163"/>
      <c r="DR17" s="163"/>
      <c r="DS17" s="163"/>
      <c r="DT17" s="163"/>
      <c r="DU17" s="163"/>
      <c r="DV17" s="163"/>
      <c r="DW17" s="163"/>
      <c r="DX17" s="163"/>
      <c r="DY17" s="163"/>
      <c r="DZ17" s="163"/>
      <c r="EA17" s="163"/>
      <c r="EB17" s="163"/>
      <c r="EC17" s="163"/>
      <c r="ED17" s="163"/>
      <c r="EE17" s="163"/>
      <c r="EF17" s="163"/>
      <c r="EG17" s="163"/>
      <c r="EH17" s="163"/>
      <c r="EI17" s="163"/>
      <c r="EJ17" s="163"/>
      <c r="EK17" s="163"/>
      <c r="EL17" s="163"/>
      <c r="EM17" s="163"/>
      <c r="EN17" s="163"/>
      <c r="EO17" s="163"/>
      <c r="EP17" s="163"/>
      <c r="EQ17" s="163"/>
      <c r="ER17" s="163"/>
      <c r="ES17" s="163"/>
      <c r="ET17" s="163"/>
      <c r="EU17" s="163"/>
      <c r="EV17" s="163"/>
      <c r="EW17" s="163"/>
      <c r="EX17" s="163"/>
      <c r="EY17" s="163"/>
      <c r="EZ17" s="82">
        <f>+'[5]CF 2019'!P17</f>
        <v>31333990828.66288</v>
      </c>
      <c r="FA17" s="80">
        <f>+'CF 2018'!O18</f>
        <v>2953023962.2944031</v>
      </c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118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</row>
    <row r="18" spans="1:183" s="124" customFormat="1" ht="30.75" customHeight="1">
      <c r="A18" s="265"/>
      <c r="B18" s="587" t="s">
        <v>245</v>
      </c>
      <c r="C18" s="587"/>
      <c r="D18" s="264">
        <f>'CF 2018'!O190</f>
        <v>436078177.23139209</v>
      </c>
      <c r="E18" s="264">
        <f>D381</f>
        <v>630329069.44618511</v>
      </c>
      <c r="F18" s="264">
        <f>E381</f>
        <v>642935650.83510876</v>
      </c>
      <c r="G18" s="264">
        <f t="shared" ref="G18:O18" si="12">F381</f>
        <v>655794363.85181093</v>
      </c>
      <c r="H18" s="264">
        <f t="shared" si="12"/>
        <v>656648918.3667208</v>
      </c>
      <c r="I18" s="264">
        <f t="shared" si="12"/>
        <v>663215407.55038798</v>
      </c>
      <c r="J18" s="264">
        <f t="shared" si="12"/>
        <v>669847561.6258918</v>
      </c>
      <c r="K18" s="264">
        <f t="shared" si="12"/>
        <v>674195484.31374454</v>
      </c>
      <c r="L18" s="264">
        <f t="shared" si="12"/>
        <v>687679394.00001943</v>
      </c>
      <c r="M18" s="264">
        <f t="shared" si="12"/>
        <v>701432981.88001978</v>
      </c>
      <c r="N18" s="264">
        <f t="shared" si="12"/>
        <v>767279610.49219751</v>
      </c>
      <c r="O18" s="264">
        <f t="shared" si="12"/>
        <v>797970794.91188538</v>
      </c>
      <c r="P18" s="321">
        <f t="shared" si="9"/>
        <v>7983407414.5053644</v>
      </c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  <c r="BS18" s="163"/>
      <c r="BT18" s="163"/>
      <c r="BU18" s="163"/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63"/>
      <c r="CV18" s="163"/>
      <c r="CW18" s="163"/>
      <c r="CX18" s="163"/>
      <c r="CY18" s="163"/>
      <c r="CZ18" s="163"/>
      <c r="DA18" s="163"/>
      <c r="DB18" s="163"/>
      <c r="DC18" s="163"/>
      <c r="DD18" s="163"/>
      <c r="DE18" s="163"/>
      <c r="DF18" s="163"/>
      <c r="DG18" s="163"/>
      <c r="DH18" s="163"/>
      <c r="DI18" s="163"/>
      <c r="DJ18" s="163"/>
      <c r="DK18" s="163"/>
      <c r="DL18" s="163"/>
      <c r="DM18" s="163"/>
      <c r="DN18" s="163"/>
      <c r="DO18" s="163"/>
      <c r="DP18" s="163"/>
      <c r="DQ18" s="163"/>
      <c r="DR18" s="163"/>
      <c r="DS18" s="163"/>
      <c r="DT18" s="163"/>
      <c r="DU18" s="163"/>
      <c r="DV18" s="163"/>
      <c r="DW18" s="163"/>
      <c r="DX18" s="163"/>
      <c r="DY18" s="163"/>
      <c r="DZ18" s="163"/>
      <c r="EA18" s="163"/>
      <c r="EB18" s="163"/>
      <c r="EC18" s="163"/>
      <c r="ED18" s="163"/>
      <c r="EE18" s="163"/>
      <c r="EF18" s="163"/>
      <c r="EG18" s="163"/>
      <c r="EH18" s="163"/>
      <c r="EI18" s="163"/>
      <c r="EJ18" s="163"/>
      <c r="EK18" s="163"/>
      <c r="EL18" s="163"/>
      <c r="EM18" s="163"/>
      <c r="EN18" s="163"/>
      <c r="EO18" s="163"/>
      <c r="EP18" s="163"/>
      <c r="EQ18" s="163"/>
      <c r="ER18" s="163"/>
      <c r="ES18" s="163"/>
      <c r="ET18" s="163"/>
      <c r="EU18" s="163"/>
      <c r="EV18" s="163"/>
      <c r="EW18" s="163"/>
      <c r="EX18" s="163"/>
      <c r="EY18" s="163"/>
      <c r="EZ18" s="82">
        <f>+'[5]CF 2019'!P18</f>
        <v>4555919999.2227621</v>
      </c>
      <c r="FA18" s="80">
        <f>+'CF 2018'!O19</f>
        <v>436078177.23139209</v>
      </c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118">
        <v>2450000000</v>
      </c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</row>
    <row r="19" spans="1:183" s="124" customFormat="1" ht="25.5" customHeight="1">
      <c r="A19" s="265"/>
      <c r="B19" s="595" t="str">
        <f>'CF 2018'!B20:C20</f>
        <v>Penerimaan Pinjaman Dari Pihak Ke 3</v>
      </c>
      <c r="C19" s="596"/>
      <c r="D19" s="264"/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21">
        <f t="shared" si="9"/>
        <v>0</v>
      </c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>
        <f>+'CF 2018'!P20+'CF 2017'!P24+'CF 2016'!P19</f>
        <v>33000000000</v>
      </c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  <c r="BQ19" s="163"/>
      <c r="BR19" s="163"/>
      <c r="BS19" s="163"/>
      <c r="BT19" s="163"/>
      <c r="BU19" s="163"/>
      <c r="BV19" s="163"/>
      <c r="BW19" s="163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90"/>
      <c r="CJ19" s="190"/>
      <c r="CK19" s="190"/>
      <c r="CL19" s="190"/>
      <c r="CM19" s="190"/>
      <c r="CN19" s="190"/>
      <c r="CO19" s="190"/>
      <c r="CP19" s="190"/>
      <c r="CQ19" s="190"/>
      <c r="CR19" s="190"/>
      <c r="CS19" s="190"/>
      <c r="CT19" s="190"/>
      <c r="CU19" s="190"/>
      <c r="CV19" s="190"/>
      <c r="CW19" s="190"/>
      <c r="CX19" s="190"/>
      <c r="CY19" s="190"/>
      <c r="CZ19" s="190"/>
      <c r="DA19" s="190"/>
      <c r="DB19" s="190"/>
      <c r="DC19" s="190"/>
      <c r="DD19" s="190"/>
      <c r="DE19" s="190"/>
      <c r="DF19" s="190"/>
      <c r="DG19" s="190"/>
      <c r="DH19" s="190"/>
      <c r="DI19" s="190"/>
      <c r="DJ19" s="190"/>
      <c r="DK19" s="190"/>
      <c r="DL19" s="190"/>
      <c r="DM19" s="190"/>
      <c r="DN19" s="190"/>
      <c r="DO19" s="190"/>
      <c r="DP19" s="190"/>
      <c r="DQ19" s="190"/>
      <c r="DR19" s="190"/>
      <c r="DS19" s="190"/>
      <c r="DT19" s="190"/>
      <c r="DU19" s="190"/>
      <c r="DV19" s="163"/>
      <c r="DW19" s="163">
        <f>+P19+'CF 2018'!P20+'CF 2017'!P24</f>
        <v>25000000000</v>
      </c>
      <c r="DX19" s="163"/>
      <c r="DY19" s="163"/>
      <c r="DZ19" s="163"/>
      <c r="EA19" s="163"/>
      <c r="EB19" s="163"/>
      <c r="EC19" s="163"/>
      <c r="ED19" s="163"/>
      <c r="EE19" s="163"/>
      <c r="EF19" s="163"/>
      <c r="EG19" s="163"/>
      <c r="EH19" s="163"/>
      <c r="EI19" s="163"/>
      <c r="EJ19" s="163"/>
      <c r="EK19" s="163"/>
      <c r="EL19" s="163"/>
      <c r="EM19" s="163"/>
      <c r="EN19" s="163"/>
      <c r="EO19" s="163"/>
      <c r="EP19" s="163"/>
      <c r="EQ19" s="163"/>
      <c r="ER19" s="163"/>
      <c r="ES19" s="163"/>
      <c r="ET19" s="163"/>
      <c r="EU19" s="163"/>
      <c r="EV19" s="163"/>
      <c r="EW19" s="163"/>
      <c r="EX19" s="163"/>
      <c r="EY19" s="163"/>
      <c r="EZ19" s="82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118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</row>
    <row r="20" spans="1:183" s="124" customFormat="1" ht="15" customHeight="1">
      <c r="A20" s="265"/>
      <c r="B20" s="587" t="s">
        <v>219</v>
      </c>
      <c r="C20" s="587"/>
      <c r="D20" s="264">
        <v>311643340.2492581</v>
      </c>
      <c r="E20" s="264">
        <v>322924829.16628122</v>
      </c>
      <c r="F20" s="264">
        <v>335325142.60626644</v>
      </c>
      <c r="G20" s="264">
        <v>331770696.09464002</v>
      </c>
      <c r="H20" s="264">
        <v>321353096.23726827</v>
      </c>
      <c r="I20" s="264">
        <v>286100661.58003998</v>
      </c>
      <c r="J20" s="264">
        <v>290878542.62842655</v>
      </c>
      <c r="K20" s="264">
        <v>302630035.750615</v>
      </c>
      <c r="L20" s="264">
        <v>307683957.34765029</v>
      </c>
      <c r="M20" s="264">
        <v>312822279.43535596</v>
      </c>
      <c r="N20" s="264">
        <v>318046411.50192636</v>
      </c>
      <c r="O20" s="264">
        <v>323357786.57400852</v>
      </c>
      <c r="P20" s="321">
        <f t="shared" si="9"/>
        <v>3764536779.1717372</v>
      </c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3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  <c r="CW20" s="163"/>
      <c r="CX20" s="163"/>
      <c r="CY20" s="163"/>
      <c r="CZ20" s="163"/>
      <c r="DA20" s="163"/>
      <c r="DB20" s="163"/>
      <c r="DC20" s="163"/>
      <c r="DD20" s="163"/>
      <c r="DE20" s="163"/>
      <c r="DF20" s="163"/>
      <c r="DG20" s="163"/>
      <c r="DH20" s="163"/>
      <c r="DI20" s="163"/>
      <c r="DJ20" s="163"/>
      <c r="DK20" s="163"/>
      <c r="DL20" s="163"/>
      <c r="DM20" s="163"/>
      <c r="DN20" s="163"/>
      <c r="DO20" s="163"/>
      <c r="DP20" s="163"/>
      <c r="DQ20" s="163"/>
      <c r="DR20" s="163"/>
      <c r="DS20" s="163"/>
      <c r="DT20" s="163"/>
      <c r="DU20" s="163"/>
      <c r="DV20" s="163"/>
      <c r="DW20" s="163"/>
      <c r="DX20" s="163"/>
      <c r="DY20" s="163"/>
      <c r="DZ20" s="163"/>
      <c r="EA20" s="163"/>
      <c r="EB20" s="163"/>
      <c r="EC20" s="163"/>
      <c r="ED20" s="163"/>
      <c r="EE20" s="163"/>
      <c r="EF20" s="163"/>
      <c r="EG20" s="163"/>
      <c r="EH20" s="163"/>
      <c r="EI20" s="163"/>
      <c r="EJ20" s="163"/>
      <c r="EK20" s="163"/>
      <c r="EL20" s="163"/>
      <c r="EM20" s="163"/>
      <c r="EN20" s="163"/>
      <c r="EO20" s="163"/>
      <c r="EP20" s="163"/>
      <c r="EQ20" s="163"/>
      <c r="ER20" s="163"/>
      <c r="ES20" s="163"/>
      <c r="ET20" s="163"/>
      <c r="EU20" s="163"/>
      <c r="EV20" s="163"/>
      <c r="EW20" s="163"/>
      <c r="EX20" s="163"/>
      <c r="EY20" s="163"/>
      <c r="EZ20" s="82">
        <f>+'[5]CF 2019'!P19</f>
        <v>3764536779.1717372</v>
      </c>
      <c r="FA20" s="80">
        <f>+'CF 2018'!O21</f>
        <v>306926224.86549902</v>
      </c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118">
        <v>280000000</v>
      </c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</row>
    <row r="21" spans="1:183" s="124" customFormat="1" ht="15" customHeight="1">
      <c r="A21" s="265"/>
      <c r="B21" s="587" t="s">
        <v>220</v>
      </c>
      <c r="C21" s="587"/>
      <c r="D21" s="264">
        <f>'CF 2017'!O26*1.1</f>
        <v>0</v>
      </c>
      <c r="E21" s="264"/>
      <c r="F21" s="264">
        <f t="shared" ref="F21:G21" si="13">E21+(E21*$E$8%)</f>
        <v>0</v>
      </c>
      <c r="G21" s="264">
        <f t="shared" si="13"/>
        <v>0</v>
      </c>
      <c r="H21" s="264"/>
      <c r="I21" s="264"/>
      <c r="J21" s="264"/>
      <c r="K21" s="264"/>
      <c r="L21" s="264"/>
      <c r="M21" s="264"/>
      <c r="N21" s="264"/>
      <c r="O21" s="264"/>
      <c r="P21" s="321">
        <f t="shared" si="9"/>
        <v>0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>
        <v>-8000000000</v>
      </c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3"/>
      <c r="BP21" s="163"/>
      <c r="BQ21" s="163"/>
      <c r="BR21" s="163"/>
      <c r="BS21" s="163"/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63"/>
      <c r="CV21" s="163"/>
      <c r="CW21" s="163"/>
      <c r="CX21" s="163"/>
      <c r="CY21" s="163"/>
      <c r="CZ21" s="163"/>
      <c r="DA21" s="163"/>
      <c r="DB21" s="163"/>
      <c r="DC21" s="163"/>
      <c r="DD21" s="163"/>
      <c r="DE21" s="163"/>
      <c r="DF21" s="163"/>
      <c r="DG21" s="163"/>
      <c r="DH21" s="163"/>
      <c r="DI21" s="163"/>
      <c r="DJ21" s="163"/>
      <c r="DK21" s="163"/>
      <c r="DL21" s="163"/>
      <c r="DM21" s="163"/>
      <c r="DN21" s="163"/>
      <c r="DO21" s="163"/>
      <c r="DP21" s="163"/>
      <c r="DQ21" s="163"/>
      <c r="DR21" s="163"/>
      <c r="DS21" s="163"/>
      <c r="DT21" s="163"/>
      <c r="DU21" s="163"/>
      <c r="DV21" s="163"/>
      <c r="DW21" s="163"/>
      <c r="DX21" s="163"/>
      <c r="DY21" s="163"/>
      <c r="DZ21" s="163"/>
      <c r="EA21" s="163"/>
      <c r="EB21" s="163"/>
      <c r="EC21" s="163"/>
      <c r="ED21" s="163"/>
      <c r="EE21" s="163"/>
      <c r="EF21" s="163"/>
      <c r="EG21" s="163"/>
      <c r="EH21" s="163"/>
      <c r="EI21" s="163"/>
      <c r="EJ21" s="163"/>
      <c r="EK21" s="163"/>
      <c r="EL21" s="163"/>
      <c r="EM21" s="163"/>
      <c r="EN21" s="163"/>
      <c r="EO21" s="163"/>
      <c r="EP21" s="163"/>
      <c r="EQ21" s="163"/>
      <c r="ER21" s="163"/>
      <c r="ES21" s="163"/>
      <c r="ET21" s="163"/>
      <c r="EU21" s="163"/>
      <c r="EV21" s="163"/>
      <c r="EW21" s="163"/>
      <c r="EX21" s="163"/>
      <c r="EY21" s="163"/>
      <c r="EZ21" s="82">
        <f>+'[5]CF 2019'!P20</f>
        <v>0</v>
      </c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118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</row>
    <row r="22" spans="1:183" s="124" customFormat="1" ht="15" customHeight="1">
      <c r="A22" s="265"/>
      <c r="B22" s="594" t="s">
        <v>216</v>
      </c>
      <c r="C22" s="594"/>
      <c r="D22" s="267">
        <f>SUM(D14:D21)</f>
        <v>6681000253.7744398</v>
      </c>
      <c r="E22" s="267">
        <f t="shared" ref="E22:O22" si="14">SUM(E14:E21)</f>
        <v>6939228335.1787033</v>
      </c>
      <c r="F22" s="267">
        <f t="shared" si="14"/>
        <v>8278415000.4454794</v>
      </c>
      <c r="G22" s="267">
        <f t="shared" si="14"/>
        <v>8374969795.2834444</v>
      </c>
      <c r="H22" s="267">
        <f t="shared" si="14"/>
        <v>8478206820.8584337</v>
      </c>
      <c r="I22" s="267">
        <f t="shared" si="14"/>
        <v>8482915640.4801283</v>
      </c>
      <c r="J22" s="267">
        <f t="shared" si="14"/>
        <v>8556086324.63799</v>
      </c>
      <c r="K22" s="267">
        <f t="shared" si="14"/>
        <v>8672570815.5432014</v>
      </c>
      <c r="L22" s="267">
        <f t="shared" si="14"/>
        <v>8777458979.4148598</v>
      </c>
      <c r="M22" s="267">
        <f t="shared" si="14"/>
        <v>9161092693.5061378</v>
      </c>
      <c r="N22" s="267">
        <f t="shared" si="14"/>
        <v>9451745009.6280785</v>
      </c>
      <c r="O22" s="267">
        <f t="shared" si="14"/>
        <v>9991527145.5637531</v>
      </c>
      <c r="P22" s="323">
        <f t="shared" ref="P22" si="15">SUM(P14:P21)</f>
        <v>101845216814.31465</v>
      </c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>
        <v>-5000000000</v>
      </c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53"/>
      <c r="BW22" s="153"/>
      <c r="BX22" s="153"/>
      <c r="BY22" s="153"/>
      <c r="BZ22" s="153"/>
      <c r="CA22" s="153"/>
      <c r="CB22" s="153"/>
      <c r="CC22" s="153"/>
      <c r="CD22" s="153"/>
      <c r="CE22" s="153"/>
      <c r="CF22" s="153"/>
      <c r="CG22" s="153"/>
      <c r="CH22" s="153"/>
      <c r="CI22" s="153"/>
      <c r="CJ22" s="153"/>
      <c r="CK22" s="153"/>
      <c r="CL22" s="153"/>
      <c r="CM22" s="153"/>
      <c r="CN22" s="153"/>
      <c r="CO22" s="153"/>
      <c r="CP22" s="153"/>
      <c r="CQ22" s="153"/>
      <c r="CR22" s="153"/>
      <c r="CS22" s="153"/>
      <c r="CT22" s="153"/>
      <c r="CU22" s="153"/>
      <c r="CV22" s="153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82">
        <f>SUM(EZ14:EZ21)</f>
        <v>63640489686.550262</v>
      </c>
      <c r="FA22" s="82"/>
      <c r="FB22" s="82"/>
      <c r="FC22" s="82">
        <f>+FA18*10%</f>
        <v>43607817.723139212</v>
      </c>
      <c r="FD22" s="82"/>
      <c r="FE22" s="82"/>
      <c r="FF22" s="82"/>
      <c r="FG22" s="82"/>
      <c r="FH22" s="82"/>
      <c r="FI22" s="82"/>
      <c r="FJ22" s="82"/>
      <c r="FK22" s="82"/>
      <c r="FL22" s="119">
        <v>4330000000</v>
      </c>
      <c r="FM22" s="82">
        <f>SUM(D22:O22)</f>
        <v>101845216814.31465</v>
      </c>
      <c r="FN22" s="82"/>
      <c r="FO22" s="82"/>
      <c r="FP22" s="82"/>
      <c r="FQ22" s="82"/>
      <c r="FR22" s="82"/>
      <c r="FS22" s="82"/>
      <c r="FT22" s="82"/>
      <c r="FU22" s="82"/>
      <c r="FV22" s="82"/>
      <c r="FW22" s="82"/>
      <c r="FX22" s="82"/>
      <c r="FY22" s="82"/>
    </row>
    <row r="23" spans="1:183" s="124" customFormat="1">
      <c r="A23" s="265"/>
      <c r="B23" s="268"/>
      <c r="C23" s="268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32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>
        <f>SUM(AW19:AW22)</f>
        <v>20000000000</v>
      </c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3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3"/>
      <c r="CD23" s="153"/>
      <c r="CE23" s="153"/>
      <c r="CF23" s="153"/>
      <c r="CG23" s="153"/>
      <c r="CH23" s="153"/>
      <c r="CI23" s="153"/>
      <c r="CJ23" s="153"/>
      <c r="CK23" s="153"/>
      <c r="CL23" s="153"/>
      <c r="CM23" s="153"/>
      <c r="CN23" s="153"/>
      <c r="CO23" s="153"/>
      <c r="CP23" s="153"/>
      <c r="CQ23" s="153"/>
      <c r="CR23" s="153"/>
      <c r="CS23" s="153"/>
      <c r="CT23" s="153"/>
      <c r="CU23" s="153"/>
      <c r="CV23" s="153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82"/>
      <c r="FA23" s="82">
        <f>+P22-EZ22</f>
        <v>38204727127.764389</v>
      </c>
      <c r="FB23" s="82"/>
      <c r="FC23" s="82">
        <f>+FA18+FC22</f>
        <v>479685994.95453131</v>
      </c>
      <c r="FD23" s="82"/>
      <c r="FE23" s="82"/>
      <c r="FF23" s="82"/>
      <c r="FG23" s="82"/>
      <c r="FH23" s="82"/>
      <c r="FI23" s="82"/>
      <c r="FJ23" s="82"/>
      <c r="FK23" s="82"/>
      <c r="FL23" s="119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</row>
    <row r="24" spans="1:183" s="124" customFormat="1" ht="32.25" customHeight="1">
      <c r="A24" s="265" t="s">
        <v>19</v>
      </c>
      <c r="B24" s="594" t="s">
        <v>217</v>
      </c>
      <c r="C24" s="594"/>
      <c r="D24" s="267">
        <f>+D22+D11</f>
        <v>7811494258.5727158</v>
      </c>
      <c r="E24" s="267">
        <f t="shared" ref="E24:O24" si="16">+E22+E11</f>
        <v>8750980872.3790741</v>
      </c>
      <c r="F24" s="267">
        <f t="shared" si="16"/>
        <v>9598339211.263195</v>
      </c>
      <c r="G24" s="267">
        <f t="shared" si="16"/>
        <v>10198588621.192486</v>
      </c>
      <c r="H24" s="267">
        <f t="shared" si="16"/>
        <v>9984180876.6522598</v>
      </c>
      <c r="I24" s="267">
        <f t="shared" si="16"/>
        <v>9978972848.4069672</v>
      </c>
      <c r="J24" s="267">
        <f t="shared" si="16"/>
        <v>8922660024.9160919</v>
      </c>
      <c r="K24" s="267">
        <f t="shared" si="16"/>
        <v>9047097679.0638008</v>
      </c>
      <c r="L24" s="267">
        <f t="shared" si="16"/>
        <v>9065418243.2936897</v>
      </c>
      <c r="M24" s="267">
        <f t="shared" si="16"/>
        <v>9580597880.4801235</v>
      </c>
      <c r="N24" s="267">
        <f t="shared" si="16"/>
        <v>9756136118.0455112</v>
      </c>
      <c r="O24" s="267">
        <f t="shared" si="16"/>
        <v>10285023217.549393</v>
      </c>
      <c r="P24" s="323">
        <f>P22+D11</f>
        <v>102975710819.11293</v>
      </c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  <c r="BX24" s="153"/>
      <c r="BY24" s="153"/>
      <c r="BZ24" s="153"/>
      <c r="CA24" s="153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153"/>
      <c r="CR24" s="153"/>
      <c r="CS24" s="153"/>
      <c r="CT24" s="153"/>
      <c r="CU24" s="153"/>
      <c r="CV24" s="153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119">
        <v>3645407885.8400002</v>
      </c>
      <c r="FM24" s="82">
        <v>80274020647.660248</v>
      </c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</row>
    <row r="25" spans="1:183" s="124" customFormat="1">
      <c r="A25" s="265"/>
      <c r="B25" s="266"/>
      <c r="C25" s="268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21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163"/>
      <c r="BQ25" s="163"/>
      <c r="BR25" s="163"/>
      <c r="BS25" s="163"/>
      <c r="BT25" s="163"/>
      <c r="BU25" s="163"/>
      <c r="BV25" s="163"/>
      <c r="BW25" s="163"/>
      <c r="BX25" s="163"/>
      <c r="BY25" s="163"/>
      <c r="BZ25" s="163"/>
      <c r="CA25" s="163"/>
      <c r="CB25" s="163"/>
      <c r="CC25" s="163"/>
      <c r="CD25" s="163"/>
      <c r="CE25" s="163"/>
      <c r="CF25" s="16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63"/>
      <c r="CV25" s="163"/>
      <c r="CW25" s="163"/>
      <c r="CX25" s="163"/>
      <c r="CY25" s="163"/>
      <c r="CZ25" s="163"/>
      <c r="DA25" s="163"/>
      <c r="DB25" s="163"/>
      <c r="DC25" s="163"/>
      <c r="DD25" s="163"/>
      <c r="DE25" s="163"/>
      <c r="DF25" s="163"/>
      <c r="DG25" s="163"/>
      <c r="DH25" s="163"/>
      <c r="DI25" s="163"/>
      <c r="DJ25" s="163"/>
      <c r="DK25" s="163"/>
      <c r="DL25" s="163"/>
      <c r="DM25" s="163"/>
      <c r="DN25" s="163"/>
      <c r="DO25" s="163"/>
      <c r="DP25" s="163"/>
      <c r="DQ25" s="163"/>
      <c r="DR25" s="163"/>
      <c r="DS25" s="163"/>
      <c r="DT25" s="163"/>
      <c r="DU25" s="163"/>
      <c r="DV25" s="163"/>
      <c r="DW25" s="163"/>
      <c r="DX25" s="163"/>
      <c r="DY25" s="163"/>
      <c r="DZ25" s="163"/>
      <c r="EA25" s="163"/>
      <c r="EB25" s="163"/>
      <c r="EC25" s="163"/>
      <c r="ED25" s="163"/>
      <c r="EE25" s="163"/>
      <c r="EF25" s="163"/>
      <c r="EG25" s="163"/>
      <c r="EH25" s="163"/>
      <c r="EI25" s="163"/>
      <c r="EJ25" s="163"/>
      <c r="EK25" s="163"/>
      <c r="EL25" s="163"/>
      <c r="EM25" s="163"/>
      <c r="EN25" s="163"/>
      <c r="EO25" s="163"/>
      <c r="EP25" s="163"/>
      <c r="EQ25" s="163"/>
      <c r="ER25" s="163"/>
      <c r="ES25" s="163"/>
      <c r="ET25" s="163"/>
      <c r="EU25" s="163"/>
      <c r="EV25" s="163"/>
      <c r="EW25" s="163"/>
      <c r="EX25" s="163"/>
      <c r="EY25" s="163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118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</row>
    <row r="26" spans="1:183" s="124" customFormat="1">
      <c r="A26" s="265"/>
      <c r="B26" s="594" t="s">
        <v>20</v>
      </c>
      <c r="C26" s="594"/>
      <c r="D26" s="59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21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  <c r="BQ26" s="163"/>
      <c r="BR26" s="163"/>
      <c r="BS26" s="163"/>
      <c r="BT26" s="163"/>
      <c r="BU26" s="163"/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63"/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63"/>
      <c r="CV26" s="163"/>
      <c r="CW26" s="163"/>
      <c r="CX26" s="163"/>
      <c r="CY26" s="163"/>
      <c r="CZ26" s="163"/>
      <c r="DA26" s="163"/>
      <c r="DB26" s="163"/>
      <c r="DC26" s="163"/>
      <c r="DD26" s="163"/>
      <c r="DE26" s="163"/>
      <c r="DF26" s="163"/>
      <c r="DG26" s="163"/>
      <c r="DH26" s="163"/>
      <c r="DI26" s="163"/>
      <c r="DJ26" s="163"/>
      <c r="DK26" s="163"/>
      <c r="DL26" s="163"/>
      <c r="DM26" s="163"/>
      <c r="DN26" s="163"/>
      <c r="DO26" s="163"/>
      <c r="DP26" s="163"/>
      <c r="DQ26" s="163"/>
      <c r="DR26" s="163"/>
      <c r="DS26" s="163"/>
      <c r="DT26" s="163"/>
      <c r="DU26" s="163"/>
      <c r="DV26" s="163"/>
      <c r="DW26" s="163"/>
      <c r="DX26" s="163"/>
      <c r="DY26" s="163"/>
      <c r="DZ26" s="163"/>
      <c r="EA26" s="163"/>
      <c r="EB26" s="163"/>
      <c r="EC26" s="163"/>
      <c r="ED26" s="163"/>
      <c r="EE26" s="163"/>
      <c r="EF26" s="163"/>
      <c r="EG26" s="163"/>
      <c r="EH26" s="163"/>
      <c r="EI26" s="163"/>
      <c r="EJ26" s="163"/>
      <c r="EK26" s="163"/>
      <c r="EL26" s="163"/>
      <c r="EM26" s="163"/>
      <c r="EN26" s="163"/>
      <c r="EO26" s="163"/>
      <c r="EP26" s="163"/>
      <c r="EQ26" s="163"/>
      <c r="ER26" s="163"/>
      <c r="ES26" s="163"/>
      <c r="ET26" s="163"/>
      <c r="EU26" s="163"/>
      <c r="EV26" s="163"/>
      <c r="EW26" s="163"/>
      <c r="EX26" s="163"/>
      <c r="EY26" s="163"/>
      <c r="EZ26" s="80"/>
      <c r="FA26" s="80">
        <f>+EZ22-P22</f>
        <v>-38204727127.764389</v>
      </c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118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</row>
    <row r="27" spans="1:183" s="124" customFormat="1">
      <c r="A27" s="265"/>
      <c r="B27" s="269" t="s">
        <v>21</v>
      </c>
      <c r="C27" s="270"/>
      <c r="D27" s="264"/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21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  <c r="BQ27" s="163"/>
      <c r="BR27" s="163"/>
      <c r="BS27" s="163"/>
      <c r="BT27" s="163"/>
      <c r="BU27" s="163"/>
      <c r="BV27" s="163"/>
      <c r="BW27" s="163"/>
      <c r="BX27" s="163"/>
      <c r="BY27" s="163"/>
      <c r="BZ27" s="163"/>
      <c r="CA27" s="163"/>
      <c r="CB27" s="163"/>
      <c r="CC27" s="163"/>
      <c r="CD27" s="163"/>
      <c r="CE27" s="163"/>
      <c r="CF27" s="163"/>
      <c r="CG27" s="163"/>
      <c r="CH27" s="163"/>
      <c r="CI27" s="163"/>
      <c r="CJ27" s="163"/>
      <c r="CK27" s="163"/>
      <c r="CL27" s="163"/>
      <c r="CM27" s="163"/>
      <c r="CN27" s="163"/>
      <c r="CO27" s="163"/>
      <c r="CP27" s="163"/>
      <c r="CQ27" s="163"/>
      <c r="CR27" s="163"/>
      <c r="CS27" s="163"/>
      <c r="CT27" s="163"/>
      <c r="CU27" s="163"/>
      <c r="CV27" s="163"/>
      <c r="CW27" s="163"/>
      <c r="CX27" s="163"/>
      <c r="CY27" s="163"/>
      <c r="CZ27" s="163"/>
      <c r="DA27" s="163"/>
      <c r="DB27" s="163"/>
      <c r="DC27" s="163"/>
      <c r="DD27" s="163"/>
      <c r="DE27" s="163"/>
      <c r="DF27" s="163"/>
      <c r="DG27" s="163"/>
      <c r="DH27" s="163"/>
      <c r="DI27" s="163"/>
      <c r="DJ27" s="163"/>
      <c r="DK27" s="163"/>
      <c r="DL27" s="163"/>
      <c r="DM27" s="163"/>
      <c r="DN27" s="163"/>
      <c r="DO27" s="163"/>
      <c r="DP27" s="163"/>
      <c r="DQ27" s="163"/>
      <c r="DR27" s="163"/>
      <c r="DS27" s="163"/>
      <c r="DT27" s="163"/>
      <c r="DU27" s="163"/>
      <c r="DV27" s="163"/>
      <c r="DW27" s="163"/>
      <c r="DX27" s="163"/>
      <c r="DY27" s="163"/>
      <c r="DZ27" s="163"/>
      <c r="EA27" s="163"/>
      <c r="EB27" s="163"/>
      <c r="EC27" s="163"/>
      <c r="ED27" s="163"/>
      <c r="EE27" s="163"/>
      <c r="EF27" s="163"/>
      <c r="EG27" s="163"/>
      <c r="EH27" s="163"/>
      <c r="EI27" s="163"/>
      <c r="EJ27" s="163"/>
      <c r="EK27" s="163"/>
      <c r="EL27" s="163"/>
      <c r="EM27" s="163"/>
      <c r="EN27" s="163"/>
      <c r="EO27" s="163"/>
      <c r="EP27" s="163"/>
      <c r="EQ27" s="163"/>
      <c r="ER27" s="163"/>
      <c r="ES27" s="163"/>
      <c r="ET27" s="163"/>
      <c r="EU27" s="163"/>
      <c r="EV27" s="163"/>
      <c r="EW27" s="163"/>
      <c r="EX27" s="163"/>
      <c r="EY27" s="163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118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</row>
    <row r="28" spans="1:183" s="124" customFormat="1">
      <c r="A28" s="265"/>
      <c r="B28" s="269"/>
      <c r="C28" s="270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21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  <c r="BQ28" s="163"/>
      <c r="BR28" s="163"/>
      <c r="BS28" s="163"/>
      <c r="BT28" s="163"/>
      <c r="BU28" s="163"/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63"/>
      <c r="DA28" s="163"/>
      <c r="DB28" s="163"/>
      <c r="DC28" s="163"/>
      <c r="DD28" s="163"/>
      <c r="DE28" s="163"/>
      <c r="DF28" s="163"/>
      <c r="DG28" s="163"/>
      <c r="DH28" s="163"/>
      <c r="DI28" s="163"/>
      <c r="DJ28" s="163"/>
      <c r="DK28" s="163"/>
      <c r="DL28" s="163"/>
      <c r="DM28" s="163"/>
      <c r="DN28" s="163"/>
      <c r="DO28" s="163"/>
      <c r="DP28" s="163"/>
      <c r="DQ28" s="163"/>
      <c r="DR28" s="163"/>
      <c r="DS28" s="163"/>
      <c r="DT28" s="163"/>
      <c r="DU28" s="163"/>
      <c r="DV28" s="163"/>
      <c r="DW28" s="163"/>
      <c r="DX28" s="163"/>
      <c r="DY28" s="163"/>
      <c r="DZ28" s="163"/>
      <c r="EA28" s="163"/>
      <c r="EB28" s="163"/>
      <c r="EC28" s="163"/>
      <c r="ED28" s="163"/>
      <c r="EE28" s="163"/>
      <c r="EF28" s="163"/>
      <c r="EG28" s="163"/>
      <c r="EH28" s="163"/>
      <c r="EI28" s="163"/>
      <c r="EJ28" s="163"/>
      <c r="EK28" s="163"/>
      <c r="EL28" s="163"/>
      <c r="EM28" s="163"/>
      <c r="EN28" s="163"/>
      <c r="EO28" s="163"/>
      <c r="EP28" s="163"/>
      <c r="EQ28" s="163"/>
      <c r="ER28" s="163"/>
      <c r="ES28" s="163"/>
      <c r="ET28" s="163"/>
      <c r="EU28" s="163"/>
      <c r="EV28" s="163"/>
      <c r="EW28" s="163"/>
      <c r="EX28" s="163"/>
      <c r="EY28" s="163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118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</row>
    <row r="29" spans="1:183" s="124" customFormat="1">
      <c r="A29" s="265"/>
      <c r="B29" s="270">
        <v>6400</v>
      </c>
      <c r="C29" s="270" t="s">
        <v>22</v>
      </c>
      <c r="D29" s="264">
        <v>950000000</v>
      </c>
      <c r="E29" s="264">
        <f>D29</f>
        <v>950000000</v>
      </c>
      <c r="F29" s="264">
        <f>E29</f>
        <v>950000000</v>
      </c>
      <c r="G29" s="264">
        <v>1100000000</v>
      </c>
      <c r="H29" s="264">
        <f t="shared" ref="H29:N29" si="17">+G29</f>
        <v>1100000000</v>
      </c>
      <c r="I29" s="264">
        <f t="shared" si="17"/>
        <v>1100000000</v>
      </c>
      <c r="J29" s="264">
        <v>1200000000</v>
      </c>
      <c r="K29" s="264">
        <f t="shared" si="17"/>
        <v>1200000000</v>
      </c>
      <c r="L29" s="264">
        <f t="shared" si="17"/>
        <v>1200000000</v>
      </c>
      <c r="M29" s="264">
        <v>1300000000</v>
      </c>
      <c r="N29" s="264">
        <f t="shared" si="17"/>
        <v>1300000000</v>
      </c>
      <c r="O29" s="264">
        <f>+N29+81773669</f>
        <v>1381773669</v>
      </c>
      <c r="P29" s="321">
        <f t="shared" ref="P29:P92" si="18">SUM(D29:O29)</f>
        <v>13731773669</v>
      </c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  <c r="DH29" s="163"/>
      <c r="DI29" s="163"/>
      <c r="DJ29" s="163"/>
      <c r="DK29" s="163"/>
      <c r="DL29" s="163"/>
      <c r="DM29" s="163"/>
      <c r="DN29" s="163"/>
      <c r="DO29" s="163"/>
      <c r="DP29" s="163"/>
      <c r="DQ29" s="163"/>
      <c r="DR29" s="163"/>
      <c r="DS29" s="163"/>
      <c r="DT29" s="163"/>
      <c r="DU29" s="163"/>
      <c r="DV29" s="163"/>
      <c r="DW29" s="163"/>
      <c r="DX29" s="163"/>
      <c r="DY29" s="163"/>
      <c r="DZ29" s="163"/>
      <c r="EA29" s="163"/>
      <c r="EB29" s="163"/>
      <c r="EC29" s="163"/>
      <c r="ED29" s="163"/>
      <c r="EE29" s="163"/>
      <c r="EF29" s="163"/>
      <c r="EG29" s="163"/>
      <c r="EH29" s="163"/>
      <c r="EI29" s="163"/>
      <c r="EJ29" s="163"/>
      <c r="EK29" s="163"/>
      <c r="EL29" s="163"/>
      <c r="EM29" s="163"/>
      <c r="EN29" s="163"/>
      <c r="EO29" s="163"/>
      <c r="EP29" s="163"/>
      <c r="EQ29" s="163"/>
      <c r="ER29" s="163"/>
      <c r="ES29" s="163"/>
      <c r="ET29" s="163"/>
      <c r="EU29" s="163"/>
      <c r="EV29" s="163"/>
      <c r="EW29" s="163"/>
      <c r="EX29" s="163"/>
      <c r="EY29" s="163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118">
        <v>630000000</v>
      </c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GA29" s="129">
        <v>500</v>
      </c>
    </row>
    <row r="30" spans="1:183" s="124" customFormat="1">
      <c r="A30" s="265"/>
      <c r="B30" s="270">
        <v>6401</v>
      </c>
      <c r="C30" s="270" t="s">
        <v>23</v>
      </c>
      <c r="D30" s="264">
        <v>8128512.2307997784</v>
      </c>
      <c r="E30" s="264">
        <f>D30+(D30*$E$8%)</f>
        <v>8291082.4754157737</v>
      </c>
      <c r="F30" s="264">
        <f>E30+(E30*$F$8%)</f>
        <v>8456904.1249240898</v>
      </c>
      <c r="G30" s="264">
        <v>9795765.5987693425</v>
      </c>
      <c r="H30" s="264">
        <f>G30+(G30*$H$8%)</f>
        <v>9893723.2547570355</v>
      </c>
      <c r="I30" s="264">
        <f>H30+(H30*$I$8%)</f>
        <v>9992660.4873046055</v>
      </c>
      <c r="J30" s="264">
        <v>9773207.2166347541</v>
      </c>
      <c r="K30" s="264">
        <f t="shared" ref="K30:K93" si="19">J30+(J30*$K$8%)</f>
        <v>9968671.3609674498</v>
      </c>
      <c r="L30" s="264">
        <f t="shared" ref="L30:L45" si="20">K30+(K30*$J$8%)</f>
        <v>9769297.9337481</v>
      </c>
      <c r="M30" s="264">
        <v>10131590.204986874</v>
      </c>
      <c r="N30" s="264">
        <f t="shared" ref="N30:N93" si="21">M30+(M30*$J$8%)</f>
        <v>9928958.4008871373</v>
      </c>
      <c r="O30" s="264">
        <v>10854336.839810316</v>
      </c>
      <c r="P30" s="321">
        <f t="shared" si="18"/>
        <v>114984710.12900525</v>
      </c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3"/>
      <c r="EC30" s="163"/>
      <c r="ED30" s="163"/>
      <c r="EE30" s="163"/>
      <c r="EF30" s="163"/>
      <c r="EG30" s="163"/>
      <c r="EH30" s="163"/>
      <c r="EI30" s="163"/>
      <c r="EJ30" s="163"/>
      <c r="EK30" s="163"/>
      <c r="EL30" s="163"/>
      <c r="EM30" s="163"/>
      <c r="EN30" s="163"/>
      <c r="EO30" s="163"/>
      <c r="EP30" s="163"/>
      <c r="EQ30" s="163"/>
      <c r="ER30" s="163"/>
      <c r="ES30" s="163"/>
      <c r="ET30" s="163"/>
      <c r="EU30" s="163"/>
      <c r="EV30" s="163"/>
      <c r="EW30" s="163"/>
      <c r="EX30" s="163"/>
      <c r="EY30" s="163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118">
        <v>5500000</v>
      </c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GA30" s="129">
        <v>5.5</v>
      </c>
    </row>
    <row r="31" spans="1:183" s="124" customFormat="1">
      <c r="A31" s="265"/>
      <c r="B31" s="270">
        <v>6402</v>
      </c>
      <c r="C31" s="270" t="s">
        <v>24</v>
      </c>
      <c r="D31" s="264">
        <v>2907271.2003361252</v>
      </c>
      <c r="E31" s="264">
        <f t="shared" ref="E31:E94" si="22">D31+(D31*$E$8%)</f>
        <v>2965416.6243428476</v>
      </c>
      <c r="F31" s="264">
        <f t="shared" ref="F31:F94" si="23">E31+(E31*$F$8%)</f>
        <v>3024724.9568297043</v>
      </c>
      <c r="G31" s="264">
        <v>3503586.6837520124</v>
      </c>
      <c r="H31" s="264">
        <f t="shared" ref="H31:H94" si="24">G31+(G31*$H$8%)</f>
        <v>3538622.5505895326</v>
      </c>
      <c r="I31" s="264">
        <f>+'CF 2018'!J32*1.1</f>
        <v>92446956.211500034</v>
      </c>
      <c r="J31" s="264">
        <v>3495518.3764352617</v>
      </c>
      <c r="K31" s="264">
        <f t="shared" si="19"/>
        <v>3565428.7439639671</v>
      </c>
      <c r="L31" s="264">
        <f t="shared" si="20"/>
        <v>3494120.1690846877</v>
      </c>
      <c r="M31" s="264">
        <v>3623698.8492133655</v>
      </c>
      <c r="N31" s="264">
        <f t="shared" si="21"/>
        <v>3551224.8722290983</v>
      </c>
      <c r="O31" s="264">
        <v>3882198.8571976433</v>
      </c>
      <c r="P31" s="321">
        <f t="shared" si="18"/>
        <v>129998768.09547427</v>
      </c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163"/>
      <c r="BW31" s="163"/>
      <c r="BX31" s="163"/>
      <c r="BY31" s="163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63"/>
      <c r="CK31" s="163"/>
      <c r="CL31" s="163"/>
      <c r="CM31" s="163"/>
      <c r="CN31" s="163"/>
      <c r="CO31" s="163"/>
      <c r="CP31" s="163"/>
      <c r="CQ31" s="163"/>
      <c r="CR31" s="163"/>
      <c r="CS31" s="163"/>
      <c r="CT31" s="163"/>
      <c r="CU31" s="163"/>
      <c r="CV31" s="163"/>
      <c r="CW31" s="163"/>
      <c r="CX31" s="163"/>
      <c r="CY31" s="163"/>
      <c r="CZ31" s="163"/>
      <c r="DA31" s="163"/>
      <c r="DB31" s="163"/>
      <c r="DC31" s="163"/>
      <c r="DD31" s="163"/>
      <c r="DE31" s="163"/>
      <c r="DF31" s="163"/>
      <c r="DG31" s="163"/>
      <c r="DH31" s="163"/>
      <c r="DI31" s="163"/>
      <c r="DJ31" s="163"/>
      <c r="DK31" s="163"/>
      <c r="DL31" s="163"/>
      <c r="DM31" s="163"/>
      <c r="DN31" s="163"/>
      <c r="DO31" s="163"/>
      <c r="DP31" s="163"/>
      <c r="DQ31" s="163"/>
      <c r="DR31" s="163"/>
      <c r="DS31" s="163"/>
      <c r="DT31" s="163"/>
      <c r="DU31" s="163"/>
      <c r="DV31" s="163"/>
      <c r="DW31" s="163"/>
      <c r="DX31" s="163"/>
      <c r="DY31" s="163"/>
      <c r="DZ31" s="163"/>
      <c r="EA31" s="163"/>
      <c r="EB31" s="163"/>
      <c r="EC31" s="163"/>
      <c r="ED31" s="163"/>
      <c r="EE31" s="163"/>
      <c r="EF31" s="163"/>
      <c r="EG31" s="163"/>
      <c r="EH31" s="163"/>
      <c r="EI31" s="163"/>
      <c r="EJ31" s="163"/>
      <c r="EK31" s="163"/>
      <c r="EL31" s="163"/>
      <c r="EM31" s="163"/>
      <c r="EN31" s="163"/>
      <c r="EO31" s="163"/>
      <c r="EP31" s="163"/>
      <c r="EQ31" s="163"/>
      <c r="ER31" s="163"/>
      <c r="ES31" s="163"/>
      <c r="ET31" s="163"/>
      <c r="EU31" s="163"/>
      <c r="EV31" s="163"/>
      <c r="EW31" s="163"/>
      <c r="EX31" s="163"/>
      <c r="EY31" s="163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118">
        <v>2000000</v>
      </c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GA31" s="129">
        <v>29.582894249999995</v>
      </c>
    </row>
    <row r="32" spans="1:183" s="124" customFormat="1">
      <c r="A32" s="265"/>
      <c r="B32" s="270">
        <v>6403</v>
      </c>
      <c r="C32" s="270" t="s">
        <v>25</v>
      </c>
      <c r="D32" s="264">
        <v>0</v>
      </c>
      <c r="E32" s="264">
        <f t="shared" si="22"/>
        <v>0</v>
      </c>
      <c r="F32" s="264">
        <f t="shared" si="23"/>
        <v>0</v>
      </c>
      <c r="G32" s="264">
        <v>0</v>
      </c>
      <c r="H32" s="264">
        <f t="shared" si="24"/>
        <v>0</v>
      </c>
      <c r="I32" s="264">
        <f>I29</f>
        <v>1100000000</v>
      </c>
      <c r="J32" s="264">
        <v>0</v>
      </c>
      <c r="K32" s="264">
        <f t="shared" si="19"/>
        <v>0</v>
      </c>
      <c r="L32" s="264">
        <f t="shared" si="20"/>
        <v>0</v>
      </c>
      <c r="M32" s="264">
        <v>0</v>
      </c>
      <c r="N32" s="264">
        <f t="shared" si="21"/>
        <v>0</v>
      </c>
      <c r="O32" s="264">
        <v>0</v>
      </c>
      <c r="P32" s="321">
        <f t="shared" si="18"/>
        <v>1100000000</v>
      </c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163"/>
      <c r="BQ32" s="163"/>
      <c r="BR32" s="163"/>
      <c r="BS32" s="163"/>
      <c r="BT32" s="163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6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63"/>
      <c r="CV32" s="163"/>
      <c r="CW32" s="163"/>
      <c r="CX32" s="163"/>
      <c r="CY32" s="163"/>
      <c r="CZ32" s="163"/>
      <c r="DA32" s="163"/>
      <c r="DB32" s="163"/>
      <c r="DC32" s="163"/>
      <c r="DD32" s="163"/>
      <c r="DE32" s="163"/>
      <c r="DF32" s="163"/>
      <c r="DG32" s="163"/>
      <c r="DH32" s="163"/>
      <c r="DI32" s="163"/>
      <c r="DJ32" s="163"/>
      <c r="DK32" s="163"/>
      <c r="DL32" s="163"/>
      <c r="DM32" s="163"/>
      <c r="DN32" s="163"/>
      <c r="DO32" s="163"/>
      <c r="DP32" s="163"/>
      <c r="DQ32" s="163"/>
      <c r="DR32" s="163"/>
      <c r="DS32" s="163"/>
      <c r="DT32" s="163"/>
      <c r="DU32" s="163"/>
      <c r="DV32" s="163"/>
      <c r="DW32" s="163"/>
      <c r="DX32" s="163"/>
      <c r="DY32" s="163"/>
      <c r="DZ32" s="163"/>
      <c r="EA32" s="163"/>
      <c r="EB32" s="163"/>
      <c r="EC32" s="163"/>
      <c r="ED32" s="163"/>
      <c r="EE32" s="163"/>
      <c r="EF32" s="163"/>
      <c r="EG32" s="163"/>
      <c r="EH32" s="163"/>
      <c r="EI32" s="163"/>
      <c r="EJ32" s="163"/>
      <c r="EK32" s="163"/>
      <c r="EL32" s="163"/>
      <c r="EM32" s="163"/>
      <c r="EN32" s="163"/>
      <c r="EO32" s="163"/>
      <c r="EP32" s="163"/>
      <c r="EQ32" s="163"/>
      <c r="ER32" s="163"/>
      <c r="ES32" s="163"/>
      <c r="ET32" s="163"/>
      <c r="EU32" s="163"/>
      <c r="EV32" s="163"/>
      <c r="EW32" s="163"/>
      <c r="EX32" s="163"/>
      <c r="EY32" s="163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118">
        <v>0</v>
      </c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GA32" s="129"/>
    </row>
    <row r="33" spans="1:183" s="124" customFormat="1">
      <c r="A33" s="265"/>
      <c r="B33" s="270">
        <v>6404</v>
      </c>
      <c r="C33" s="270" t="s">
        <v>26</v>
      </c>
      <c r="D33" s="264">
        <v>0</v>
      </c>
      <c r="E33" s="264">
        <f t="shared" si="22"/>
        <v>0</v>
      </c>
      <c r="F33" s="264">
        <f t="shared" si="23"/>
        <v>0</v>
      </c>
      <c r="G33" s="264">
        <v>0</v>
      </c>
      <c r="H33" s="264">
        <f t="shared" si="24"/>
        <v>0</v>
      </c>
      <c r="I33" s="264">
        <f t="shared" ref="I33:I94" si="25">H33+(H33*$I$8%)</f>
        <v>0</v>
      </c>
      <c r="J33" s="264">
        <v>0</v>
      </c>
      <c r="K33" s="264">
        <f t="shared" si="19"/>
        <v>0</v>
      </c>
      <c r="L33" s="264">
        <f t="shared" si="20"/>
        <v>0</v>
      </c>
      <c r="M33" s="264">
        <v>0</v>
      </c>
      <c r="N33" s="264">
        <f t="shared" si="21"/>
        <v>0</v>
      </c>
      <c r="O33" s="264">
        <v>0</v>
      </c>
      <c r="P33" s="321">
        <f t="shared" si="18"/>
        <v>0</v>
      </c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163"/>
      <c r="BQ33" s="163"/>
      <c r="BR33" s="163"/>
      <c r="BS33" s="163"/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63"/>
      <c r="CK33" s="16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3"/>
      <c r="DI33" s="163"/>
      <c r="DJ33" s="163"/>
      <c r="DK33" s="163"/>
      <c r="DL33" s="163"/>
      <c r="DM33" s="163"/>
      <c r="DN33" s="163"/>
      <c r="DO33" s="163"/>
      <c r="DP33" s="163"/>
      <c r="DQ33" s="163"/>
      <c r="DR33" s="163"/>
      <c r="DS33" s="163"/>
      <c r="DT33" s="163"/>
      <c r="DU33" s="163"/>
      <c r="DV33" s="163"/>
      <c r="DW33" s="163"/>
      <c r="DX33" s="163"/>
      <c r="DY33" s="163"/>
      <c r="DZ33" s="163"/>
      <c r="EA33" s="163"/>
      <c r="EB33" s="163"/>
      <c r="EC33" s="163"/>
      <c r="ED33" s="163"/>
      <c r="EE33" s="163"/>
      <c r="EF33" s="163"/>
      <c r="EG33" s="163"/>
      <c r="EH33" s="163"/>
      <c r="EI33" s="163"/>
      <c r="EJ33" s="163"/>
      <c r="EK33" s="163"/>
      <c r="EL33" s="163"/>
      <c r="EM33" s="163"/>
      <c r="EN33" s="163"/>
      <c r="EO33" s="163"/>
      <c r="EP33" s="163"/>
      <c r="EQ33" s="163"/>
      <c r="ER33" s="163"/>
      <c r="ES33" s="163"/>
      <c r="ET33" s="163"/>
      <c r="EU33" s="163"/>
      <c r="EV33" s="163"/>
      <c r="EW33" s="163"/>
      <c r="EX33" s="163"/>
      <c r="EY33" s="163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118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GA33" s="129">
        <v>120</v>
      </c>
    </row>
    <row r="34" spans="1:183" s="124" customFormat="1">
      <c r="A34" s="265"/>
      <c r="B34" s="270">
        <v>6405</v>
      </c>
      <c r="C34" s="270" t="s">
        <v>27</v>
      </c>
      <c r="D34" s="264">
        <v>517268.9601418043</v>
      </c>
      <c r="E34" s="264">
        <f t="shared" si="22"/>
        <v>527614.33934464038</v>
      </c>
      <c r="F34" s="264">
        <f t="shared" si="23"/>
        <v>538166.62613153318</v>
      </c>
      <c r="G34" s="264">
        <v>623366.90173986752</v>
      </c>
      <c r="H34" s="264">
        <f t="shared" si="24"/>
        <v>629600.57075726625</v>
      </c>
      <c r="I34" s="264">
        <f t="shared" si="25"/>
        <v>635896.57646483893</v>
      </c>
      <c r="J34" s="264">
        <v>621931.36833130289</v>
      </c>
      <c r="K34" s="264">
        <f t="shared" si="19"/>
        <v>634369.99569792894</v>
      </c>
      <c r="L34" s="264">
        <f t="shared" si="20"/>
        <v>621682.59578397032</v>
      </c>
      <c r="M34" s="264">
        <v>644737.558499165</v>
      </c>
      <c r="N34" s="264">
        <f t="shared" si="21"/>
        <v>631842.8073291817</v>
      </c>
      <c r="O34" s="264">
        <v>690730.5261697477</v>
      </c>
      <c r="P34" s="321">
        <f t="shared" si="18"/>
        <v>7317208.8263912471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3"/>
      <c r="BW34" s="163"/>
      <c r="BX34" s="163"/>
      <c r="BY34" s="163"/>
      <c r="BZ34" s="163"/>
      <c r="CA34" s="163"/>
      <c r="CB34" s="163"/>
      <c r="CC34" s="163"/>
      <c r="CD34" s="163"/>
      <c r="CE34" s="163"/>
      <c r="CF34" s="163"/>
      <c r="CG34" s="163"/>
      <c r="CH34" s="163"/>
      <c r="CI34" s="163"/>
      <c r="CJ34" s="163"/>
      <c r="CK34" s="163"/>
      <c r="CL34" s="163"/>
      <c r="CM34" s="163"/>
      <c r="CN34" s="163"/>
      <c r="CO34" s="163"/>
      <c r="CP34" s="163"/>
      <c r="CQ34" s="163"/>
      <c r="CR34" s="163"/>
      <c r="CS34" s="163"/>
      <c r="CT34" s="163"/>
      <c r="CU34" s="163"/>
      <c r="CV34" s="163"/>
      <c r="CW34" s="163"/>
      <c r="CX34" s="163"/>
      <c r="CY34" s="163"/>
      <c r="CZ34" s="163"/>
      <c r="DA34" s="163"/>
      <c r="DB34" s="163"/>
      <c r="DC34" s="163"/>
      <c r="DD34" s="163"/>
      <c r="DE34" s="163"/>
      <c r="DF34" s="163"/>
      <c r="DG34" s="163"/>
      <c r="DH34" s="163"/>
      <c r="DI34" s="163"/>
      <c r="DJ34" s="163"/>
      <c r="DK34" s="163"/>
      <c r="DL34" s="163"/>
      <c r="DM34" s="163"/>
      <c r="DN34" s="163"/>
      <c r="DO34" s="163"/>
      <c r="DP34" s="163"/>
      <c r="DQ34" s="163"/>
      <c r="DR34" s="163"/>
      <c r="DS34" s="163"/>
      <c r="DT34" s="163"/>
      <c r="DU34" s="163"/>
      <c r="DV34" s="163"/>
      <c r="DW34" s="163"/>
      <c r="DX34" s="163"/>
      <c r="DY34" s="163"/>
      <c r="DZ34" s="163"/>
      <c r="EA34" s="163"/>
      <c r="EB34" s="163"/>
      <c r="EC34" s="163"/>
      <c r="ED34" s="163"/>
      <c r="EE34" s="163"/>
      <c r="EF34" s="163"/>
      <c r="EG34" s="163"/>
      <c r="EH34" s="163"/>
      <c r="EI34" s="163"/>
      <c r="EJ34" s="163"/>
      <c r="EK34" s="163"/>
      <c r="EL34" s="163"/>
      <c r="EM34" s="163"/>
      <c r="EN34" s="163"/>
      <c r="EO34" s="163"/>
      <c r="EP34" s="163"/>
      <c r="EQ34" s="163"/>
      <c r="ER34" s="163"/>
      <c r="ES34" s="163"/>
      <c r="ET34" s="163"/>
      <c r="EU34" s="163"/>
      <c r="EV34" s="163"/>
      <c r="EW34" s="163"/>
      <c r="EX34" s="163"/>
      <c r="EY34" s="163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118">
        <v>250000</v>
      </c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GA34" s="129">
        <v>0.25</v>
      </c>
    </row>
    <row r="35" spans="1:183" s="124" customFormat="1">
      <c r="A35" s="265"/>
      <c r="B35" s="270">
        <v>6406</v>
      </c>
      <c r="C35" s="270" t="s">
        <v>28</v>
      </c>
      <c r="D35" s="264">
        <v>0</v>
      </c>
      <c r="E35" s="264">
        <f t="shared" si="22"/>
        <v>0</v>
      </c>
      <c r="F35" s="264">
        <f t="shared" si="23"/>
        <v>0</v>
      </c>
      <c r="G35" s="264">
        <v>0</v>
      </c>
      <c r="H35" s="264">
        <f t="shared" si="24"/>
        <v>0</v>
      </c>
      <c r="I35" s="264">
        <f t="shared" si="25"/>
        <v>0</v>
      </c>
      <c r="J35" s="264">
        <v>0</v>
      </c>
      <c r="K35" s="264">
        <f t="shared" si="19"/>
        <v>0</v>
      </c>
      <c r="L35" s="264">
        <f t="shared" si="20"/>
        <v>0</v>
      </c>
      <c r="M35" s="264">
        <v>0</v>
      </c>
      <c r="N35" s="264">
        <f t="shared" si="21"/>
        <v>0</v>
      </c>
      <c r="O35" s="264">
        <v>0</v>
      </c>
      <c r="P35" s="321">
        <f t="shared" si="18"/>
        <v>0</v>
      </c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3"/>
      <c r="BP35" s="163"/>
      <c r="BQ35" s="163"/>
      <c r="BR35" s="163"/>
      <c r="BS35" s="163"/>
      <c r="BT35" s="163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63"/>
      <c r="CV35" s="163"/>
      <c r="CW35" s="163"/>
      <c r="CX35" s="163"/>
      <c r="CY35" s="163"/>
      <c r="CZ35" s="163"/>
      <c r="DA35" s="163"/>
      <c r="DB35" s="163"/>
      <c r="DC35" s="163"/>
      <c r="DD35" s="163"/>
      <c r="DE35" s="163"/>
      <c r="DF35" s="163"/>
      <c r="DG35" s="163"/>
      <c r="DH35" s="163"/>
      <c r="DI35" s="163"/>
      <c r="DJ35" s="163"/>
      <c r="DK35" s="163"/>
      <c r="DL35" s="163"/>
      <c r="DM35" s="163"/>
      <c r="DN35" s="163"/>
      <c r="DO35" s="163"/>
      <c r="DP35" s="163"/>
      <c r="DQ35" s="163"/>
      <c r="DR35" s="163"/>
      <c r="DS35" s="163"/>
      <c r="DT35" s="163"/>
      <c r="DU35" s="163"/>
      <c r="DV35" s="163"/>
      <c r="DW35" s="163"/>
      <c r="DX35" s="163"/>
      <c r="DY35" s="163"/>
      <c r="DZ35" s="163"/>
      <c r="EA35" s="163"/>
      <c r="EB35" s="163"/>
      <c r="EC35" s="163"/>
      <c r="ED35" s="163"/>
      <c r="EE35" s="163"/>
      <c r="EF35" s="163"/>
      <c r="EG35" s="163"/>
      <c r="EH35" s="163"/>
      <c r="EI35" s="163"/>
      <c r="EJ35" s="163"/>
      <c r="EK35" s="163"/>
      <c r="EL35" s="163"/>
      <c r="EM35" s="163"/>
      <c r="EN35" s="163"/>
      <c r="EO35" s="163"/>
      <c r="EP35" s="163"/>
      <c r="EQ35" s="163"/>
      <c r="ER35" s="163"/>
      <c r="ES35" s="163"/>
      <c r="ET35" s="163"/>
      <c r="EU35" s="163"/>
      <c r="EV35" s="163"/>
      <c r="EW35" s="163"/>
      <c r="EX35" s="163"/>
      <c r="EY35" s="163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118">
        <v>0</v>
      </c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GA35" s="129"/>
    </row>
    <row r="36" spans="1:183" s="124" customFormat="1">
      <c r="A36" s="265"/>
      <c r="B36" s="270">
        <v>6407</v>
      </c>
      <c r="C36" s="270" t="s">
        <v>29</v>
      </c>
      <c r="D36" s="264">
        <v>1477911.3146908693</v>
      </c>
      <c r="E36" s="264">
        <f t="shared" si="22"/>
        <v>1507469.5409846867</v>
      </c>
      <c r="F36" s="264">
        <f t="shared" si="23"/>
        <v>1537618.9318043804</v>
      </c>
      <c r="G36" s="264">
        <v>1781048.2906853354</v>
      </c>
      <c r="H36" s="264">
        <f t="shared" si="24"/>
        <v>1798858.7735921887</v>
      </c>
      <c r="I36" s="264">
        <f t="shared" si="25"/>
        <v>1816847.3613281106</v>
      </c>
      <c r="J36" s="264">
        <v>1776946.7666608649</v>
      </c>
      <c r="K36" s="264">
        <f t="shared" si="19"/>
        <v>1812485.7019940822</v>
      </c>
      <c r="L36" s="264">
        <f t="shared" si="20"/>
        <v>1776235.9879542005</v>
      </c>
      <c r="M36" s="264">
        <v>1842107.3099976142</v>
      </c>
      <c r="N36" s="264">
        <f t="shared" si="21"/>
        <v>1805265.1637976619</v>
      </c>
      <c r="O36" s="264">
        <v>1973515.7890564217</v>
      </c>
      <c r="P36" s="321">
        <f t="shared" si="18"/>
        <v>20906310.932546414</v>
      </c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3"/>
      <c r="DI36" s="163"/>
      <c r="DJ36" s="163"/>
      <c r="DK36" s="163"/>
      <c r="DL36" s="163"/>
      <c r="DM36" s="163"/>
      <c r="DN36" s="163"/>
      <c r="DO36" s="163"/>
      <c r="DP36" s="163"/>
      <c r="DQ36" s="163"/>
      <c r="DR36" s="163"/>
      <c r="DS36" s="163"/>
      <c r="DT36" s="163"/>
      <c r="DU36" s="163"/>
      <c r="DV36" s="163"/>
      <c r="DW36" s="163"/>
      <c r="DX36" s="163"/>
      <c r="DY36" s="163"/>
      <c r="DZ36" s="163"/>
      <c r="EA36" s="163"/>
      <c r="EB36" s="163"/>
      <c r="EC36" s="163"/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  <c r="ES36" s="163"/>
      <c r="ET36" s="163"/>
      <c r="EU36" s="163"/>
      <c r="EV36" s="163"/>
      <c r="EW36" s="163"/>
      <c r="EX36" s="163"/>
      <c r="EY36" s="163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118">
        <v>1000000</v>
      </c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GA36" s="129">
        <v>1</v>
      </c>
    </row>
    <row r="37" spans="1:183" s="124" customFormat="1">
      <c r="A37" s="265"/>
      <c r="B37" s="270">
        <v>6408</v>
      </c>
      <c r="C37" s="270" t="s">
        <v>30</v>
      </c>
      <c r="D37" s="264">
        <v>25124492.349744771</v>
      </c>
      <c r="E37" s="264">
        <f t="shared" si="22"/>
        <v>25626982.196739666</v>
      </c>
      <c r="F37" s="264">
        <f t="shared" si="23"/>
        <v>26139521.84067446</v>
      </c>
      <c r="G37" s="264">
        <v>30277820.941650692</v>
      </c>
      <c r="H37" s="264">
        <f t="shared" si="24"/>
        <v>30580599.151067201</v>
      </c>
      <c r="I37" s="264">
        <f t="shared" si="25"/>
        <v>30886405.142577872</v>
      </c>
      <c r="J37" s="264">
        <v>30208095.033234697</v>
      </c>
      <c r="K37" s="264">
        <f t="shared" si="19"/>
        <v>30812256.933899391</v>
      </c>
      <c r="L37" s="264">
        <f t="shared" si="20"/>
        <v>30196011.795221403</v>
      </c>
      <c r="M37" s="264">
        <v>31315824.269959435</v>
      </c>
      <c r="N37" s="264">
        <f t="shared" si="21"/>
        <v>30689507.784560245</v>
      </c>
      <c r="O37" s="264">
        <v>33549768.41395916</v>
      </c>
      <c r="P37" s="321">
        <f t="shared" si="18"/>
        <v>355407285.85328901</v>
      </c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3"/>
      <c r="BN37" s="163"/>
      <c r="BO37" s="163"/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63"/>
      <c r="CV37" s="163"/>
      <c r="CW37" s="163"/>
      <c r="CX37" s="163"/>
      <c r="CY37" s="163"/>
      <c r="CZ37" s="163"/>
      <c r="DA37" s="163"/>
      <c r="DB37" s="163"/>
      <c r="DC37" s="163"/>
      <c r="DD37" s="163"/>
      <c r="DE37" s="163"/>
      <c r="DF37" s="163"/>
      <c r="DG37" s="163"/>
      <c r="DH37" s="163"/>
      <c r="DI37" s="163"/>
      <c r="DJ37" s="163"/>
      <c r="DK37" s="163"/>
      <c r="DL37" s="163"/>
      <c r="DM37" s="163"/>
      <c r="DN37" s="163"/>
      <c r="DO37" s="163"/>
      <c r="DP37" s="163"/>
      <c r="DQ37" s="163"/>
      <c r="DR37" s="163"/>
      <c r="DS37" s="163"/>
      <c r="DT37" s="163"/>
      <c r="DU37" s="163"/>
      <c r="DV37" s="163"/>
      <c r="DW37" s="163"/>
      <c r="DX37" s="163"/>
      <c r="DY37" s="163"/>
      <c r="DZ37" s="163"/>
      <c r="EA37" s="163"/>
      <c r="EB37" s="163"/>
      <c r="EC37" s="163"/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118">
        <v>17000000</v>
      </c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GA37" s="129">
        <v>17</v>
      </c>
    </row>
    <row r="38" spans="1:183" s="124" customFormat="1">
      <c r="A38" s="265"/>
      <c r="B38" s="270">
        <v>6409</v>
      </c>
      <c r="C38" s="270" t="s">
        <v>31</v>
      </c>
      <c r="D38" s="264">
        <v>738955.65734543465</v>
      </c>
      <c r="E38" s="264">
        <f t="shared" si="22"/>
        <v>753734.77049234335</v>
      </c>
      <c r="F38" s="264">
        <f t="shared" si="23"/>
        <v>768809.46590219019</v>
      </c>
      <c r="G38" s="264">
        <v>890524.1453426677</v>
      </c>
      <c r="H38" s="264">
        <f t="shared" si="24"/>
        <v>899429.38679609436</v>
      </c>
      <c r="I38" s="264">
        <f t="shared" si="25"/>
        <v>908423.68066405528</v>
      </c>
      <c r="J38" s="264">
        <v>888473.38333043247</v>
      </c>
      <c r="K38" s="264">
        <f t="shared" si="19"/>
        <v>906242.8509970411</v>
      </c>
      <c r="L38" s="264">
        <f t="shared" si="20"/>
        <v>888117.99397710024</v>
      </c>
      <c r="M38" s="264">
        <v>921053.65499880712</v>
      </c>
      <c r="N38" s="264">
        <f t="shared" si="21"/>
        <v>902632.58189883095</v>
      </c>
      <c r="O38" s="264">
        <v>986757.89452821086</v>
      </c>
      <c r="P38" s="321">
        <f t="shared" si="18"/>
        <v>10453155.466273207</v>
      </c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/>
      <c r="BT38" s="163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63"/>
      <c r="CV38" s="163"/>
      <c r="CW38" s="163"/>
      <c r="CX38" s="163"/>
      <c r="CY38" s="163"/>
      <c r="CZ38" s="163"/>
      <c r="DA38" s="163"/>
      <c r="DB38" s="163"/>
      <c r="DC38" s="163"/>
      <c r="DD38" s="163"/>
      <c r="DE38" s="163"/>
      <c r="DF38" s="163"/>
      <c r="DG38" s="163"/>
      <c r="DH38" s="163"/>
      <c r="DI38" s="163"/>
      <c r="DJ38" s="163"/>
      <c r="DK38" s="163"/>
      <c r="DL38" s="163"/>
      <c r="DM38" s="163"/>
      <c r="DN38" s="163"/>
      <c r="DO38" s="163"/>
      <c r="DP38" s="163"/>
      <c r="DQ38" s="163"/>
      <c r="DR38" s="163"/>
      <c r="DS38" s="163"/>
      <c r="DT38" s="163"/>
      <c r="DU38" s="163"/>
      <c r="DV38" s="163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118">
        <v>500000</v>
      </c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GA38" s="129">
        <v>0.5</v>
      </c>
    </row>
    <row r="39" spans="1:183" s="124" customFormat="1">
      <c r="A39" s="265"/>
      <c r="B39" s="270">
        <v>6410</v>
      </c>
      <c r="C39" s="270" t="s">
        <v>32</v>
      </c>
      <c r="D39" s="264">
        <v>73895565.734543473</v>
      </c>
      <c r="E39" s="264">
        <f t="shared" si="22"/>
        <v>75373477.049234346</v>
      </c>
      <c r="F39" s="264">
        <f t="shared" si="23"/>
        <v>76880946.590219036</v>
      </c>
      <c r="G39" s="264">
        <v>89052414.53426677</v>
      </c>
      <c r="H39" s="264">
        <f t="shared" si="24"/>
        <v>89942938.679609433</v>
      </c>
      <c r="I39" s="264">
        <f t="shared" si="25"/>
        <v>90842368.06640552</v>
      </c>
      <c r="J39" s="264">
        <v>88847338.333043262</v>
      </c>
      <c r="K39" s="264">
        <f t="shared" si="19"/>
        <v>90624285.099704131</v>
      </c>
      <c r="L39" s="264">
        <f t="shared" si="20"/>
        <v>88811799.397710055</v>
      </c>
      <c r="M39" s="264">
        <v>92105365.499880716</v>
      </c>
      <c r="N39" s="264">
        <f t="shared" si="21"/>
        <v>90263258.189883098</v>
      </c>
      <c r="O39" s="264">
        <v>98675789.452821091</v>
      </c>
      <c r="P39" s="321">
        <f t="shared" si="18"/>
        <v>1045315546.627321</v>
      </c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163"/>
      <c r="BN39" s="163"/>
      <c r="BO39" s="163"/>
      <c r="BP39" s="163"/>
      <c r="BQ39" s="163"/>
      <c r="BR39" s="163"/>
      <c r="BS39" s="163"/>
      <c r="BT39" s="163"/>
      <c r="BU39" s="163"/>
      <c r="BV39" s="163"/>
      <c r="BW39" s="163"/>
      <c r="BX39" s="163"/>
      <c r="BY39" s="163"/>
      <c r="BZ39" s="163"/>
      <c r="CA39" s="163"/>
      <c r="CB39" s="163"/>
      <c r="CC39" s="163"/>
      <c r="CD39" s="163"/>
      <c r="CE39" s="163"/>
      <c r="CF39" s="163"/>
      <c r="CG39" s="163"/>
      <c r="CH39" s="163"/>
      <c r="CI39" s="163"/>
      <c r="CJ39" s="163"/>
      <c r="CK39" s="163"/>
      <c r="CL39" s="163"/>
      <c r="CM39" s="163"/>
      <c r="CN39" s="163"/>
      <c r="CO39" s="163"/>
      <c r="CP39" s="163"/>
      <c r="CQ39" s="163"/>
      <c r="CR39" s="163"/>
      <c r="CS39" s="163"/>
      <c r="CT39" s="163"/>
      <c r="CU39" s="163"/>
      <c r="CV39" s="163"/>
      <c r="CW39" s="163"/>
      <c r="CX39" s="163"/>
      <c r="CY39" s="163"/>
      <c r="CZ39" s="163"/>
      <c r="DA39" s="163"/>
      <c r="DB39" s="163"/>
      <c r="DC39" s="163"/>
      <c r="DD39" s="163"/>
      <c r="DE39" s="163"/>
      <c r="DF39" s="163"/>
      <c r="DG39" s="163"/>
      <c r="DH39" s="163"/>
      <c r="DI39" s="163"/>
      <c r="DJ39" s="163"/>
      <c r="DK39" s="163"/>
      <c r="DL39" s="163"/>
      <c r="DM39" s="163"/>
      <c r="DN39" s="163"/>
      <c r="DO39" s="163"/>
      <c r="DP39" s="163"/>
      <c r="DQ39" s="163"/>
      <c r="DR39" s="163"/>
      <c r="DS39" s="163"/>
      <c r="DT39" s="163"/>
      <c r="DU39" s="163"/>
      <c r="DV39" s="163"/>
      <c r="DW39" s="163"/>
      <c r="DX39" s="163"/>
      <c r="DY39" s="163"/>
      <c r="DZ39" s="163"/>
      <c r="EA39" s="163"/>
      <c r="EB39" s="163"/>
      <c r="EC39" s="163"/>
      <c r="ED39" s="163"/>
      <c r="EE39" s="163"/>
      <c r="EF39" s="163"/>
      <c r="EG39" s="163"/>
      <c r="EH39" s="163"/>
      <c r="EI39" s="163"/>
      <c r="EJ39" s="163"/>
      <c r="EK39" s="163"/>
      <c r="EL39" s="163"/>
      <c r="EM39" s="163"/>
      <c r="EN39" s="163"/>
      <c r="EO39" s="163"/>
      <c r="EP39" s="163"/>
      <c r="EQ39" s="163"/>
      <c r="ER39" s="163"/>
      <c r="ES39" s="163"/>
      <c r="ET39" s="163"/>
      <c r="EU39" s="163"/>
      <c r="EV39" s="163"/>
      <c r="EW39" s="163"/>
      <c r="EX39" s="163"/>
      <c r="EY39" s="163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118">
        <v>50000000</v>
      </c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GA39" s="129">
        <v>24.756499999999999</v>
      </c>
    </row>
    <row r="40" spans="1:183" s="124" customFormat="1">
      <c r="A40" s="265"/>
      <c r="B40" s="270">
        <v>6411</v>
      </c>
      <c r="C40" s="270" t="s">
        <v>33</v>
      </c>
      <c r="D40" s="264">
        <v>2216866.9720363035</v>
      </c>
      <c r="E40" s="264">
        <f t="shared" si="22"/>
        <v>2261204.3114770297</v>
      </c>
      <c r="F40" s="264">
        <f t="shared" si="23"/>
        <v>2306428.3977065701</v>
      </c>
      <c r="G40" s="264">
        <v>2671572.4360280028</v>
      </c>
      <c r="H40" s="264">
        <f t="shared" si="24"/>
        <v>2698288.160388283</v>
      </c>
      <c r="I40" s="264">
        <f t="shared" si="25"/>
        <v>2725271.0419921656</v>
      </c>
      <c r="J40" s="264">
        <v>2665420.1499912972</v>
      </c>
      <c r="K40" s="264">
        <f t="shared" si="19"/>
        <v>2718728.5529911229</v>
      </c>
      <c r="L40" s="264">
        <f t="shared" si="20"/>
        <v>2664353.9819313004</v>
      </c>
      <c r="M40" s="264">
        <v>2763160.9649964208</v>
      </c>
      <c r="N40" s="264">
        <f t="shared" si="21"/>
        <v>2707897.7456964925</v>
      </c>
      <c r="O40" s="264">
        <v>2960273.6835846319</v>
      </c>
      <c r="P40" s="321">
        <f t="shared" si="18"/>
        <v>31359466.398819614</v>
      </c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3"/>
      <c r="BM40" s="163"/>
      <c r="BN40" s="163"/>
      <c r="BO40" s="163"/>
      <c r="BP40" s="163"/>
      <c r="BQ40" s="163"/>
      <c r="BR40" s="163"/>
      <c r="BS40" s="163"/>
      <c r="BT40" s="163"/>
      <c r="BU40" s="163"/>
      <c r="BV40" s="163"/>
      <c r="BW40" s="163"/>
      <c r="BX40" s="163"/>
      <c r="BY40" s="163"/>
      <c r="BZ40" s="163"/>
      <c r="CA40" s="163"/>
      <c r="CB40" s="163"/>
      <c r="CC40" s="163"/>
      <c r="CD40" s="163"/>
      <c r="CE40" s="163"/>
      <c r="CF40" s="163"/>
      <c r="CG40" s="163"/>
      <c r="CH40" s="163"/>
      <c r="CI40" s="163"/>
      <c r="CJ40" s="163"/>
      <c r="CK40" s="163"/>
      <c r="CL40" s="163"/>
      <c r="CM40" s="163"/>
      <c r="CN40" s="163"/>
      <c r="CO40" s="163"/>
      <c r="CP40" s="163"/>
      <c r="CQ40" s="163"/>
      <c r="CR40" s="163"/>
      <c r="CS40" s="163"/>
      <c r="CT40" s="163"/>
      <c r="CU40" s="163"/>
      <c r="CV40" s="163"/>
      <c r="CW40" s="163"/>
      <c r="CX40" s="163"/>
      <c r="CY40" s="163"/>
      <c r="CZ40" s="163"/>
      <c r="DA40" s="163"/>
      <c r="DB40" s="163"/>
      <c r="DC40" s="163"/>
      <c r="DD40" s="163"/>
      <c r="DE40" s="163"/>
      <c r="DF40" s="163"/>
      <c r="DG40" s="163"/>
      <c r="DH40" s="163"/>
      <c r="DI40" s="163"/>
      <c r="DJ40" s="163"/>
      <c r="DK40" s="163"/>
      <c r="DL40" s="163"/>
      <c r="DM40" s="163"/>
      <c r="DN40" s="163"/>
      <c r="DO40" s="163"/>
      <c r="DP40" s="163"/>
      <c r="DQ40" s="163"/>
      <c r="DR40" s="163"/>
      <c r="DS40" s="163"/>
      <c r="DT40" s="163"/>
      <c r="DU40" s="163"/>
      <c r="DV40" s="163"/>
      <c r="DW40" s="163"/>
      <c r="DX40" s="163"/>
      <c r="DY40" s="163"/>
      <c r="DZ40" s="163"/>
      <c r="EA40" s="163"/>
      <c r="EB40" s="163"/>
      <c r="EC40" s="163"/>
      <c r="ED40" s="163"/>
      <c r="EE40" s="163"/>
      <c r="EF40" s="163"/>
      <c r="EG40" s="163"/>
      <c r="EH40" s="163"/>
      <c r="EI40" s="163"/>
      <c r="EJ40" s="163"/>
      <c r="EK40" s="163"/>
      <c r="EL40" s="163"/>
      <c r="EM40" s="163"/>
      <c r="EN40" s="163"/>
      <c r="EO40" s="163"/>
      <c r="EP40" s="163"/>
      <c r="EQ40" s="163"/>
      <c r="ER40" s="163"/>
      <c r="ES40" s="163"/>
      <c r="ET40" s="163"/>
      <c r="EU40" s="163"/>
      <c r="EV40" s="163"/>
      <c r="EW40" s="163"/>
      <c r="EX40" s="163"/>
      <c r="EY40" s="163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118">
        <v>1500000</v>
      </c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GA40" s="129">
        <v>1.5</v>
      </c>
    </row>
    <row r="41" spans="1:183" s="124" customFormat="1">
      <c r="A41" s="265"/>
      <c r="B41" s="270">
        <v>6412</v>
      </c>
      <c r="C41" s="270" t="s">
        <v>34</v>
      </c>
      <c r="D41" s="264">
        <v>88674678.881452113</v>
      </c>
      <c r="E41" s="264">
        <f t="shared" si="22"/>
        <v>90448172.459081158</v>
      </c>
      <c r="F41" s="264">
        <f t="shared" si="23"/>
        <v>92257135.908262774</v>
      </c>
      <c r="G41" s="264">
        <v>106862897.44112007</v>
      </c>
      <c r="H41" s="264">
        <f t="shared" si="24"/>
        <v>107931526.41553128</v>
      </c>
      <c r="I41" s="264">
        <f t="shared" si="25"/>
        <v>109010841.67968659</v>
      </c>
      <c r="J41" s="264">
        <v>106616805.99965185</v>
      </c>
      <c r="K41" s="264">
        <f t="shared" si="19"/>
        <v>108749142.11964488</v>
      </c>
      <c r="L41" s="264">
        <f t="shared" si="20"/>
        <v>106574159.27725199</v>
      </c>
      <c r="M41" s="264">
        <v>110526438.59985679</v>
      </c>
      <c r="N41" s="264">
        <f t="shared" si="21"/>
        <v>108315909.82785966</v>
      </c>
      <c r="O41" s="264">
        <v>118410947.34338525</v>
      </c>
      <c r="P41" s="321">
        <f t="shared" si="18"/>
        <v>1254378655.9527843</v>
      </c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  <c r="BQ41" s="163"/>
      <c r="BR41" s="163"/>
      <c r="BS41" s="163"/>
      <c r="BT41" s="163"/>
      <c r="BU41" s="163"/>
      <c r="BV41" s="163"/>
      <c r="BW41" s="163"/>
      <c r="BX41" s="163"/>
      <c r="BY41" s="163"/>
      <c r="BZ41" s="163"/>
      <c r="CA41" s="163"/>
      <c r="CB41" s="163"/>
      <c r="CC41" s="163"/>
      <c r="CD41" s="163"/>
      <c r="CE41" s="163"/>
      <c r="CF41" s="163"/>
      <c r="CG41" s="163"/>
      <c r="CH41" s="163"/>
      <c r="CI41" s="163"/>
      <c r="CJ41" s="163"/>
      <c r="CK41" s="163"/>
      <c r="CL41" s="163"/>
      <c r="CM41" s="163"/>
      <c r="CN41" s="163"/>
      <c r="CO41" s="163"/>
      <c r="CP41" s="163"/>
      <c r="CQ41" s="163"/>
      <c r="CR41" s="163"/>
      <c r="CS41" s="163"/>
      <c r="CT41" s="163"/>
      <c r="CU41" s="163"/>
      <c r="CV41" s="163"/>
      <c r="CW41" s="163"/>
      <c r="CX41" s="163"/>
      <c r="CY41" s="163"/>
      <c r="CZ41" s="163"/>
      <c r="DA41" s="163"/>
      <c r="DB41" s="163"/>
      <c r="DC41" s="163"/>
      <c r="DD41" s="163"/>
      <c r="DE41" s="163"/>
      <c r="DF41" s="163"/>
      <c r="DG41" s="163"/>
      <c r="DH41" s="163"/>
      <c r="DI41" s="163"/>
      <c r="DJ41" s="163"/>
      <c r="DK41" s="163"/>
      <c r="DL41" s="163"/>
      <c r="DM41" s="163"/>
      <c r="DN41" s="163"/>
      <c r="DO41" s="163"/>
      <c r="DP41" s="163"/>
      <c r="DQ41" s="163"/>
      <c r="DR41" s="163"/>
      <c r="DS41" s="163"/>
      <c r="DT41" s="163"/>
      <c r="DU41" s="163"/>
      <c r="DV41" s="163"/>
      <c r="DW41" s="163"/>
      <c r="DX41" s="163"/>
      <c r="DY41" s="163"/>
      <c r="DZ41" s="163"/>
      <c r="EA41" s="163"/>
      <c r="EB41" s="163"/>
      <c r="EC41" s="163"/>
      <c r="ED41" s="163"/>
      <c r="EE41" s="163"/>
      <c r="EF41" s="163"/>
      <c r="EG41" s="163"/>
      <c r="EH41" s="163"/>
      <c r="EI41" s="163"/>
      <c r="EJ41" s="163"/>
      <c r="EK41" s="163"/>
      <c r="EL41" s="163"/>
      <c r="EM41" s="163"/>
      <c r="EN41" s="163"/>
      <c r="EO41" s="163"/>
      <c r="EP41" s="163"/>
      <c r="EQ41" s="163"/>
      <c r="ER41" s="163"/>
      <c r="ES41" s="163"/>
      <c r="ET41" s="163"/>
      <c r="EU41" s="163"/>
      <c r="EV41" s="163"/>
      <c r="EW41" s="163"/>
      <c r="EX41" s="163"/>
      <c r="EY41" s="163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118">
        <v>60000000</v>
      </c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GA41" s="129">
        <v>60</v>
      </c>
    </row>
    <row r="42" spans="1:183" s="124" customFormat="1">
      <c r="A42" s="265"/>
      <c r="B42" s="270">
        <v>6413</v>
      </c>
      <c r="C42" s="270" t="s">
        <v>35</v>
      </c>
      <c r="D42" s="264">
        <v>12562246.174872385</v>
      </c>
      <c r="E42" s="264">
        <f t="shared" si="22"/>
        <v>12813491.098369833</v>
      </c>
      <c r="F42" s="264">
        <f t="shared" si="23"/>
        <v>13069760.92033723</v>
      </c>
      <c r="G42" s="264">
        <v>15138910.470825346</v>
      </c>
      <c r="H42" s="264">
        <f t="shared" si="24"/>
        <v>15290299.575533601</v>
      </c>
      <c r="I42" s="264">
        <f t="shared" si="25"/>
        <v>15443202.571288936</v>
      </c>
      <c r="J42" s="264">
        <v>15104047.516617348</v>
      </c>
      <c r="K42" s="264">
        <f t="shared" si="19"/>
        <v>15406128.466949696</v>
      </c>
      <c r="L42" s="264">
        <f t="shared" si="20"/>
        <v>15098005.897610702</v>
      </c>
      <c r="M42" s="264">
        <v>15657912.134979717</v>
      </c>
      <c r="N42" s="264">
        <f t="shared" si="21"/>
        <v>15344753.892280122</v>
      </c>
      <c r="O42" s="264">
        <v>16774884.20697958</v>
      </c>
      <c r="P42" s="321">
        <f t="shared" si="18"/>
        <v>177703642.9266445</v>
      </c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163"/>
      <c r="BN42" s="163"/>
      <c r="BO42" s="163"/>
      <c r="BP42" s="163"/>
      <c r="BQ42" s="163"/>
      <c r="BR42" s="163"/>
      <c r="BS42" s="163"/>
      <c r="BT42" s="163"/>
      <c r="BU42" s="163"/>
      <c r="BV42" s="163"/>
      <c r="BW42" s="163"/>
      <c r="BX42" s="163"/>
      <c r="BY42" s="163"/>
      <c r="BZ42" s="163"/>
      <c r="CA42" s="163"/>
      <c r="CB42" s="163"/>
      <c r="CC42" s="163"/>
      <c r="CD42" s="163"/>
      <c r="CE42" s="163"/>
      <c r="CF42" s="163"/>
      <c r="CG42" s="163"/>
      <c r="CH42" s="163"/>
      <c r="CI42" s="163"/>
      <c r="CJ42" s="163"/>
      <c r="CK42" s="163"/>
      <c r="CL42" s="163"/>
      <c r="CM42" s="163"/>
      <c r="CN42" s="163"/>
      <c r="CO42" s="163"/>
      <c r="CP42" s="163"/>
      <c r="CQ42" s="163"/>
      <c r="CR42" s="163"/>
      <c r="CS42" s="163"/>
      <c r="CT42" s="163"/>
      <c r="CU42" s="163"/>
      <c r="CV42" s="163"/>
      <c r="CW42" s="163"/>
      <c r="CX42" s="163"/>
      <c r="CY42" s="163"/>
      <c r="CZ42" s="163"/>
      <c r="DA42" s="163"/>
      <c r="DB42" s="163"/>
      <c r="DC42" s="163"/>
      <c r="DD42" s="163"/>
      <c r="DE42" s="163"/>
      <c r="DF42" s="163"/>
      <c r="DG42" s="163"/>
      <c r="DH42" s="163"/>
      <c r="DI42" s="163"/>
      <c r="DJ42" s="163"/>
      <c r="DK42" s="163"/>
      <c r="DL42" s="163"/>
      <c r="DM42" s="163"/>
      <c r="DN42" s="163"/>
      <c r="DO42" s="163"/>
      <c r="DP42" s="163"/>
      <c r="DQ42" s="163"/>
      <c r="DR42" s="163"/>
      <c r="DS42" s="163"/>
      <c r="DT42" s="163"/>
      <c r="DU42" s="163"/>
      <c r="DV42" s="163"/>
      <c r="DW42" s="163"/>
      <c r="DX42" s="163"/>
      <c r="DY42" s="163"/>
      <c r="DZ42" s="163"/>
      <c r="EA42" s="163"/>
      <c r="EB42" s="163"/>
      <c r="EC42" s="163"/>
      <c r="ED42" s="163"/>
      <c r="EE42" s="163"/>
      <c r="EF42" s="163"/>
      <c r="EG42" s="163"/>
      <c r="EH42" s="163"/>
      <c r="EI42" s="163"/>
      <c r="EJ42" s="163"/>
      <c r="EK42" s="163"/>
      <c r="EL42" s="163"/>
      <c r="EM42" s="163"/>
      <c r="EN42" s="163"/>
      <c r="EO42" s="163"/>
      <c r="EP42" s="163"/>
      <c r="EQ42" s="163"/>
      <c r="ER42" s="163"/>
      <c r="ES42" s="163"/>
      <c r="ET42" s="163"/>
      <c r="EU42" s="163"/>
      <c r="EV42" s="163"/>
      <c r="EW42" s="163"/>
      <c r="EX42" s="163"/>
      <c r="EY42" s="163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118">
        <v>8500000</v>
      </c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GA42" s="129">
        <v>8.5</v>
      </c>
    </row>
    <row r="43" spans="1:183" s="124" customFormat="1">
      <c r="A43" s="265"/>
      <c r="B43" s="270">
        <v>6414</v>
      </c>
      <c r="C43" s="270" t="s">
        <v>36</v>
      </c>
      <c r="D43" s="264">
        <v>0</v>
      </c>
      <c r="E43" s="264">
        <f t="shared" si="22"/>
        <v>0</v>
      </c>
      <c r="F43" s="264">
        <f t="shared" si="23"/>
        <v>0</v>
      </c>
      <c r="G43" s="264">
        <v>0</v>
      </c>
      <c r="H43" s="264">
        <f t="shared" si="24"/>
        <v>0</v>
      </c>
      <c r="I43" s="264">
        <f t="shared" si="25"/>
        <v>0</v>
      </c>
      <c r="J43" s="264">
        <v>0</v>
      </c>
      <c r="K43" s="264">
        <f t="shared" si="19"/>
        <v>0</v>
      </c>
      <c r="L43" s="264">
        <f t="shared" si="20"/>
        <v>0</v>
      </c>
      <c r="M43" s="264">
        <v>0</v>
      </c>
      <c r="N43" s="264">
        <f t="shared" si="21"/>
        <v>0</v>
      </c>
      <c r="O43" s="264">
        <v>0</v>
      </c>
      <c r="P43" s="321">
        <f t="shared" si="18"/>
        <v>0</v>
      </c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163"/>
      <c r="BN43" s="163"/>
      <c r="BO43" s="163"/>
      <c r="BP43" s="163"/>
      <c r="BQ43" s="163"/>
      <c r="BR43" s="163"/>
      <c r="BS43" s="163"/>
      <c r="BT43" s="163"/>
      <c r="BU43" s="16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3"/>
      <c r="CG43" s="163"/>
      <c r="CH43" s="163"/>
      <c r="CI43" s="163"/>
      <c r="CJ43" s="163"/>
      <c r="CK43" s="163"/>
      <c r="CL43" s="163"/>
      <c r="CM43" s="163"/>
      <c r="CN43" s="163"/>
      <c r="CO43" s="163"/>
      <c r="CP43" s="163"/>
      <c r="CQ43" s="163"/>
      <c r="CR43" s="163"/>
      <c r="CS43" s="163"/>
      <c r="CT43" s="163"/>
      <c r="CU43" s="163"/>
      <c r="CV43" s="163"/>
      <c r="CW43" s="163"/>
      <c r="CX43" s="163"/>
      <c r="CY43" s="163"/>
      <c r="CZ43" s="163"/>
      <c r="DA43" s="163"/>
      <c r="DB43" s="163"/>
      <c r="DC43" s="163"/>
      <c r="DD43" s="163"/>
      <c r="DE43" s="163"/>
      <c r="DF43" s="163"/>
      <c r="DG43" s="163"/>
      <c r="DH43" s="163"/>
      <c r="DI43" s="163"/>
      <c r="DJ43" s="163"/>
      <c r="DK43" s="163"/>
      <c r="DL43" s="163"/>
      <c r="DM43" s="163"/>
      <c r="DN43" s="163"/>
      <c r="DO43" s="163"/>
      <c r="DP43" s="163"/>
      <c r="DQ43" s="163"/>
      <c r="DR43" s="163"/>
      <c r="DS43" s="163"/>
      <c r="DT43" s="163"/>
      <c r="DU43" s="163"/>
      <c r="DV43" s="163"/>
      <c r="DW43" s="163"/>
      <c r="DX43" s="163"/>
      <c r="DY43" s="163"/>
      <c r="DZ43" s="163"/>
      <c r="EA43" s="163"/>
      <c r="EB43" s="163"/>
      <c r="EC43" s="163"/>
      <c r="ED43" s="163"/>
      <c r="EE43" s="163"/>
      <c r="EF43" s="163"/>
      <c r="EG43" s="163"/>
      <c r="EH43" s="163"/>
      <c r="EI43" s="163"/>
      <c r="EJ43" s="163"/>
      <c r="EK43" s="163"/>
      <c r="EL43" s="163"/>
      <c r="EM43" s="163"/>
      <c r="EN43" s="163"/>
      <c r="EO43" s="163"/>
      <c r="EP43" s="163"/>
      <c r="EQ43" s="163"/>
      <c r="ER43" s="163"/>
      <c r="ES43" s="163"/>
      <c r="ET43" s="163"/>
      <c r="EU43" s="163"/>
      <c r="EV43" s="163"/>
      <c r="EW43" s="163"/>
      <c r="EX43" s="163"/>
      <c r="EY43" s="163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118">
        <v>0</v>
      </c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GA43" s="129"/>
    </row>
    <row r="44" spans="1:183" s="124" customFormat="1">
      <c r="A44" s="265"/>
      <c r="B44" s="270">
        <v>6415</v>
      </c>
      <c r="C44" s="270" t="s">
        <v>37</v>
      </c>
      <c r="D44" s="264">
        <v>0</v>
      </c>
      <c r="E44" s="264">
        <f t="shared" si="22"/>
        <v>0</v>
      </c>
      <c r="F44" s="264">
        <f t="shared" si="23"/>
        <v>0</v>
      </c>
      <c r="G44" s="264">
        <v>0</v>
      </c>
      <c r="H44" s="264">
        <f t="shared" si="24"/>
        <v>0</v>
      </c>
      <c r="I44" s="264">
        <f t="shared" si="25"/>
        <v>0</v>
      </c>
      <c r="J44" s="264">
        <v>0</v>
      </c>
      <c r="K44" s="264">
        <f t="shared" si="19"/>
        <v>0</v>
      </c>
      <c r="L44" s="264">
        <f t="shared" si="20"/>
        <v>0</v>
      </c>
      <c r="M44" s="264">
        <v>0</v>
      </c>
      <c r="N44" s="264">
        <f t="shared" si="21"/>
        <v>0</v>
      </c>
      <c r="O44" s="264">
        <v>0</v>
      </c>
      <c r="P44" s="321">
        <f t="shared" si="18"/>
        <v>0</v>
      </c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  <c r="BZ44" s="163"/>
      <c r="CA44" s="163"/>
      <c r="CB44" s="163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/>
      <c r="CQ44" s="163"/>
      <c r="CR44" s="163"/>
      <c r="CS44" s="163"/>
      <c r="CT44" s="163"/>
      <c r="CU44" s="163"/>
      <c r="CV44" s="163"/>
      <c r="CW44" s="163"/>
      <c r="CX44" s="163"/>
      <c r="CY44" s="163"/>
      <c r="CZ44" s="163"/>
      <c r="DA44" s="163"/>
      <c r="DB44" s="163"/>
      <c r="DC44" s="163"/>
      <c r="DD44" s="163"/>
      <c r="DE44" s="163"/>
      <c r="DF44" s="163"/>
      <c r="DG44" s="163"/>
      <c r="DH44" s="163"/>
      <c r="DI44" s="163"/>
      <c r="DJ44" s="163"/>
      <c r="DK44" s="163"/>
      <c r="DL44" s="163"/>
      <c r="DM44" s="163"/>
      <c r="DN44" s="163"/>
      <c r="DO44" s="163"/>
      <c r="DP44" s="163"/>
      <c r="DQ44" s="163"/>
      <c r="DR44" s="163"/>
      <c r="DS44" s="163"/>
      <c r="DT44" s="163"/>
      <c r="DU44" s="163"/>
      <c r="DV44" s="163"/>
      <c r="DW44" s="163"/>
      <c r="DX44" s="163"/>
      <c r="DY44" s="163"/>
      <c r="DZ44" s="163"/>
      <c r="EA44" s="163"/>
      <c r="EB44" s="163"/>
      <c r="EC44" s="163"/>
      <c r="ED44" s="163"/>
      <c r="EE44" s="163"/>
      <c r="EF44" s="163"/>
      <c r="EG44" s="163"/>
      <c r="EH44" s="163"/>
      <c r="EI44" s="163"/>
      <c r="EJ44" s="163"/>
      <c r="EK44" s="163"/>
      <c r="EL44" s="163"/>
      <c r="EM44" s="163"/>
      <c r="EN44" s="163"/>
      <c r="EO44" s="163"/>
      <c r="EP44" s="163"/>
      <c r="EQ44" s="163"/>
      <c r="ER44" s="163"/>
      <c r="ES44" s="163"/>
      <c r="ET44" s="163"/>
      <c r="EU44" s="163"/>
      <c r="EV44" s="163"/>
      <c r="EW44" s="163"/>
      <c r="EX44" s="163"/>
      <c r="EY44" s="163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118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GA44" s="129">
        <v>2.5</v>
      </c>
    </row>
    <row r="45" spans="1:183" s="124" customFormat="1">
      <c r="A45" s="265"/>
      <c r="B45" s="270">
        <v>6416</v>
      </c>
      <c r="C45" s="270" t="s">
        <v>38</v>
      </c>
      <c r="D45" s="264">
        <v>19212847.090981297</v>
      </c>
      <c r="E45" s="264">
        <f t="shared" si="22"/>
        <v>19597104.032800924</v>
      </c>
      <c r="F45" s="264">
        <f t="shared" si="23"/>
        <v>19989046.113456942</v>
      </c>
      <c r="G45" s="264">
        <v>23153627.778909355</v>
      </c>
      <c r="H45" s="264">
        <f t="shared" si="24"/>
        <v>23385164.056698449</v>
      </c>
      <c r="I45" s="264">
        <f t="shared" si="25"/>
        <v>23619015.697265435</v>
      </c>
      <c r="J45" s="264">
        <v>23100307.966591243</v>
      </c>
      <c r="K45" s="264">
        <f t="shared" si="19"/>
        <v>23562314.125923067</v>
      </c>
      <c r="L45" s="264">
        <f t="shared" si="20"/>
        <v>23091067.843404606</v>
      </c>
      <c r="M45" s="264">
        <v>23947395.029968981</v>
      </c>
      <c r="N45" s="264">
        <f t="shared" si="21"/>
        <v>23468447.129369602</v>
      </c>
      <c r="O45" s="264">
        <v>25655705.257733475</v>
      </c>
      <c r="P45" s="321">
        <f t="shared" si="18"/>
        <v>271782042.12310338</v>
      </c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3"/>
      <c r="DN45" s="163"/>
      <c r="DO45" s="163"/>
      <c r="DP45" s="163"/>
      <c r="DQ45" s="163"/>
      <c r="DR45" s="163"/>
      <c r="DS45" s="163"/>
      <c r="DT45" s="163"/>
      <c r="DU45" s="163"/>
      <c r="DV45" s="163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118">
        <v>13000000</v>
      </c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GA45" s="129">
        <v>13</v>
      </c>
    </row>
    <row r="46" spans="1:183" s="124" customFormat="1">
      <c r="A46" s="265"/>
      <c r="B46" s="270">
        <v>6417</v>
      </c>
      <c r="C46" s="270" t="s">
        <v>39</v>
      </c>
      <c r="D46" s="264">
        <v>5911645.2587634772</v>
      </c>
      <c r="E46" s="264">
        <f t="shared" si="22"/>
        <v>6029878.1639387468</v>
      </c>
      <c r="F46" s="264">
        <f t="shared" si="23"/>
        <v>6150475.7272175215</v>
      </c>
      <c r="G46" s="264">
        <v>7124193.1627413416</v>
      </c>
      <c r="H46" s="264">
        <f t="shared" si="24"/>
        <v>7195435.0943687549</v>
      </c>
      <c r="I46" s="264">
        <f t="shared" si="25"/>
        <v>7267389.4453124423</v>
      </c>
      <c r="J46" s="264">
        <v>7107787.0666434597</v>
      </c>
      <c r="K46" s="264">
        <f t="shared" si="19"/>
        <v>7249942.8079763288</v>
      </c>
      <c r="L46" s="264">
        <f t="shared" ref="L46:L61" si="26">K46+(K46*$J$8%)</f>
        <v>7104943.9518168019</v>
      </c>
      <c r="M46" s="264">
        <v>7368429.239990457</v>
      </c>
      <c r="N46" s="264">
        <f t="shared" si="21"/>
        <v>7221060.6551906476</v>
      </c>
      <c r="O46" s="264">
        <v>7894063.1562256869</v>
      </c>
      <c r="P46" s="321">
        <f t="shared" si="18"/>
        <v>83625243.730185658</v>
      </c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63"/>
      <c r="CO46" s="163"/>
      <c r="CP46" s="163"/>
      <c r="CQ46" s="163"/>
      <c r="CR46" s="163"/>
      <c r="CS46" s="163"/>
      <c r="CT46" s="163"/>
      <c r="CU46" s="163"/>
      <c r="CV46" s="163"/>
      <c r="CW46" s="163"/>
      <c r="CX46" s="163"/>
      <c r="CY46" s="163"/>
      <c r="CZ46" s="163"/>
      <c r="DA46" s="163"/>
      <c r="DB46" s="163"/>
      <c r="DC46" s="163"/>
      <c r="DD46" s="163"/>
      <c r="DE46" s="163"/>
      <c r="DF46" s="163"/>
      <c r="DG46" s="163"/>
      <c r="DH46" s="163"/>
      <c r="DI46" s="163"/>
      <c r="DJ46" s="163"/>
      <c r="DK46" s="163"/>
      <c r="DL46" s="163"/>
      <c r="DM46" s="163"/>
      <c r="DN46" s="163"/>
      <c r="DO46" s="163"/>
      <c r="DP46" s="163"/>
      <c r="DQ46" s="163"/>
      <c r="DR46" s="163"/>
      <c r="DS46" s="163"/>
      <c r="DT46" s="163"/>
      <c r="DU46" s="163"/>
      <c r="DV46" s="163"/>
      <c r="DW46" s="163"/>
      <c r="DX46" s="163"/>
      <c r="DY46" s="163"/>
      <c r="DZ46" s="163"/>
      <c r="EA46" s="163"/>
      <c r="EB46" s="163"/>
      <c r="EC46" s="163"/>
      <c r="ED46" s="163"/>
      <c r="EE46" s="163"/>
      <c r="EF46" s="163"/>
      <c r="EG46" s="163"/>
      <c r="EH46" s="163"/>
      <c r="EI46" s="163"/>
      <c r="EJ46" s="163"/>
      <c r="EK46" s="163"/>
      <c r="EL46" s="163"/>
      <c r="EM46" s="163"/>
      <c r="EN46" s="163"/>
      <c r="EO46" s="163"/>
      <c r="EP46" s="163"/>
      <c r="EQ46" s="163"/>
      <c r="ER46" s="163"/>
      <c r="ES46" s="163"/>
      <c r="ET46" s="163"/>
      <c r="EU46" s="163"/>
      <c r="EV46" s="163"/>
      <c r="EW46" s="163"/>
      <c r="EX46" s="163"/>
      <c r="EY46" s="163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118">
        <v>4000000</v>
      </c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GA46" s="129">
        <v>4</v>
      </c>
    </row>
    <row r="47" spans="1:183" s="124" customFormat="1">
      <c r="A47" s="265"/>
      <c r="B47" s="270">
        <v>6418</v>
      </c>
      <c r="C47" s="270" t="s">
        <v>40</v>
      </c>
      <c r="D47" s="264">
        <v>9754214.6769597344</v>
      </c>
      <c r="E47" s="264">
        <f t="shared" si="22"/>
        <v>9949298.9704989288</v>
      </c>
      <c r="F47" s="264">
        <f t="shared" si="23"/>
        <v>10148284.949908907</v>
      </c>
      <c r="G47" s="264">
        <v>11754918.71852321</v>
      </c>
      <c r="H47" s="264">
        <f t="shared" si="24"/>
        <v>11872467.905708442</v>
      </c>
      <c r="I47" s="264">
        <f t="shared" si="25"/>
        <v>11991192.584765526</v>
      </c>
      <c r="J47" s="264">
        <v>11727848.659961706</v>
      </c>
      <c r="K47" s="264">
        <f t="shared" si="19"/>
        <v>11962405.633160939</v>
      </c>
      <c r="L47" s="264">
        <f t="shared" si="26"/>
        <v>11723157.520497721</v>
      </c>
      <c r="M47" s="264">
        <v>12157908.245984251</v>
      </c>
      <c r="N47" s="264">
        <f t="shared" si="21"/>
        <v>11914750.081064565</v>
      </c>
      <c r="O47" s="264">
        <v>13025204.20777238</v>
      </c>
      <c r="P47" s="321">
        <f t="shared" si="18"/>
        <v>137981652.15480632</v>
      </c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  <c r="BQ47" s="163"/>
      <c r="BR47" s="163"/>
      <c r="BS47" s="163"/>
      <c r="BT47" s="163"/>
      <c r="BU47" s="163"/>
      <c r="BV47" s="163"/>
      <c r="BW47" s="163"/>
      <c r="BX47" s="163"/>
      <c r="BY47" s="163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/>
      <c r="CK47" s="163"/>
      <c r="CL47" s="163"/>
      <c r="CM47" s="163"/>
      <c r="CN47" s="163"/>
      <c r="CO47" s="163"/>
      <c r="CP47" s="163"/>
      <c r="CQ47" s="163"/>
      <c r="CR47" s="163"/>
      <c r="CS47" s="163"/>
      <c r="CT47" s="163"/>
      <c r="CU47" s="163"/>
      <c r="CV47" s="163"/>
      <c r="CW47" s="163"/>
      <c r="CX47" s="163"/>
      <c r="CY47" s="163"/>
      <c r="CZ47" s="163"/>
      <c r="DA47" s="163"/>
      <c r="DB47" s="163"/>
      <c r="DC47" s="163"/>
      <c r="DD47" s="163"/>
      <c r="DE47" s="163"/>
      <c r="DF47" s="163"/>
      <c r="DG47" s="163"/>
      <c r="DH47" s="163"/>
      <c r="DI47" s="163"/>
      <c r="DJ47" s="163"/>
      <c r="DK47" s="163"/>
      <c r="DL47" s="163"/>
      <c r="DM47" s="163"/>
      <c r="DN47" s="163"/>
      <c r="DO47" s="163"/>
      <c r="DP47" s="163"/>
      <c r="DQ47" s="163"/>
      <c r="DR47" s="163"/>
      <c r="DS47" s="163"/>
      <c r="DT47" s="163"/>
      <c r="DU47" s="163"/>
      <c r="DV47" s="163"/>
      <c r="DW47" s="163"/>
      <c r="DX47" s="163"/>
      <c r="DY47" s="163"/>
      <c r="DZ47" s="163"/>
      <c r="EA47" s="163"/>
      <c r="EB47" s="163"/>
      <c r="EC47" s="163"/>
      <c r="ED47" s="163"/>
      <c r="EE47" s="163"/>
      <c r="EF47" s="163"/>
      <c r="EG47" s="163"/>
      <c r="EH47" s="163"/>
      <c r="EI47" s="163"/>
      <c r="EJ47" s="163"/>
      <c r="EK47" s="163"/>
      <c r="EL47" s="163"/>
      <c r="EM47" s="163"/>
      <c r="EN47" s="163"/>
      <c r="EO47" s="163"/>
      <c r="EP47" s="163"/>
      <c r="EQ47" s="163"/>
      <c r="ER47" s="163"/>
      <c r="ES47" s="163"/>
      <c r="ET47" s="163"/>
      <c r="EU47" s="163"/>
      <c r="EV47" s="163"/>
      <c r="EW47" s="163"/>
      <c r="EX47" s="163"/>
      <c r="EY47" s="163"/>
      <c r="EZ47" s="80"/>
      <c r="FA47" s="80"/>
      <c r="FB47" s="80"/>
      <c r="FC47" s="80"/>
      <c r="FD47" s="80"/>
      <c r="FE47" s="80"/>
      <c r="FF47" s="80"/>
      <c r="FG47" s="80"/>
      <c r="FH47" s="80"/>
      <c r="FI47" s="80"/>
      <c r="FJ47" s="80"/>
      <c r="FK47" s="80"/>
      <c r="FL47" s="118">
        <v>6600000</v>
      </c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GA47" s="129">
        <v>6.6</v>
      </c>
    </row>
    <row r="48" spans="1:183" s="124" customFormat="1">
      <c r="A48" s="265"/>
      <c r="B48" s="270">
        <v>6419</v>
      </c>
      <c r="C48" s="270" t="s">
        <v>41</v>
      </c>
      <c r="D48" s="264">
        <v>8867467.8881452139</v>
      </c>
      <c r="E48" s="264">
        <f t="shared" si="22"/>
        <v>9044817.2459081188</v>
      </c>
      <c r="F48" s="264">
        <f t="shared" si="23"/>
        <v>9225713.5908262804</v>
      </c>
      <c r="G48" s="264">
        <v>10686289.744112011</v>
      </c>
      <c r="H48" s="264">
        <f t="shared" si="24"/>
        <v>10793152.641553132</v>
      </c>
      <c r="I48" s="264">
        <f t="shared" si="25"/>
        <v>10901084.167968662</v>
      </c>
      <c r="J48" s="264">
        <v>10661680.599965189</v>
      </c>
      <c r="K48" s="264">
        <f t="shared" si="19"/>
        <v>10874914.211964492</v>
      </c>
      <c r="L48" s="264">
        <f t="shared" si="26"/>
        <v>10657415.927725201</v>
      </c>
      <c r="M48" s="264">
        <v>11052643.859985683</v>
      </c>
      <c r="N48" s="264">
        <f t="shared" si="21"/>
        <v>10831590.98278597</v>
      </c>
      <c r="O48" s="264">
        <v>11841094.734338528</v>
      </c>
      <c r="P48" s="321">
        <f t="shared" si="18"/>
        <v>125437865.59527846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/>
      <c r="DS48" s="163"/>
      <c r="DT48" s="163"/>
      <c r="DU48" s="163"/>
      <c r="DV48" s="163"/>
      <c r="DW48" s="163"/>
      <c r="DX48" s="163"/>
      <c r="DY48" s="163"/>
      <c r="DZ48" s="163"/>
      <c r="EA48" s="163"/>
      <c r="EB48" s="163"/>
      <c r="EC48" s="163"/>
      <c r="ED48" s="163"/>
      <c r="EE48" s="163"/>
      <c r="EF48" s="163"/>
      <c r="EG48" s="163"/>
      <c r="EH48" s="163"/>
      <c r="EI48" s="163"/>
      <c r="EJ48" s="163"/>
      <c r="EK48" s="163"/>
      <c r="EL48" s="163"/>
      <c r="EM48" s="163"/>
      <c r="EN48" s="163"/>
      <c r="EO48" s="163"/>
      <c r="EP48" s="163"/>
      <c r="EQ48" s="163"/>
      <c r="ER48" s="163"/>
      <c r="ES48" s="163"/>
      <c r="ET48" s="163"/>
      <c r="EU48" s="163"/>
      <c r="EV48" s="163"/>
      <c r="EW48" s="163"/>
      <c r="EX48" s="163"/>
      <c r="EY48" s="163"/>
      <c r="EZ48" s="80"/>
      <c r="FA48" s="80"/>
      <c r="FB48" s="80"/>
      <c r="FC48" s="80"/>
      <c r="FD48" s="80"/>
      <c r="FE48" s="80"/>
      <c r="FF48" s="80"/>
      <c r="FG48" s="80"/>
      <c r="FH48" s="80"/>
      <c r="FI48" s="80"/>
      <c r="FJ48" s="80"/>
      <c r="FK48" s="80"/>
      <c r="FL48" s="118">
        <v>6000000</v>
      </c>
      <c r="FM48" s="80"/>
      <c r="FN48" s="80"/>
      <c r="FO48" s="80"/>
      <c r="FP48" s="80"/>
      <c r="FQ48" s="80"/>
      <c r="FR48" s="80"/>
      <c r="FS48" s="80"/>
      <c r="FT48" s="80"/>
      <c r="FU48" s="80"/>
      <c r="FV48" s="80"/>
      <c r="FW48" s="80"/>
      <c r="FX48" s="80"/>
      <c r="FY48" s="80"/>
      <c r="GA48" s="129">
        <v>6</v>
      </c>
    </row>
    <row r="49" spans="1:183" s="124" customFormat="1">
      <c r="A49" s="265"/>
      <c r="B49" s="270">
        <v>6420</v>
      </c>
      <c r="C49" s="270" t="s">
        <v>42</v>
      </c>
      <c r="D49" s="264">
        <v>3694778.2867271728</v>
      </c>
      <c r="E49" s="264">
        <f t="shared" si="22"/>
        <v>3768673.8524617162</v>
      </c>
      <c r="F49" s="264">
        <f t="shared" si="23"/>
        <v>3844047.3295109505</v>
      </c>
      <c r="G49" s="264">
        <v>4452620.7267133379</v>
      </c>
      <c r="H49" s="264">
        <f t="shared" si="24"/>
        <v>4497146.9339804715</v>
      </c>
      <c r="I49" s="264">
        <f t="shared" si="25"/>
        <v>4542118.4033202762</v>
      </c>
      <c r="J49" s="264">
        <v>4442366.9166521626</v>
      </c>
      <c r="K49" s="264">
        <f t="shared" si="19"/>
        <v>4531214.2549852058</v>
      </c>
      <c r="L49" s="264">
        <f t="shared" si="26"/>
        <v>4440589.969885502</v>
      </c>
      <c r="M49" s="264">
        <v>4605268.2749940353</v>
      </c>
      <c r="N49" s="264">
        <f t="shared" si="21"/>
        <v>4513162.9094941542</v>
      </c>
      <c r="O49" s="264">
        <v>4933789.4726410536</v>
      </c>
      <c r="P49" s="321">
        <f t="shared" si="18"/>
        <v>52265777.331366032</v>
      </c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  <c r="BQ49" s="163"/>
      <c r="BR49" s="163"/>
      <c r="BS49" s="163"/>
      <c r="BT49" s="163"/>
      <c r="BU49" s="163"/>
      <c r="BV49" s="163"/>
      <c r="BW49" s="163"/>
      <c r="BX49" s="163"/>
      <c r="BY49" s="163"/>
      <c r="BZ49" s="163"/>
      <c r="CA49" s="163"/>
      <c r="CB49" s="163"/>
      <c r="CC49" s="163"/>
      <c r="CD49" s="163"/>
      <c r="CE49" s="163"/>
      <c r="CF49" s="163"/>
      <c r="CG49" s="163"/>
      <c r="CH49" s="163"/>
      <c r="CI49" s="163"/>
      <c r="CJ49" s="163"/>
      <c r="CK49" s="163"/>
      <c r="CL49" s="163"/>
      <c r="CM49" s="163"/>
      <c r="CN49" s="163"/>
      <c r="CO49" s="163"/>
      <c r="CP49" s="163"/>
      <c r="CQ49" s="163"/>
      <c r="CR49" s="163"/>
      <c r="CS49" s="163"/>
      <c r="CT49" s="163"/>
      <c r="CU49" s="163"/>
      <c r="CV49" s="163"/>
      <c r="CW49" s="163"/>
      <c r="CX49" s="163"/>
      <c r="CY49" s="163"/>
      <c r="CZ49" s="163"/>
      <c r="DA49" s="163"/>
      <c r="DB49" s="163"/>
      <c r="DC49" s="163"/>
      <c r="DD49" s="163"/>
      <c r="DE49" s="163"/>
      <c r="DF49" s="163"/>
      <c r="DG49" s="163"/>
      <c r="DH49" s="163"/>
      <c r="DI49" s="163"/>
      <c r="DJ49" s="163"/>
      <c r="DK49" s="163"/>
      <c r="DL49" s="163"/>
      <c r="DM49" s="163"/>
      <c r="DN49" s="163"/>
      <c r="DO49" s="163"/>
      <c r="DP49" s="163"/>
      <c r="DQ49" s="163"/>
      <c r="DR49" s="163"/>
      <c r="DS49" s="163"/>
      <c r="DT49" s="163"/>
      <c r="DU49" s="163"/>
      <c r="DV49" s="163"/>
      <c r="DW49" s="163"/>
      <c r="DX49" s="163"/>
      <c r="DY49" s="163"/>
      <c r="DZ49" s="163"/>
      <c r="EA49" s="163"/>
      <c r="EB49" s="163"/>
      <c r="EC49" s="163"/>
      <c r="ED49" s="163"/>
      <c r="EE49" s="163"/>
      <c r="EF49" s="163"/>
      <c r="EG49" s="163"/>
      <c r="EH49" s="163"/>
      <c r="EI49" s="163"/>
      <c r="EJ49" s="163"/>
      <c r="EK49" s="163"/>
      <c r="EL49" s="163"/>
      <c r="EM49" s="163"/>
      <c r="EN49" s="163"/>
      <c r="EO49" s="163"/>
      <c r="EP49" s="163"/>
      <c r="EQ49" s="163"/>
      <c r="ER49" s="163"/>
      <c r="ES49" s="163"/>
      <c r="ET49" s="163"/>
      <c r="EU49" s="163"/>
      <c r="EV49" s="163"/>
      <c r="EW49" s="163"/>
      <c r="EX49" s="163"/>
      <c r="EY49" s="163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118">
        <v>2500000</v>
      </c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GA49" s="129">
        <v>2.5</v>
      </c>
    </row>
    <row r="50" spans="1:183" s="124" customFormat="1">
      <c r="A50" s="265"/>
      <c r="B50" s="270">
        <v>6421</v>
      </c>
      <c r="C50" s="270" t="s">
        <v>43</v>
      </c>
      <c r="D50" s="264">
        <f>'CF 2018'!O51</f>
        <v>5367239.7796128271</v>
      </c>
      <c r="E50" s="264">
        <f t="shared" si="22"/>
        <v>5474584.5752050839</v>
      </c>
      <c r="F50" s="264">
        <f t="shared" si="23"/>
        <v>5584076.2667091852</v>
      </c>
      <c r="G50" s="264">
        <f>F50</f>
        <v>5584076.2667091852</v>
      </c>
      <c r="H50" s="264">
        <f t="shared" si="24"/>
        <v>5639917.0293762768</v>
      </c>
      <c r="I50" s="264">
        <f t="shared" si="25"/>
        <v>5696316.1996700391</v>
      </c>
      <c r="J50" s="264">
        <f>I50</f>
        <v>5696316.1996700391</v>
      </c>
      <c r="K50" s="264">
        <f t="shared" si="19"/>
        <v>5810242.5236634398</v>
      </c>
      <c r="L50" s="264">
        <f t="shared" si="26"/>
        <v>5694037.6731901709</v>
      </c>
      <c r="M50" s="264">
        <f>L50</f>
        <v>5694037.6731901709</v>
      </c>
      <c r="N50" s="264">
        <f t="shared" si="21"/>
        <v>5580156.9197263671</v>
      </c>
      <c r="O50" s="264">
        <f>N50</f>
        <v>5580156.9197263671</v>
      </c>
      <c r="P50" s="321">
        <f t="shared" si="18"/>
        <v>67401158.026449144</v>
      </c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  <c r="BZ50" s="163"/>
      <c r="CA50" s="163"/>
      <c r="CB50" s="163"/>
      <c r="CC50" s="163"/>
      <c r="CD50" s="163"/>
      <c r="CE50" s="163"/>
      <c r="CF50" s="163"/>
      <c r="CG50" s="163"/>
      <c r="CH50" s="163"/>
      <c r="CI50" s="163"/>
      <c r="CJ50" s="163"/>
      <c r="CK50" s="163"/>
      <c r="CL50" s="163"/>
      <c r="CM50" s="163"/>
      <c r="CN50" s="163"/>
      <c r="CO50" s="163"/>
      <c r="CP50" s="163"/>
      <c r="CQ50" s="163"/>
      <c r="CR50" s="163"/>
      <c r="CS50" s="163"/>
      <c r="CT50" s="163"/>
      <c r="CU50" s="163"/>
      <c r="CV50" s="163"/>
      <c r="CW50" s="163"/>
      <c r="CX50" s="163"/>
      <c r="CY50" s="163"/>
      <c r="CZ50" s="163"/>
      <c r="DA50" s="163"/>
      <c r="DB50" s="163"/>
      <c r="DC50" s="163"/>
      <c r="DD50" s="163"/>
      <c r="DE50" s="163"/>
      <c r="DF50" s="163"/>
      <c r="DG50" s="163"/>
      <c r="DH50" s="163"/>
      <c r="DI50" s="163"/>
      <c r="DJ50" s="163"/>
      <c r="DK50" s="163"/>
      <c r="DL50" s="163"/>
      <c r="DM50" s="163"/>
      <c r="DN50" s="163"/>
      <c r="DO50" s="163"/>
      <c r="DP50" s="163"/>
      <c r="DQ50" s="163"/>
      <c r="DR50" s="163"/>
      <c r="DS50" s="163"/>
      <c r="DT50" s="163"/>
      <c r="DU50" s="163"/>
      <c r="DV50" s="163"/>
      <c r="DW50" s="163"/>
      <c r="DX50" s="163"/>
      <c r="DY50" s="163"/>
      <c r="DZ50" s="163"/>
      <c r="EA50" s="163"/>
      <c r="EB50" s="163"/>
      <c r="EC50" s="163"/>
      <c r="ED50" s="163"/>
      <c r="EE50" s="163"/>
      <c r="EF50" s="163"/>
      <c r="EG50" s="163"/>
      <c r="EH50" s="163"/>
      <c r="EI50" s="163"/>
      <c r="EJ50" s="163"/>
      <c r="EK50" s="163"/>
      <c r="EL50" s="163"/>
      <c r="EM50" s="163"/>
      <c r="EN50" s="163"/>
      <c r="EO50" s="163"/>
      <c r="EP50" s="163"/>
      <c r="EQ50" s="163"/>
      <c r="ER50" s="163"/>
      <c r="ES50" s="163"/>
      <c r="ET50" s="163"/>
      <c r="EU50" s="163"/>
      <c r="EV50" s="163"/>
      <c r="EW50" s="163"/>
      <c r="EX50" s="163"/>
      <c r="EY50" s="163"/>
      <c r="EZ50" s="80"/>
      <c r="FA50" s="80"/>
      <c r="FB50" s="80"/>
      <c r="FC50" s="80"/>
      <c r="FD50" s="80"/>
      <c r="FE50" s="80"/>
      <c r="FF50" s="80"/>
      <c r="FG50" s="80"/>
      <c r="FH50" s="80"/>
      <c r="FI50" s="80"/>
      <c r="FJ50" s="80"/>
      <c r="FK50" s="80"/>
      <c r="FL50" s="118">
        <v>0</v>
      </c>
      <c r="FM50" s="80"/>
      <c r="FN50" s="80"/>
      <c r="FO50" s="80"/>
      <c r="FP50" s="80"/>
      <c r="FQ50" s="80"/>
      <c r="FR50" s="80"/>
      <c r="FS50" s="80"/>
      <c r="FT50" s="80"/>
      <c r="FU50" s="80"/>
      <c r="FV50" s="80"/>
      <c r="FW50" s="80"/>
      <c r="FX50" s="80"/>
      <c r="FY50" s="80"/>
      <c r="GA50" s="129"/>
    </row>
    <row r="51" spans="1:183" s="124" customFormat="1">
      <c r="A51" s="265"/>
      <c r="B51" s="270">
        <v>6422</v>
      </c>
      <c r="C51" s="270" t="s">
        <v>44</v>
      </c>
      <c r="D51" s="264">
        <v>22168669.720363028</v>
      </c>
      <c r="E51" s="264">
        <f t="shared" si="22"/>
        <v>22612043.11477029</v>
      </c>
      <c r="F51" s="264">
        <f t="shared" si="23"/>
        <v>23064283.977065694</v>
      </c>
      <c r="G51" s="264">
        <v>26715724.360280018</v>
      </c>
      <c r="H51" s="264">
        <f t="shared" si="24"/>
        <v>26982881.603882819</v>
      </c>
      <c r="I51" s="264">
        <f t="shared" si="25"/>
        <v>27252710.419921648</v>
      </c>
      <c r="J51" s="264">
        <v>26654201.499912962</v>
      </c>
      <c r="K51" s="264">
        <f t="shared" si="19"/>
        <v>27187285.52991122</v>
      </c>
      <c r="L51" s="264">
        <f t="shared" si="26"/>
        <v>26643539.819312997</v>
      </c>
      <c r="M51" s="264">
        <v>27631609.649964198</v>
      </c>
      <c r="N51" s="264">
        <f t="shared" si="21"/>
        <v>27078977.456964914</v>
      </c>
      <c r="O51" s="264">
        <v>29602736.835846312</v>
      </c>
      <c r="P51" s="321">
        <f t="shared" si="18"/>
        <v>313594663.98819607</v>
      </c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  <c r="CA51" s="163"/>
      <c r="CB51" s="163"/>
      <c r="CC51" s="163"/>
      <c r="CD51" s="163"/>
      <c r="CE51" s="163"/>
      <c r="CF51" s="163"/>
      <c r="CG51" s="163"/>
      <c r="CH51" s="163"/>
      <c r="CI51" s="163"/>
      <c r="CJ51" s="163"/>
      <c r="CK51" s="163"/>
      <c r="CL51" s="163"/>
      <c r="CM51" s="163"/>
      <c r="CN51" s="163"/>
      <c r="CO51" s="163"/>
      <c r="CP51" s="163"/>
      <c r="CQ51" s="163"/>
      <c r="CR51" s="163"/>
      <c r="CS51" s="163"/>
      <c r="CT51" s="163"/>
      <c r="CU51" s="163"/>
      <c r="CV51" s="163"/>
      <c r="CW51" s="163"/>
      <c r="CX51" s="163"/>
      <c r="CY51" s="163"/>
      <c r="CZ51" s="163"/>
      <c r="DA51" s="163"/>
      <c r="DB51" s="163"/>
      <c r="DC51" s="163"/>
      <c r="DD51" s="163"/>
      <c r="DE51" s="163"/>
      <c r="DF51" s="163"/>
      <c r="DG51" s="163"/>
      <c r="DH51" s="163"/>
      <c r="DI51" s="163"/>
      <c r="DJ51" s="163"/>
      <c r="DK51" s="163"/>
      <c r="DL51" s="163"/>
      <c r="DM51" s="163"/>
      <c r="DN51" s="163"/>
      <c r="DO51" s="163"/>
      <c r="DP51" s="163"/>
      <c r="DQ51" s="163"/>
      <c r="DR51" s="163"/>
      <c r="DS51" s="163"/>
      <c r="DT51" s="163"/>
      <c r="DU51" s="163"/>
      <c r="DV51" s="163"/>
      <c r="DW51" s="163"/>
      <c r="DX51" s="163"/>
      <c r="DY51" s="163"/>
      <c r="DZ51" s="163"/>
      <c r="EA51" s="163"/>
      <c r="EB51" s="163"/>
      <c r="EC51" s="163"/>
      <c r="ED51" s="163"/>
      <c r="EE51" s="163"/>
      <c r="EF51" s="163"/>
      <c r="EG51" s="163"/>
      <c r="EH51" s="163"/>
      <c r="EI51" s="163"/>
      <c r="EJ51" s="163"/>
      <c r="EK51" s="163"/>
      <c r="EL51" s="163"/>
      <c r="EM51" s="163"/>
      <c r="EN51" s="163"/>
      <c r="EO51" s="163"/>
      <c r="EP51" s="163"/>
      <c r="EQ51" s="163"/>
      <c r="ER51" s="163"/>
      <c r="ES51" s="163"/>
      <c r="ET51" s="163"/>
      <c r="EU51" s="163"/>
      <c r="EV51" s="163"/>
      <c r="EW51" s="163"/>
      <c r="EX51" s="163"/>
      <c r="EY51" s="163"/>
      <c r="EZ51" s="80"/>
      <c r="FA51" s="80"/>
      <c r="FB51" s="80"/>
      <c r="FC51" s="80"/>
      <c r="FD51" s="80"/>
      <c r="FE51" s="80"/>
      <c r="FF51" s="80"/>
      <c r="FG51" s="80"/>
      <c r="FH51" s="80"/>
      <c r="FI51" s="80"/>
      <c r="FJ51" s="80"/>
      <c r="FK51" s="80"/>
      <c r="FL51" s="118">
        <v>15000000</v>
      </c>
      <c r="FM51" s="80"/>
      <c r="FN51" s="80"/>
      <c r="FO51" s="80"/>
      <c r="FP51" s="80"/>
      <c r="FQ51" s="80"/>
      <c r="FR51" s="80"/>
      <c r="FS51" s="80"/>
      <c r="FT51" s="80"/>
      <c r="FU51" s="80"/>
      <c r="FV51" s="80"/>
      <c r="FW51" s="80"/>
      <c r="FX51" s="80"/>
      <c r="FY51" s="80"/>
      <c r="GA51" s="129">
        <v>11</v>
      </c>
    </row>
    <row r="52" spans="1:183" s="124" customFormat="1">
      <c r="A52" s="265"/>
      <c r="B52" s="270">
        <v>6423</v>
      </c>
      <c r="C52" s="270" t="s">
        <v>45</v>
      </c>
      <c r="D52" s="264">
        <v>19212847.090981297</v>
      </c>
      <c r="E52" s="264">
        <f t="shared" si="22"/>
        <v>19597104.032800924</v>
      </c>
      <c r="F52" s="264">
        <f t="shared" si="23"/>
        <v>19989046.113456942</v>
      </c>
      <c r="G52" s="264">
        <v>23153627.778909355</v>
      </c>
      <c r="H52" s="264">
        <f t="shared" si="24"/>
        <v>23385164.056698449</v>
      </c>
      <c r="I52" s="264">
        <f t="shared" si="25"/>
        <v>23619015.697265435</v>
      </c>
      <c r="J52" s="264">
        <v>23100307.966591243</v>
      </c>
      <c r="K52" s="264">
        <f t="shared" si="19"/>
        <v>23562314.125923067</v>
      </c>
      <c r="L52" s="264">
        <f t="shared" si="26"/>
        <v>23091067.843404606</v>
      </c>
      <c r="M52" s="264">
        <v>23947395.029968981</v>
      </c>
      <c r="N52" s="264">
        <f t="shared" si="21"/>
        <v>23468447.129369602</v>
      </c>
      <c r="O52" s="264">
        <v>25655705.257733475</v>
      </c>
      <c r="P52" s="321">
        <f t="shared" si="18"/>
        <v>271782042.12310338</v>
      </c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163"/>
      <c r="BN52" s="163"/>
      <c r="BO52" s="163"/>
      <c r="BP52" s="163"/>
      <c r="BQ52" s="163"/>
      <c r="BR52" s="163"/>
      <c r="BS52" s="163"/>
      <c r="BT52" s="163"/>
      <c r="BU52" s="163"/>
      <c r="BV52" s="163"/>
      <c r="BW52" s="163"/>
      <c r="BX52" s="163"/>
      <c r="BY52" s="163"/>
      <c r="BZ52" s="163"/>
      <c r="CA52" s="163"/>
      <c r="CB52" s="163"/>
      <c r="CC52" s="163"/>
      <c r="CD52" s="163"/>
      <c r="CE52" s="163"/>
      <c r="CF52" s="163"/>
      <c r="CG52" s="163"/>
      <c r="CH52" s="163"/>
      <c r="CI52" s="163"/>
      <c r="CJ52" s="163"/>
      <c r="CK52" s="163"/>
      <c r="CL52" s="163"/>
      <c r="CM52" s="163"/>
      <c r="CN52" s="163"/>
      <c r="CO52" s="163"/>
      <c r="CP52" s="163"/>
      <c r="CQ52" s="163"/>
      <c r="CR52" s="163"/>
      <c r="CS52" s="163"/>
      <c r="CT52" s="163"/>
      <c r="CU52" s="163"/>
      <c r="CV52" s="163"/>
      <c r="CW52" s="163"/>
      <c r="CX52" s="163"/>
      <c r="CY52" s="163"/>
      <c r="CZ52" s="163"/>
      <c r="DA52" s="163"/>
      <c r="DB52" s="163"/>
      <c r="DC52" s="163"/>
      <c r="DD52" s="163"/>
      <c r="DE52" s="163"/>
      <c r="DF52" s="163"/>
      <c r="DG52" s="163"/>
      <c r="DH52" s="163"/>
      <c r="DI52" s="163"/>
      <c r="DJ52" s="163"/>
      <c r="DK52" s="163"/>
      <c r="DL52" s="163"/>
      <c r="DM52" s="163"/>
      <c r="DN52" s="163"/>
      <c r="DO52" s="163"/>
      <c r="DP52" s="163"/>
      <c r="DQ52" s="163"/>
      <c r="DR52" s="163"/>
      <c r="DS52" s="163"/>
      <c r="DT52" s="163"/>
      <c r="DU52" s="163"/>
      <c r="DV52" s="163"/>
      <c r="DW52" s="163"/>
      <c r="DX52" s="163"/>
      <c r="DY52" s="163"/>
      <c r="DZ52" s="163"/>
      <c r="EA52" s="163"/>
      <c r="EB52" s="163"/>
      <c r="EC52" s="163"/>
      <c r="ED52" s="163"/>
      <c r="EE52" s="163"/>
      <c r="EF52" s="163"/>
      <c r="EG52" s="163"/>
      <c r="EH52" s="163"/>
      <c r="EI52" s="163"/>
      <c r="EJ52" s="163"/>
      <c r="EK52" s="163"/>
      <c r="EL52" s="163"/>
      <c r="EM52" s="163"/>
      <c r="EN52" s="163"/>
      <c r="EO52" s="163"/>
      <c r="EP52" s="163"/>
      <c r="EQ52" s="163"/>
      <c r="ER52" s="163"/>
      <c r="ES52" s="163"/>
      <c r="ET52" s="163"/>
      <c r="EU52" s="163"/>
      <c r="EV52" s="163"/>
      <c r="EW52" s="163"/>
      <c r="EX52" s="163"/>
      <c r="EY52" s="163"/>
      <c r="EZ52" s="80"/>
      <c r="FA52" s="80"/>
      <c r="FB52" s="80"/>
      <c r="FC52" s="80"/>
      <c r="FD52" s="80"/>
      <c r="FE52" s="80"/>
      <c r="FF52" s="80"/>
      <c r="FG52" s="80"/>
      <c r="FH52" s="80"/>
      <c r="FI52" s="80"/>
      <c r="FJ52" s="80"/>
      <c r="FK52" s="80"/>
      <c r="FL52" s="118">
        <v>13000000</v>
      </c>
      <c r="FM52" s="80"/>
      <c r="FN52" s="80"/>
      <c r="FO52" s="80"/>
      <c r="FP52" s="80"/>
      <c r="FQ52" s="80"/>
      <c r="FR52" s="80"/>
      <c r="FS52" s="80"/>
      <c r="FT52" s="80"/>
      <c r="FU52" s="80"/>
      <c r="FV52" s="80"/>
      <c r="FW52" s="80"/>
      <c r="FX52" s="80"/>
      <c r="FY52" s="80"/>
      <c r="GA52" s="129">
        <v>11</v>
      </c>
    </row>
    <row r="53" spans="1:183" s="124" customFormat="1">
      <c r="A53" s="265"/>
      <c r="B53" s="270">
        <v>6424</v>
      </c>
      <c r="C53" s="270" t="s">
        <v>46</v>
      </c>
      <c r="D53" s="264">
        <f>+'CF 2018'!O54</f>
        <v>27870471.921600003</v>
      </c>
      <c r="E53" s="264">
        <f>+D53</f>
        <v>27870471.921600003</v>
      </c>
      <c r="F53" s="264">
        <f>+E53</f>
        <v>27870471.921600003</v>
      </c>
      <c r="G53" s="264">
        <f>+F53</f>
        <v>27870471.921600003</v>
      </c>
      <c r="H53" s="264">
        <f>+G53</f>
        <v>27870471.921600003</v>
      </c>
      <c r="I53" s="264">
        <f t="shared" ref="I53:N53" si="27">+H53</f>
        <v>27870471.921600003</v>
      </c>
      <c r="J53" s="264">
        <f>+I53</f>
        <v>27870471.921600003</v>
      </c>
      <c r="K53" s="264">
        <f t="shared" si="27"/>
        <v>27870471.921600003</v>
      </c>
      <c r="L53" s="264">
        <f t="shared" si="27"/>
        <v>27870471.921600003</v>
      </c>
      <c r="M53" s="264">
        <f>+L53</f>
        <v>27870471.921600003</v>
      </c>
      <c r="N53" s="264">
        <f t="shared" si="27"/>
        <v>27870471.921600003</v>
      </c>
      <c r="O53" s="264">
        <f>+N53</f>
        <v>27870471.921600003</v>
      </c>
      <c r="P53" s="321">
        <f t="shared" si="18"/>
        <v>334445663.05920005</v>
      </c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  <c r="BQ53" s="163"/>
      <c r="BR53" s="163"/>
      <c r="BS53" s="163"/>
      <c r="BT53" s="163"/>
      <c r="BU53" s="163"/>
      <c r="BV53" s="163"/>
      <c r="BW53" s="163"/>
      <c r="BX53" s="163"/>
      <c r="BY53" s="163"/>
      <c r="BZ53" s="163"/>
      <c r="CA53" s="163"/>
      <c r="CB53" s="163"/>
      <c r="CC53" s="163"/>
      <c r="CD53" s="163"/>
      <c r="CE53" s="163"/>
      <c r="CF53" s="163"/>
      <c r="CG53" s="163"/>
      <c r="CH53" s="163"/>
      <c r="CI53" s="163"/>
      <c r="CJ53" s="163"/>
      <c r="CK53" s="163"/>
      <c r="CL53" s="163"/>
      <c r="CM53" s="163"/>
      <c r="CN53" s="163"/>
      <c r="CO53" s="163"/>
      <c r="CP53" s="163"/>
      <c r="CQ53" s="163"/>
      <c r="CR53" s="163"/>
      <c r="CS53" s="163"/>
      <c r="CT53" s="163"/>
      <c r="CU53" s="163"/>
      <c r="CV53" s="163"/>
      <c r="CW53" s="163"/>
      <c r="CX53" s="163"/>
      <c r="CY53" s="163"/>
      <c r="CZ53" s="163"/>
      <c r="DA53" s="163"/>
      <c r="DB53" s="163"/>
      <c r="DC53" s="163"/>
      <c r="DD53" s="163"/>
      <c r="DE53" s="163"/>
      <c r="DF53" s="163"/>
      <c r="DG53" s="163"/>
      <c r="DH53" s="163"/>
      <c r="DI53" s="163"/>
      <c r="DJ53" s="163"/>
      <c r="DK53" s="163"/>
      <c r="DL53" s="163"/>
      <c r="DM53" s="163"/>
      <c r="DN53" s="163"/>
      <c r="DO53" s="163"/>
      <c r="DP53" s="163"/>
      <c r="DQ53" s="163"/>
      <c r="DR53" s="163"/>
      <c r="DS53" s="163"/>
      <c r="DT53" s="163"/>
      <c r="DU53" s="163"/>
      <c r="DV53" s="163"/>
      <c r="DW53" s="163"/>
      <c r="DX53" s="163"/>
      <c r="DY53" s="163"/>
      <c r="DZ53" s="163"/>
      <c r="EA53" s="163"/>
      <c r="EB53" s="163"/>
      <c r="EC53" s="163"/>
      <c r="ED53" s="163"/>
      <c r="EE53" s="163"/>
      <c r="EF53" s="163"/>
      <c r="EG53" s="163"/>
      <c r="EH53" s="163"/>
      <c r="EI53" s="163"/>
      <c r="EJ53" s="163"/>
      <c r="EK53" s="163"/>
      <c r="EL53" s="163"/>
      <c r="EM53" s="163"/>
      <c r="EN53" s="163"/>
      <c r="EO53" s="163"/>
      <c r="EP53" s="163"/>
      <c r="EQ53" s="163"/>
      <c r="ER53" s="163"/>
      <c r="ES53" s="163"/>
      <c r="ET53" s="163"/>
      <c r="EU53" s="163"/>
      <c r="EV53" s="163"/>
      <c r="EW53" s="163"/>
      <c r="EX53" s="163"/>
      <c r="EY53" s="163"/>
      <c r="EZ53" s="80"/>
      <c r="FA53" s="80"/>
      <c r="FB53" s="80"/>
      <c r="FC53" s="80"/>
      <c r="FD53" s="80"/>
      <c r="FE53" s="80"/>
      <c r="FF53" s="80"/>
      <c r="FG53" s="80"/>
      <c r="FH53" s="80"/>
      <c r="FI53" s="80"/>
      <c r="FJ53" s="80"/>
      <c r="FK53" s="80"/>
      <c r="FL53" s="118">
        <v>0</v>
      </c>
      <c r="FM53" s="80"/>
      <c r="FN53" s="80"/>
      <c r="FO53" s="80"/>
      <c r="FP53" s="80"/>
      <c r="FQ53" s="80"/>
      <c r="FR53" s="80"/>
      <c r="FS53" s="80"/>
      <c r="FT53" s="80"/>
      <c r="FU53" s="80"/>
      <c r="FV53" s="80"/>
      <c r="FW53" s="80"/>
      <c r="FX53" s="80"/>
      <c r="FY53" s="80"/>
      <c r="GA53" s="129"/>
    </row>
    <row r="54" spans="1:183" s="124" customFormat="1">
      <c r="A54" s="265"/>
      <c r="B54" s="269" t="s">
        <v>47</v>
      </c>
      <c r="C54" s="270"/>
      <c r="D54" s="264">
        <v>0</v>
      </c>
      <c r="E54" s="264">
        <f t="shared" si="22"/>
        <v>0</v>
      </c>
      <c r="F54" s="264">
        <f t="shared" si="23"/>
        <v>0</v>
      </c>
      <c r="G54" s="264">
        <v>0</v>
      </c>
      <c r="H54" s="264">
        <f t="shared" si="24"/>
        <v>0</v>
      </c>
      <c r="I54" s="264">
        <f t="shared" si="25"/>
        <v>0</v>
      </c>
      <c r="J54" s="264">
        <v>0</v>
      </c>
      <c r="K54" s="264">
        <f t="shared" si="19"/>
        <v>0</v>
      </c>
      <c r="L54" s="264">
        <f t="shared" si="26"/>
        <v>0</v>
      </c>
      <c r="M54" s="264">
        <v>0</v>
      </c>
      <c r="N54" s="264">
        <f t="shared" si="21"/>
        <v>0</v>
      </c>
      <c r="O54" s="264">
        <v>0</v>
      </c>
      <c r="P54" s="321">
        <f t="shared" si="18"/>
        <v>0</v>
      </c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  <c r="BQ54" s="163"/>
      <c r="BR54" s="163"/>
      <c r="BS54" s="163"/>
      <c r="BT54" s="163"/>
      <c r="BU54" s="163"/>
      <c r="BV54" s="163"/>
      <c r="BW54" s="163"/>
      <c r="BX54" s="163"/>
      <c r="BY54" s="163"/>
      <c r="BZ54" s="163"/>
      <c r="CA54" s="163"/>
      <c r="CB54" s="163"/>
      <c r="CC54" s="163"/>
      <c r="CD54" s="163"/>
      <c r="CE54" s="163"/>
      <c r="CF54" s="163"/>
      <c r="CG54" s="163"/>
      <c r="CH54" s="163"/>
      <c r="CI54" s="163"/>
      <c r="CJ54" s="163"/>
      <c r="CK54" s="163"/>
      <c r="CL54" s="163"/>
      <c r="CM54" s="163"/>
      <c r="CN54" s="163"/>
      <c r="CO54" s="163"/>
      <c r="CP54" s="163"/>
      <c r="CQ54" s="163"/>
      <c r="CR54" s="163"/>
      <c r="CS54" s="163"/>
      <c r="CT54" s="163"/>
      <c r="CU54" s="163"/>
      <c r="CV54" s="163"/>
      <c r="CW54" s="163"/>
      <c r="CX54" s="163"/>
      <c r="CY54" s="163"/>
      <c r="CZ54" s="163"/>
      <c r="DA54" s="163"/>
      <c r="DB54" s="163"/>
      <c r="DC54" s="163"/>
      <c r="DD54" s="163"/>
      <c r="DE54" s="163"/>
      <c r="DF54" s="163"/>
      <c r="DG54" s="163"/>
      <c r="DH54" s="163"/>
      <c r="DI54" s="163"/>
      <c r="DJ54" s="163"/>
      <c r="DK54" s="163"/>
      <c r="DL54" s="163"/>
      <c r="DM54" s="163"/>
      <c r="DN54" s="163"/>
      <c r="DO54" s="163"/>
      <c r="DP54" s="163"/>
      <c r="DQ54" s="163"/>
      <c r="DR54" s="163"/>
      <c r="DS54" s="163"/>
      <c r="DT54" s="163"/>
      <c r="DU54" s="163"/>
      <c r="DV54" s="163"/>
      <c r="DW54" s="163"/>
      <c r="DX54" s="163"/>
      <c r="DY54" s="163"/>
      <c r="DZ54" s="163"/>
      <c r="EA54" s="163"/>
      <c r="EB54" s="163"/>
      <c r="EC54" s="163"/>
      <c r="ED54" s="163"/>
      <c r="EE54" s="163"/>
      <c r="EF54" s="163"/>
      <c r="EG54" s="163"/>
      <c r="EH54" s="163"/>
      <c r="EI54" s="163"/>
      <c r="EJ54" s="163"/>
      <c r="EK54" s="163"/>
      <c r="EL54" s="163"/>
      <c r="EM54" s="163"/>
      <c r="EN54" s="163"/>
      <c r="EO54" s="163"/>
      <c r="EP54" s="163"/>
      <c r="EQ54" s="163"/>
      <c r="ER54" s="163"/>
      <c r="ES54" s="163"/>
      <c r="ET54" s="163"/>
      <c r="EU54" s="163"/>
      <c r="EV54" s="163"/>
      <c r="EW54" s="163"/>
      <c r="EX54" s="163"/>
      <c r="EY54" s="163"/>
      <c r="EZ54" s="80"/>
      <c r="FA54" s="80"/>
      <c r="FB54" s="80"/>
      <c r="FC54" s="80"/>
      <c r="FD54" s="80"/>
      <c r="FE54" s="80"/>
      <c r="FF54" s="80"/>
      <c r="FG54" s="80"/>
      <c r="FH54" s="80"/>
      <c r="FI54" s="80"/>
      <c r="FJ54" s="80"/>
      <c r="FK54" s="80"/>
      <c r="FL54" s="118">
        <v>0</v>
      </c>
      <c r="FM54" s="80"/>
      <c r="FN54" s="80"/>
      <c r="FO54" s="80"/>
      <c r="FP54" s="80"/>
      <c r="FQ54" s="80"/>
      <c r="FR54" s="80"/>
      <c r="FS54" s="80"/>
      <c r="FT54" s="80"/>
      <c r="FU54" s="80"/>
      <c r="FV54" s="80"/>
      <c r="FW54" s="80"/>
      <c r="FX54" s="80"/>
      <c r="FY54" s="80"/>
      <c r="GA54" s="129"/>
    </row>
    <row r="55" spans="1:183" s="124" customFormat="1">
      <c r="A55" s="265"/>
      <c r="B55" s="270">
        <v>6300</v>
      </c>
      <c r="C55" s="270" t="s">
        <v>48</v>
      </c>
      <c r="D55" s="264">
        <f>'CF 2018'!O56</f>
        <v>5545037.5550167384</v>
      </c>
      <c r="E55" s="264">
        <f t="shared" si="22"/>
        <v>5655938.3061170727</v>
      </c>
      <c r="F55" s="264">
        <f t="shared" si="23"/>
        <v>5769057.0722394139</v>
      </c>
      <c r="G55" s="264">
        <f>F55</f>
        <v>5769057.0722394139</v>
      </c>
      <c r="H55" s="264">
        <f>G55</f>
        <v>5769057.0722394139</v>
      </c>
      <c r="I55" s="264">
        <f t="shared" si="25"/>
        <v>5826747.6429618075</v>
      </c>
      <c r="J55" s="264">
        <f>I55</f>
        <v>5826747.6429618075</v>
      </c>
      <c r="K55" s="264">
        <f t="shared" si="19"/>
        <v>5943282.5958210435</v>
      </c>
      <c r="L55" s="264">
        <f t="shared" si="26"/>
        <v>5824416.9439046225</v>
      </c>
      <c r="M55" s="264">
        <f>L55</f>
        <v>5824416.9439046225</v>
      </c>
      <c r="N55" s="264">
        <f t="shared" si="21"/>
        <v>5707928.6050265301</v>
      </c>
      <c r="O55" s="264">
        <f>M55</f>
        <v>5824416.9439046225</v>
      </c>
      <c r="P55" s="321">
        <f t="shared" si="18"/>
        <v>69286104.396337107</v>
      </c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163"/>
      <c r="BN55" s="163"/>
      <c r="BO55" s="163"/>
      <c r="BP55" s="163"/>
      <c r="BQ55" s="163"/>
      <c r="BR55" s="163"/>
      <c r="BS55" s="163"/>
      <c r="BT55" s="163"/>
      <c r="BU55" s="163"/>
      <c r="BV55" s="163"/>
      <c r="BW55" s="163"/>
      <c r="BX55" s="163"/>
      <c r="BY55" s="163"/>
      <c r="BZ55" s="163"/>
      <c r="CA55" s="163"/>
      <c r="CB55" s="163"/>
      <c r="CC55" s="163"/>
      <c r="CD55" s="163"/>
      <c r="CE55" s="163"/>
      <c r="CF55" s="163"/>
      <c r="CG55" s="163"/>
      <c r="CH55" s="163"/>
      <c r="CI55" s="163"/>
      <c r="CJ55" s="163"/>
      <c r="CK55" s="163"/>
      <c r="CL55" s="163"/>
      <c r="CM55" s="163"/>
      <c r="CN55" s="163"/>
      <c r="CO55" s="163"/>
      <c r="CP55" s="163"/>
      <c r="CQ55" s="163"/>
      <c r="CR55" s="163"/>
      <c r="CS55" s="163"/>
      <c r="CT55" s="163"/>
      <c r="CU55" s="163"/>
      <c r="CV55" s="163"/>
      <c r="CW55" s="163"/>
      <c r="CX55" s="163"/>
      <c r="CY55" s="163"/>
      <c r="CZ55" s="163"/>
      <c r="DA55" s="163"/>
      <c r="DB55" s="163"/>
      <c r="DC55" s="163"/>
      <c r="DD55" s="163"/>
      <c r="DE55" s="163"/>
      <c r="DF55" s="163"/>
      <c r="DG55" s="163"/>
      <c r="DH55" s="163"/>
      <c r="DI55" s="163"/>
      <c r="DJ55" s="163"/>
      <c r="DK55" s="163"/>
      <c r="DL55" s="163"/>
      <c r="DM55" s="163"/>
      <c r="DN55" s="163"/>
      <c r="DO55" s="163"/>
      <c r="DP55" s="163"/>
      <c r="DQ55" s="163"/>
      <c r="DR55" s="163"/>
      <c r="DS55" s="163"/>
      <c r="DT55" s="163"/>
      <c r="DU55" s="163"/>
      <c r="DV55" s="163"/>
      <c r="DW55" s="163"/>
      <c r="DX55" s="163"/>
      <c r="DY55" s="163"/>
      <c r="DZ55" s="163"/>
      <c r="EA55" s="163"/>
      <c r="EB55" s="163"/>
      <c r="EC55" s="163"/>
      <c r="ED55" s="163"/>
      <c r="EE55" s="163"/>
      <c r="EF55" s="163"/>
      <c r="EG55" s="163"/>
      <c r="EH55" s="163"/>
      <c r="EI55" s="163"/>
      <c r="EJ55" s="163"/>
      <c r="EK55" s="163"/>
      <c r="EL55" s="163"/>
      <c r="EM55" s="163"/>
      <c r="EN55" s="163"/>
      <c r="EO55" s="163"/>
      <c r="EP55" s="163"/>
      <c r="EQ55" s="163"/>
      <c r="ER55" s="163"/>
      <c r="ES55" s="163"/>
      <c r="ET55" s="163"/>
      <c r="EU55" s="163"/>
      <c r="EV55" s="163"/>
      <c r="EW55" s="163"/>
      <c r="EX55" s="163"/>
      <c r="EY55" s="163"/>
      <c r="EZ55" s="80"/>
      <c r="FA55" s="80"/>
      <c r="FB55" s="80"/>
      <c r="FC55" s="80"/>
      <c r="FD55" s="80"/>
      <c r="FE55" s="80"/>
      <c r="FF55" s="80"/>
      <c r="FG55" s="80"/>
      <c r="FH55" s="80"/>
      <c r="FI55" s="80"/>
      <c r="FJ55" s="80"/>
      <c r="FK55" s="80"/>
      <c r="FL55" s="118">
        <v>0</v>
      </c>
      <c r="FM55" s="80"/>
      <c r="FN55" s="80"/>
      <c r="FO55" s="80"/>
      <c r="FP55" s="80"/>
      <c r="FQ55" s="80"/>
      <c r="FR55" s="80"/>
      <c r="FS55" s="80"/>
      <c r="FT55" s="80"/>
      <c r="FU55" s="80"/>
      <c r="FV55" s="80"/>
      <c r="FW55" s="80"/>
      <c r="FX55" s="80"/>
      <c r="FY55" s="80"/>
      <c r="GA55" s="129">
        <v>0</v>
      </c>
    </row>
    <row r="56" spans="1:183" s="124" customFormat="1">
      <c r="A56" s="265"/>
      <c r="B56" s="270">
        <v>6301</v>
      </c>
      <c r="C56" s="270" t="s">
        <v>49</v>
      </c>
      <c r="D56" s="264">
        <f>'CF 2018'!O57</f>
        <v>694866.86153091991</v>
      </c>
      <c r="E56" s="264">
        <f t="shared" si="22"/>
        <v>708764.19876153825</v>
      </c>
      <c r="F56" s="264">
        <f t="shared" si="23"/>
        <v>722939.48273676902</v>
      </c>
      <c r="G56" s="264">
        <f>F56</f>
        <v>722939.48273676902</v>
      </c>
      <c r="H56" s="264">
        <f>G56</f>
        <v>722939.48273676902</v>
      </c>
      <c r="I56" s="264">
        <f t="shared" si="25"/>
        <v>730168.87756413675</v>
      </c>
      <c r="J56" s="264">
        <f>I56</f>
        <v>730168.87756413675</v>
      </c>
      <c r="K56" s="264">
        <f t="shared" si="19"/>
        <v>744772.25511541951</v>
      </c>
      <c r="L56" s="264">
        <f t="shared" si="26"/>
        <v>729876.8100131111</v>
      </c>
      <c r="M56" s="264">
        <f>L56</f>
        <v>729876.8100131111</v>
      </c>
      <c r="N56" s="264">
        <f t="shared" si="21"/>
        <v>715279.27381284884</v>
      </c>
      <c r="O56" s="264">
        <f>M56</f>
        <v>729876.8100131111</v>
      </c>
      <c r="P56" s="321">
        <f t="shared" si="18"/>
        <v>8682469.2225986402</v>
      </c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/>
      <c r="CF56" s="163"/>
      <c r="CG56" s="163"/>
      <c r="CH56" s="163"/>
      <c r="CI56" s="163"/>
      <c r="CJ56" s="163"/>
      <c r="CK56" s="163"/>
      <c r="CL56" s="163"/>
      <c r="CM56" s="163"/>
      <c r="CN56" s="163"/>
      <c r="CO56" s="163"/>
      <c r="CP56" s="163"/>
      <c r="CQ56" s="163"/>
      <c r="CR56" s="163"/>
      <c r="CS56" s="163"/>
      <c r="CT56" s="163"/>
      <c r="CU56" s="163"/>
      <c r="CV56" s="163"/>
      <c r="CW56" s="163"/>
      <c r="CX56" s="163"/>
      <c r="CY56" s="163"/>
      <c r="CZ56" s="163"/>
      <c r="DA56" s="163"/>
      <c r="DB56" s="163"/>
      <c r="DC56" s="163"/>
      <c r="DD56" s="163"/>
      <c r="DE56" s="163"/>
      <c r="DF56" s="163"/>
      <c r="DG56" s="163"/>
      <c r="DH56" s="163"/>
      <c r="DI56" s="163"/>
      <c r="DJ56" s="163"/>
      <c r="DK56" s="163"/>
      <c r="DL56" s="163"/>
      <c r="DM56" s="163"/>
      <c r="DN56" s="163"/>
      <c r="DO56" s="163"/>
      <c r="DP56" s="163"/>
      <c r="DQ56" s="163"/>
      <c r="DR56" s="163"/>
      <c r="DS56" s="163"/>
      <c r="DT56" s="163"/>
      <c r="DU56" s="163"/>
      <c r="DV56" s="163"/>
      <c r="DW56" s="163"/>
      <c r="DX56" s="163"/>
      <c r="DY56" s="163"/>
      <c r="DZ56" s="163"/>
      <c r="EA56" s="163"/>
      <c r="EB56" s="163"/>
      <c r="EC56" s="163"/>
      <c r="ED56" s="163"/>
      <c r="EE56" s="163"/>
      <c r="EF56" s="163"/>
      <c r="EG56" s="163"/>
      <c r="EH56" s="163"/>
      <c r="EI56" s="163"/>
      <c r="EJ56" s="163"/>
      <c r="EK56" s="163"/>
      <c r="EL56" s="163"/>
      <c r="EM56" s="163"/>
      <c r="EN56" s="163"/>
      <c r="EO56" s="163"/>
      <c r="EP56" s="163"/>
      <c r="EQ56" s="163"/>
      <c r="ER56" s="163"/>
      <c r="ES56" s="163"/>
      <c r="ET56" s="163"/>
      <c r="EU56" s="163"/>
      <c r="EV56" s="163"/>
      <c r="EW56" s="163"/>
      <c r="EX56" s="163"/>
      <c r="EY56" s="163"/>
      <c r="EZ56" s="80"/>
      <c r="FA56" s="80"/>
      <c r="FB56" s="80"/>
      <c r="FC56" s="80"/>
      <c r="FD56" s="80"/>
      <c r="FE56" s="80"/>
      <c r="FF56" s="80"/>
      <c r="FG56" s="80"/>
      <c r="FH56" s="80"/>
      <c r="FI56" s="80"/>
      <c r="FJ56" s="80"/>
      <c r="FK56" s="80"/>
      <c r="FL56" s="118">
        <v>0</v>
      </c>
      <c r="FM56" s="80"/>
      <c r="FN56" s="80"/>
      <c r="FO56" s="80"/>
      <c r="FP56" s="80"/>
      <c r="FQ56" s="80"/>
      <c r="FR56" s="80"/>
      <c r="FS56" s="80"/>
      <c r="FT56" s="80"/>
      <c r="FU56" s="80"/>
      <c r="FV56" s="80"/>
      <c r="FW56" s="80"/>
      <c r="FX56" s="80"/>
      <c r="FY56" s="80"/>
      <c r="GA56" s="129"/>
    </row>
    <row r="57" spans="1:183" s="124" customFormat="1">
      <c r="A57" s="265"/>
      <c r="B57" s="270">
        <v>6302</v>
      </c>
      <c r="C57" s="270" t="s">
        <v>50</v>
      </c>
      <c r="D57" s="264">
        <v>59116452.587634765</v>
      </c>
      <c r="E57" s="264">
        <f t="shared" si="22"/>
        <v>60298781.639387459</v>
      </c>
      <c r="F57" s="264">
        <f t="shared" si="23"/>
        <v>61504757.272175208</v>
      </c>
      <c r="G57" s="264">
        <v>71241931.627413407</v>
      </c>
      <c r="H57" s="264">
        <f t="shared" si="24"/>
        <v>71954350.943687543</v>
      </c>
      <c r="I57" s="264">
        <f t="shared" si="25"/>
        <v>72673894.453124419</v>
      </c>
      <c r="J57" s="264">
        <v>71077870.666434601</v>
      </c>
      <c r="K57" s="264">
        <f t="shared" si="19"/>
        <v>72499428.079763293</v>
      </c>
      <c r="L57" s="264">
        <f t="shared" si="26"/>
        <v>71049439.518168032</v>
      </c>
      <c r="M57" s="264">
        <v>73684292.399904564</v>
      </c>
      <c r="N57" s="264">
        <f t="shared" si="21"/>
        <v>72210606.551906466</v>
      </c>
      <c r="O57" s="264">
        <v>78940631.562256858</v>
      </c>
      <c r="P57" s="321">
        <f t="shared" si="18"/>
        <v>836252437.30185652</v>
      </c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163"/>
      <c r="BK57" s="163"/>
      <c r="BL57" s="163"/>
      <c r="BM57" s="163"/>
      <c r="BN57" s="163"/>
      <c r="BO57" s="163"/>
      <c r="BP57" s="163"/>
      <c r="BQ57" s="163"/>
      <c r="BR57" s="163"/>
      <c r="BS57" s="163"/>
      <c r="BT57" s="163"/>
      <c r="BU57" s="163"/>
      <c r="BV57" s="163"/>
      <c r="BW57" s="163"/>
      <c r="BX57" s="163"/>
      <c r="BY57" s="163"/>
      <c r="BZ57" s="163"/>
      <c r="CA57" s="163"/>
      <c r="CB57" s="163"/>
      <c r="CC57" s="163"/>
      <c r="CD57" s="163"/>
      <c r="CE57" s="163"/>
      <c r="CF57" s="163"/>
      <c r="CG57" s="163"/>
      <c r="CH57" s="163"/>
      <c r="CI57" s="163"/>
      <c r="CJ57" s="163"/>
      <c r="CK57" s="163"/>
      <c r="CL57" s="163"/>
      <c r="CM57" s="163"/>
      <c r="CN57" s="163"/>
      <c r="CO57" s="163"/>
      <c r="CP57" s="163"/>
      <c r="CQ57" s="163"/>
      <c r="CR57" s="163"/>
      <c r="CS57" s="163"/>
      <c r="CT57" s="163"/>
      <c r="CU57" s="163"/>
      <c r="CV57" s="163"/>
      <c r="CW57" s="163"/>
      <c r="CX57" s="163"/>
      <c r="CY57" s="163"/>
      <c r="CZ57" s="163"/>
      <c r="DA57" s="163"/>
      <c r="DB57" s="163"/>
      <c r="DC57" s="163"/>
      <c r="DD57" s="163"/>
      <c r="DE57" s="163"/>
      <c r="DF57" s="163"/>
      <c r="DG57" s="163"/>
      <c r="DH57" s="163"/>
      <c r="DI57" s="163"/>
      <c r="DJ57" s="163"/>
      <c r="DK57" s="163"/>
      <c r="DL57" s="163"/>
      <c r="DM57" s="163"/>
      <c r="DN57" s="163"/>
      <c r="DO57" s="163"/>
      <c r="DP57" s="163"/>
      <c r="DQ57" s="163"/>
      <c r="DR57" s="163"/>
      <c r="DS57" s="163"/>
      <c r="DT57" s="163"/>
      <c r="DU57" s="163"/>
      <c r="DV57" s="163"/>
      <c r="DW57" s="163"/>
      <c r="DX57" s="163"/>
      <c r="DY57" s="163"/>
      <c r="DZ57" s="163"/>
      <c r="EA57" s="163"/>
      <c r="EB57" s="163"/>
      <c r="EC57" s="163"/>
      <c r="ED57" s="163"/>
      <c r="EE57" s="163"/>
      <c r="EF57" s="163"/>
      <c r="EG57" s="163"/>
      <c r="EH57" s="163"/>
      <c r="EI57" s="163"/>
      <c r="EJ57" s="163"/>
      <c r="EK57" s="163"/>
      <c r="EL57" s="163"/>
      <c r="EM57" s="163"/>
      <c r="EN57" s="163"/>
      <c r="EO57" s="163"/>
      <c r="EP57" s="163"/>
      <c r="EQ57" s="163"/>
      <c r="ER57" s="163"/>
      <c r="ES57" s="163"/>
      <c r="ET57" s="163"/>
      <c r="EU57" s="163"/>
      <c r="EV57" s="163"/>
      <c r="EW57" s="163"/>
      <c r="EX57" s="163"/>
      <c r="EY57" s="163"/>
      <c r="EZ57" s="80"/>
      <c r="FA57" s="80"/>
      <c r="FB57" s="80"/>
      <c r="FC57" s="80"/>
      <c r="FD57" s="80"/>
      <c r="FE57" s="80"/>
      <c r="FF57" s="80"/>
      <c r="FG57" s="80"/>
      <c r="FH57" s="80"/>
      <c r="FI57" s="80"/>
      <c r="FJ57" s="80"/>
      <c r="FK57" s="80"/>
      <c r="FL57" s="118">
        <v>40000000</v>
      </c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0"/>
      <c r="GA57" s="129">
        <v>17.661297916666669</v>
      </c>
    </row>
    <row r="58" spans="1:183" s="124" customFormat="1">
      <c r="A58" s="265"/>
      <c r="B58" s="270">
        <v>6303</v>
      </c>
      <c r="C58" s="270" t="s">
        <v>51</v>
      </c>
      <c r="D58" s="264">
        <v>7389556.5734543456</v>
      </c>
      <c r="E58" s="264">
        <f t="shared" si="22"/>
        <v>7537347.7049234323</v>
      </c>
      <c r="F58" s="264">
        <f t="shared" si="23"/>
        <v>7688094.659021901</v>
      </c>
      <c r="G58" s="264">
        <v>8905241.4534266759</v>
      </c>
      <c r="H58" s="264">
        <f t="shared" si="24"/>
        <v>8994293.8679609429</v>
      </c>
      <c r="I58" s="264">
        <f t="shared" si="25"/>
        <v>9084236.8066405524</v>
      </c>
      <c r="J58" s="264">
        <v>8884733.8333043251</v>
      </c>
      <c r="K58" s="264">
        <f t="shared" si="19"/>
        <v>9062428.5099704117</v>
      </c>
      <c r="L58" s="264">
        <f t="shared" si="26"/>
        <v>8881179.939771004</v>
      </c>
      <c r="M58" s="264">
        <v>9210536.5499880705</v>
      </c>
      <c r="N58" s="264">
        <f t="shared" si="21"/>
        <v>9026325.8189883083</v>
      </c>
      <c r="O58" s="264">
        <v>9867578.9452821072</v>
      </c>
      <c r="P58" s="321">
        <f t="shared" si="18"/>
        <v>104531554.66273206</v>
      </c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163"/>
      <c r="BK58" s="163"/>
      <c r="BL58" s="163"/>
      <c r="BM58" s="163"/>
      <c r="BN58" s="163"/>
      <c r="BO58" s="163"/>
      <c r="BP58" s="163"/>
      <c r="BQ58" s="163"/>
      <c r="BR58" s="163"/>
      <c r="BS58" s="163"/>
      <c r="BT58" s="163"/>
      <c r="BU58" s="163"/>
      <c r="BV58" s="163"/>
      <c r="BW58" s="163"/>
      <c r="BX58" s="163"/>
      <c r="BY58" s="163"/>
      <c r="BZ58" s="163"/>
      <c r="CA58" s="163"/>
      <c r="CB58" s="163"/>
      <c r="CC58" s="163"/>
      <c r="CD58" s="163"/>
      <c r="CE58" s="163"/>
      <c r="CF58" s="163"/>
      <c r="CG58" s="163"/>
      <c r="CH58" s="163"/>
      <c r="CI58" s="163"/>
      <c r="CJ58" s="163"/>
      <c r="CK58" s="163"/>
      <c r="CL58" s="163"/>
      <c r="CM58" s="163"/>
      <c r="CN58" s="163"/>
      <c r="CO58" s="163"/>
      <c r="CP58" s="163"/>
      <c r="CQ58" s="163"/>
      <c r="CR58" s="163"/>
      <c r="CS58" s="163"/>
      <c r="CT58" s="163"/>
      <c r="CU58" s="163"/>
      <c r="CV58" s="163"/>
      <c r="CW58" s="163"/>
      <c r="CX58" s="163"/>
      <c r="CY58" s="163"/>
      <c r="CZ58" s="163"/>
      <c r="DA58" s="163"/>
      <c r="DB58" s="163"/>
      <c r="DC58" s="163"/>
      <c r="DD58" s="163"/>
      <c r="DE58" s="163"/>
      <c r="DF58" s="163"/>
      <c r="DG58" s="163"/>
      <c r="DH58" s="163"/>
      <c r="DI58" s="163"/>
      <c r="DJ58" s="163"/>
      <c r="DK58" s="163"/>
      <c r="DL58" s="163"/>
      <c r="DM58" s="163"/>
      <c r="DN58" s="163"/>
      <c r="DO58" s="163"/>
      <c r="DP58" s="163"/>
      <c r="DQ58" s="163"/>
      <c r="DR58" s="163"/>
      <c r="DS58" s="163"/>
      <c r="DT58" s="163"/>
      <c r="DU58" s="163"/>
      <c r="DV58" s="163"/>
      <c r="DW58" s="163"/>
      <c r="DX58" s="163"/>
      <c r="DY58" s="163"/>
      <c r="DZ58" s="163"/>
      <c r="EA58" s="163"/>
      <c r="EB58" s="163"/>
      <c r="EC58" s="163"/>
      <c r="ED58" s="163"/>
      <c r="EE58" s="163"/>
      <c r="EF58" s="163"/>
      <c r="EG58" s="163"/>
      <c r="EH58" s="163"/>
      <c r="EI58" s="163"/>
      <c r="EJ58" s="163"/>
      <c r="EK58" s="163"/>
      <c r="EL58" s="163"/>
      <c r="EM58" s="163"/>
      <c r="EN58" s="163"/>
      <c r="EO58" s="163"/>
      <c r="EP58" s="163"/>
      <c r="EQ58" s="163"/>
      <c r="ER58" s="163"/>
      <c r="ES58" s="163"/>
      <c r="ET58" s="163"/>
      <c r="EU58" s="163"/>
      <c r="EV58" s="163"/>
      <c r="EW58" s="163"/>
      <c r="EX58" s="163"/>
      <c r="EY58" s="163"/>
      <c r="EZ58" s="80"/>
      <c r="FA58" s="80"/>
      <c r="FB58" s="80"/>
      <c r="FC58" s="80"/>
      <c r="FD58" s="80"/>
      <c r="FE58" s="80"/>
      <c r="FF58" s="80"/>
      <c r="FG58" s="80"/>
      <c r="FH58" s="80"/>
      <c r="FI58" s="80"/>
      <c r="FJ58" s="80"/>
      <c r="FK58" s="80"/>
      <c r="FL58" s="118">
        <v>5000000</v>
      </c>
      <c r="FM58" s="80"/>
      <c r="FN58" s="80"/>
      <c r="FO58" s="80"/>
      <c r="FP58" s="80"/>
      <c r="FQ58" s="80"/>
      <c r="FR58" s="80"/>
      <c r="FS58" s="80"/>
      <c r="FT58" s="80"/>
      <c r="FU58" s="80"/>
      <c r="FV58" s="80"/>
      <c r="FW58" s="80"/>
      <c r="FX58" s="80"/>
      <c r="FY58" s="80"/>
      <c r="GA58" s="129">
        <v>5</v>
      </c>
    </row>
    <row r="59" spans="1:183" s="124" customFormat="1">
      <c r="A59" s="265"/>
      <c r="B59" s="270">
        <v>6304</v>
      </c>
      <c r="C59" s="270" t="s">
        <v>52</v>
      </c>
      <c r="D59" s="264">
        <v>14779113.146908691</v>
      </c>
      <c r="E59" s="264">
        <f t="shared" si="22"/>
        <v>15074695.409846865</v>
      </c>
      <c r="F59" s="264">
        <f t="shared" si="23"/>
        <v>15376189.318043802</v>
      </c>
      <c r="G59" s="264">
        <v>17810482.906853352</v>
      </c>
      <c r="H59" s="264">
        <f t="shared" si="24"/>
        <v>17988587.735921886</v>
      </c>
      <c r="I59" s="264">
        <f t="shared" si="25"/>
        <v>18168473.613281105</v>
      </c>
      <c r="J59" s="264">
        <v>17769467.66660865</v>
      </c>
      <c r="K59" s="264">
        <f t="shared" si="19"/>
        <v>18124857.019940823</v>
      </c>
      <c r="L59" s="264">
        <f t="shared" si="26"/>
        <v>17762359.879542008</v>
      </c>
      <c r="M59" s="264">
        <v>18421073.099976141</v>
      </c>
      <c r="N59" s="264">
        <f t="shared" si="21"/>
        <v>18052651.637976617</v>
      </c>
      <c r="O59" s="264">
        <v>19735157.890564214</v>
      </c>
      <c r="P59" s="321">
        <f t="shared" si="18"/>
        <v>209063109.32546413</v>
      </c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163"/>
      <c r="BK59" s="163"/>
      <c r="BL59" s="163"/>
      <c r="BM59" s="163"/>
      <c r="BN59" s="163"/>
      <c r="BO59" s="163"/>
      <c r="BP59" s="163"/>
      <c r="BQ59" s="163"/>
      <c r="BR59" s="163"/>
      <c r="BS59" s="163"/>
      <c r="BT59" s="163"/>
      <c r="BU59" s="163"/>
      <c r="BV59" s="163"/>
      <c r="BW59" s="163"/>
      <c r="BX59" s="163"/>
      <c r="BY59" s="163"/>
      <c r="BZ59" s="163"/>
      <c r="CA59" s="163"/>
      <c r="CB59" s="163"/>
      <c r="CC59" s="163"/>
      <c r="CD59" s="163"/>
      <c r="CE59" s="163"/>
      <c r="CF59" s="163"/>
      <c r="CG59" s="163"/>
      <c r="CH59" s="163"/>
      <c r="CI59" s="163"/>
      <c r="CJ59" s="163"/>
      <c r="CK59" s="163"/>
      <c r="CL59" s="163"/>
      <c r="CM59" s="163"/>
      <c r="CN59" s="163"/>
      <c r="CO59" s="163"/>
      <c r="CP59" s="163"/>
      <c r="CQ59" s="163"/>
      <c r="CR59" s="163"/>
      <c r="CS59" s="163"/>
      <c r="CT59" s="163"/>
      <c r="CU59" s="163"/>
      <c r="CV59" s="163"/>
      <c r="CW59" s="163"/>
      <c r="CX59" s="163"/>
      <c r="CY59" s="163"/>
      <c r="CZ59" s="163"/>
      <c r="DA59" s="163"/>
      <c r="DB59" s="163"/>
      <c r="DC59" s="163"/>
      <c r="DD59" s="163"/>
      <c r="DE59" s="163"/>
      <c r="DF59" s="163"/>
      <c r="DG59" s="163"/>
      <c r="DH59" s="163"/>
      <c r="DI59" s="163"/>
      <c r="DJ59" s="163"/>
      <c r="DK59" s="163"/>
      <c r="DL59" s="163"/>
      <c r="DM59" s="163"/>
      <c r="DN59" s="163"/>
      <c r="DO59" s="163"/>
      <c r="DP59" s="163"/>
      <c r="DQ59" s="163"/>
      <c r="DR59" s="163"/>
      <c r="DS59" s="163"/>
      <c r="DT59" s="163"/>
      <c r="DU59" s="163"/>
      <c r="DV59" s="163"/>
      <c r="DW59" s="163"/>
      <c r="DX59" s="163"/>
      <c r="DY59" s="163"/>
      <c r="DZ59" s="163"/>
      <c r="EA59" s="163"/>
      <c r="EB59" s="163"/>
      <c r="EC59" s="163"/>
      <c r="ED59" s="163"/>
      <c r="EE59" s="163"/>
      <c r="EF59" s="163"/>
      <c r="EG59" s="163"/>
      <c r="EH59" s="163"/>
      <c r="EI59" s="163"/>
      <c r="EJ59" s="163"/>
      <c r="EK59" s="163"/>
      <c r="EL59" s="163"/>
      <c r="EM59" s="163"/>
      <c r="EN59" s="163"/>
      <c r="EO59" s="163"/>
      <c r="EP59" s="163"/>
      <c r="EQ59" s="163"/>
      <c r="ER59" s="163"/>
      <c r="ES59" s="163"/>
      <c r="ET59" s="163"/>
      <c r="EU59" s="163"/>
      <c r="EV59" s="163"/>
      <c r="EW59" s="163"/>
      <c r="EX59" s="163"/>
      <c r="EY59" s="163"/>
      <c r="EZ59" s="80"/>
      <c r="FA59" s="80"/>
      <c r="FB59" s="80"/>
      <c r="FC59" s="80"/>
      <c r="FD59" s="80"/>
      <c r="FE59" s="80"/>
      <c r="FF59" s="80"/>
      <c r="FG59" s="80"/>
      <c r="FH59" s="80"/>
      <c r="FI59" s="80"/>
      <c r="FJ59" s="80"/>
      <c r="FK59" s="80"/>
      <c r="FL59" s="118">
        <v>10000000</v>
      </c>
      <c r="FM59" s="80"/>
      <c r="FN59" s="80"/>
      <c r="FO59" s="80"/>
      <c r="FP59" s="80"/>
      <c r="FQ59" s="80"/>
      <c r="FR59" s="80"/>
      <c r="FS59" s="80"/>
      <c r="FT59" s="80"/>
      <c r="FU59" s="80"/>
      <c r="FV59" s="80"/>
      <c r="FW59" s="80"/>
      <c r="FX59" s="80"/>
      <c r="FY59" s="80"/>
      <c r="GA59" s="129">
        <v>10</v>
      </c>
    </row>
    <row r="60" spans="1:183" s="124" customFormat="1">
      <c r="A60" s="265"/>
      <c r="B60" s="270">
        <v>6306</v>
      </c>
      <c r="C60" s="270" t="s">
        <v>53</v>
      </c>
      <c r="D60" s="264">
        <v>6310681.3137300117</v>
      </c>
      <c r="E60" s="264">
        <f t="shared" si="22"/>
        <v>6436894.9400046123</v>
      </c>
      <c r="F60" s="264">
        <f t="shared" si="23"/>
        <v>6565632.8388047041</v>
      </c>
      <c r="G60" s="264">
        <v>7605076.2012263816</v>
      </c>
      <c r="H60" s="264">
        <f t="shared" si="24"/>
        <v>7681126.9632386453</v>
      </c>
      <c r="I60" s="264">
        <f t="shared" si="25"/>
        <v>7757938.2328710314</v>
      </c>
      <c r="J60" s="264">
        <v>7587562.6936418936</v>
      </c>
      <c r="K60" s="264">
        <f t="shared" si="19"/>
        <v>7739313.9475147314</v>
      </c>
      <c r="L60" s="264">
        <f t="shared" si="26"/>
        <v>7584527.668564437</v>
      </c>
      <c r="M60" s="264">
        <v>7865798.2136898125</v>
      </c>
      <c r="N60" s="264">
        <f t="shared" si="21"/>
        <v>7708482.249416016</v>
      </c>
      <c r="O60" s="264">
        <v>8426912.4192709196</v>
      </c>
      <c r="P60" s="321">
        <f t="shared" si="18"/>
        <v>89269947.681973204</v>
      </c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163"/>
      <c r="BN60" s="163"/>
      <c r="BO60" s="163"/>
      <c r="BP60" s="163"/>
      <c r="BQ60" s="163"/>
      <c r="BR60" s="163"/>
      <c r="BS60" s="163"/>
      <c r="BT60" s="163"/>
      <c r="BU60" s="163"/>
      <c r="BV60" s="163"/>
      <c r="BW60" s="163"/>
      <c r="BX60" s="163"/>
      <c r="BY60" s="163"/>
      <c r="BZ60" s="163"/>
      <c r="CA60" s="163"/>
      <c r="CB60" s="163"/>
      <c r="CC60" s="163"/>
      <c r="CD60" s="163"/>
      <c r="CE60" s="163"/>
      <c r="CF60" s="163"/>
      <c r="CG60" s="163"/>
      <c r="CH60" s="163"/>
      <c r="CI60" s="163"/>
      <c r="CJ60" s="163"/>
      <c r="CK60" s="163"/>
      <c r="CL60" s="163"/>
      <c r="CM60" s="163"/>
      <c r="CN60" s="163"/>
      <c r="CO60" s="163"/>
      <c r="CP60" s="163"/>
      <c r="CQ60" s="163"/>
      <c r="CR60" s="163"/>
      <c r="CS60" s="163"/>
      <c r="CT60" s="163"/>
      <c r="CU60" s="163"/>
      <c r="CV60" s="163"/>
      <c r="CW60" s="163"/>
      <c r="CX60" s="163"/>
      <c r="CY60" s="163"/>
      <c r="CZ60" s="163"/>
      <c r="DA60" s="163"/>
      <c r="DB60" s="163"/>
      <c r="DC60" s="163"/>
      <c r="DD60" s="163"/>
      <c r="DE60" s="163"/>
      <c r="DF60" s="163"/>
      <c r="DG60" s="163"/>
      <c r="DH60" s="163"/>
      <c r="DI60" s="163"/>
      <c r="DJ60" s="163"/>
      <c r="DK60" s="163"/>
      <c r="DL60" s="163"/>
      <c r="DM60" s="163"/>
      <c r="DN60" s="163"/>
      <c r="DO60" s="163"/>
      <c r="DP60" s="163"/>
      <c r="DQ60" s="163"/>
      <c r="DR60" s="163"/>
      <c r="DS60" s="163"/>
      <c r="DT60" s="163"/>
      <c r="DU60" s="163"/>
      <c r="DV60" s="163"/>
      <c r="DW60" s="163"/>
      <c r="DX60" s="163"/>
      <c r="DY60" s="163"/>
      <c r="DZ60" s="163"/>
      <c r="EA60" s="163"/>
      <c r="EB60" s="163"/>
      <c r="EC60" s="163"/>
      <c r="ED60" s="163"/>
      <c r="EE60" s="163"/>
      <c r="EF60" s="163"/>
      <c r="EG60" s="163"/>
      <c r="EH60" s="163"/>
      <c r="EI60" s="163"/>
      <c r="EJ60" s="163"/>
      <c r="EK60" s="163"/>
      <c r="EL60" s="163"/>
      <c r="EM60" s="163"/>
      <c r="EN60" s="163"/>
      <c r="EO60" s="163"/>
      <c r="EP60" s="163"/>
      <c r="EQ60" s="163"/>
      <c r="ER60" s="163"/>
      <c r="ES60" s="163"/>
      <c r="ET60" s="163"/>
      <c r="EU60" s="163"/>
      <c r="EV60" s="163"/>
      <c r="EW60" s="163"/>
      <c r="EX60" s="163"/>
      <c r="EY60" s="163"/>
      <c r="EZ60" s="80"/>
      <c r="FA60" s="80"/>
      <c r="FB60" s="80"/>
      <c r="FC60" s="80"/>
      <c r="FD60" s="80"/>
      <c r="FE60" s="80"/>
      <c r="FF60" s="80"/>
      <c r="FG60" s="80"/>
      <c r="FH60" s="80"/>
      <c r="FI60" s="80"/>
      <c r="FJ60" s="80"/>
      <c r="FK60" s="80"/>
      <c r="FL60" s="118">
        <v>4270000</v>
      </c>
      <c r="FM60" s="80"/>
      <c r="FN60" s="80"/>
      <c r="FO60" s="80"/>
      <c r="FP60" s="80"/>
      <c r="FQ60" s="80"/>
      <c r="FR60" s="80"/>
      <c r="FS60" s="80"/>
      <c r="FT60" s="80"/>
      <c r="FU60" s="80"/>
      <c r="FV60" s="80"/>
      <c r="FW60" s="80"/>
      <c r="FX60" s="80"/>
      <c r="FY60" s="80"/>
      <c r="GA60" s="129">
        <v>4.2699999999999996</v>
      </c>
    </row>
    <row r="61" spans="1:183" s="124" customFormat="1">
      <c r="A61" s="265"/>
      <c r="B61" s="270">
        <v>6307</v>
      </c>
      <c r="C61" s="270" t="s">
        <v>54</v>
      </c>
      <c r="D61" s="264">
        <v>99020058.084288239</v>
      </c>
      <c r="E61" s="264">
        <f t="shared" si="22"/>
        <v>101000459.245974</v>
      </c>
      <c r="F61" s="264">
        <f t="shared" si="23"/>
        <v>103020468.43089348</v>
      </c>
      <c r="G61" s="264">
        <v>119330235.47591749</v>
      </c>
      <c r="H61" s="264">
        <f t="shared" si="24"/>
        <v>120523537.83067666</v>
      </c>
      <c r="I61" s="264">
        <f t="shared" si="25"/>
        <v>121728773.20898342</v>
      </c>
      <c r="J61" s="264">
        <v>119055433.36627796</v>
      </c>
      <c r="K61" s="264">
        <f t="shared" si="19"/>
        <v>121436542.03360352</v>
      </c>
      <c r="L61" s="264">
        <f t="shared" si="26"/>
        <v>119007811.19293144</v>
      </c>
      <c r="M61" s="264">
        <v>123421189.76984017</v>
      </c>
      <c r="N61" s="264">
        <f t="shared" si="21"/>
        <v>120952765.97444336</v>
      </c>
      <c r="O61" s="264">
        <v>132225557.86678027</v>
      </c>
      <c r="P61" s="321">
        <f t="shared" si="18"/>
        <v>1400722832.4806101</v>
      </c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163"/>
      <c r="BN61" s="163"/>
      <c r="BO61" s="163"/>
      <c r="BP61" s="163"/>
      <c r="BQ61" s="163"/>
      <c r="BR61" s="163"/>
      <c r="BS61" s="163"/>
      <c r="BT61" s="163"/>
      <c r="BU61" s="163"/>
      <c r="BV61" s="163"/>
      <c r="BW61" s="163"/>
      <c r="BX61" s="163"/>
      <c r="BY61" s="163"/>
      <c r="BZ61" s="163"/>
      <c r="CA61" s="163"/>
      <c r="CB61" s="163"/>
      <c r="CC61" s="163"/>
      <c r="CD61" s="163"/>
      <c r="CE61" s="163"/>
      <c r="CF61" s="163"/>
      <c r="CG61" s="163"/>
      <c r="CH61" s="163"/>
      <c r="CI61" s="163"/>
      <c r="CJ61" s="163"/>
      <c r="CK61" s="163"/>
      <c r="CL61" s="163"/>
      <c r="CM61" s="163"/>
      <c r="CN61" s="163"/>
      <c r="CO61" s="163"/>
      <c r="CP61" s="163"/>
      <c r="CQ61" s="163"/>
      <c r="CR61" s="163"/>
      <c r="CS61" s="163"/>
      <c r="CT61" s="163"/>
      <c r="CU61" s="163"/>
      <c r="CV61" s="163"/>
      <c r="CW61" s="163"/>
      <c r="CX61" s="163"/>
      <c r="CY61" s="163"/>
      <c r="CZ61" s="163"/>
      <c r="DA61" s="163"/>
      <c r="DB61" s="163"/>
      <c r="DC61" s="163"/>
      <c r="DD61" s="163"/>
      <c r="DE61" s="163"/>
      <c r="DF61" s="163"/>
      <c r="DG61" s="163"/>
      <c r="DH61" s="163"/>
      <c r="DI61" s="163"/>
      <c r="DJ61" s="163"/>
      <c r="DK61" s="163"/>
      <c r="DL61" s="163"/>
      <c r="DM61" s="163"/>
      <c r="DN61" s="163"/>
      <c r="DO61" s="163"/>
      <c r="DP61" s="163"/>
      <c r="DQ61" s="163"/>
      <c r="DR61" s="163"/>
      <c r="DS61" s="163"/>
      <c r="DT61" s="163"/>
      <c r="DU61" s="163"/>
      <c r="DV61" s="163"/>
      <c r="DW61" s="163"/>
      <c r="DX61" s="163"/>
      <c r="DY61" s="163"/>
      <c r="DZ61" s="163"/>
      <c r="EA61" s="163"/>
      <c r="EB61" s="163"/>
      <c r="EC61" s="163"/>
      <c r="ED61" s="163"/>
      <c r="EE61" s="163"/>
      <c r="EF61" s="163"/>
      <c r="EG61" s="163"/>
      <c r="EH61" s="163"/>
      <c r="EI61" s="163"/>
      <c r="EJ61" s="163"/>
      <c r="EK61" s="163"/>
      <c r="EL61" s="163"/>
      <c r="EM61" s="163"/>
      <c r="EN61" s="163"/>
      <c r="EO61" s="163"/>
      <c r="EP61" s="163"/>
      <c r="EQ61" s="163"/>
      <c r="ER61" s="163"/>
      <c r="ES61" s="163"/>
      <c r="ET61" s="163"/>
      <c r="EU61" s="163"/>
      <c r="EV61" s="163"/>
      <c r="EW61" s="163"/>
      <c r="EX61" s="163"/>
      <c r="EY61" s="163"/>
      <c r="EZ61" s="80"/>
      <c r="FA61" s="80"/>
      <c r="FB61" s="80"/>
      <c r="FC61" s="80"/>
      <c r="FD61" s="80"/>
      <c r="FE61" s="80"/>
      <c r="FF61" s="80"/>
      <c r="FG61" s="80"/>
      <c r="FH61" s="80"/>
      <c r="FI61" s="80"/>
      <c r="FJ61" s="80"/>
      <c r="FK61" s="80"/>
      <c r="FL61" s="118">
        <v>67000000</v>
      </c>
      <c r="FM61" s="80"/>
      <c r="FN61" s="80"/>
      <c r="FO61" s="80"/>
      <c r="FP61" s="80"/>
      <c r="FQ61" s="80"/>
      <c r="FR61" s="80"/>
      <c r="FS61" s="80"/>
      <c r="FT61" s="80"/>
      <c r="FU61" s="80"/>
      <c r="FV61" s="80"/>
      <c r="FW61" s="80"/>
      <c r="FX61" s="80"/>
      <c r="FY61" s="80"/>
      <c r="GA61" s="129">
        <v>67.479608333333331</v>
      </c>
    </row>
    <row r="62" spans="1:183" s="124" customFormat="1">
      <c r="A62" s="265"/>
      <c r="B62" s="270"/>
      <c r="C62" s="270"/>
      <c r="D62" s="264">
        <v>0</v>
      </c>
      <c r="E62" s="264">
        <f t="shared" si="22"/>
        <v>0</v>
      </c>
      <c r="F62" s="264">
        <f t="shared" si="23"/>
        <v>0</v>
      </c>
      <c r="G62" s="264">
        <v>0</v>
      </c>
      <c r="H62" s="264">
        <f t="shared" si="24"/>
        <v>0</v>
      </c>
      <c r="I62" s="264">
        <f t="shared" si="25"/>
        <v>0</v>
      </c>
      <c r="J62" s="264">
        <v>0</v>
      </c>
      <c r="K62" s="264">
        <f t="shared" si="19"/>
        <v>0</v>
      </c>
      <c r="L62" s="264">
        <f t="shared" ref="L62:L77" si="28">K62+(K62*$J$8%)</f>
        <v>0</v>
      </c>
      <c r="M62" s="264">
        <v>0</v>
      </c>
      <c r="N62" s="264">
        <f t="shared" si="21"/>
        <v>0</v>
      </c>
      <c r="O62" s="264">
        <v>0</v>
      </c>
      <c r="P62" s="321">
        <f t="shared" si="18"/>
        <v>0</v>
      </c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163"/>
      <c r="BN62" s="163"/>
      <c r="BO62" s="163"/>
      <c r="BP62" s="163"/>
      <c r="BQ62" s="163"/>
      <c r="BR62" s="163"/>
      <c r="BS62" s="163"/>
      <c r="BT62" s="163"/>
      <c r="BU62" s="163"/>
      <c r="BV62" s="163"/>
      <c r="BW62" s="163"/>
      <c r="BX62" s="163"/>
      <c r="BY62" s="163"/>
      <c r="BZ62" s="163"/>
      <c r="CA62" s="163"/>
      <c r="CB62" s="163"/>
      <c r="CC62" s="163"/>
      <c r="CD62" s="163"/>
      <c r="CE62" s="163"/>
      <c r="CF62" s="163"/>
      <c r="CG62" s="163"/>
      <c r="CH62" s="163"/>
      <c r="CI62" s="163"/>
      <c r="CJ62" s="163"/>
      <c r="CK62" s="163"/>
      <c r="CL62" s="163"/>
      <c r="CM62" s="163"/>
      <c r="CN62" s="163"/>
      <c r="CO62" s="163"/>
      <c r="CP62" s="163"/>
      <c r="CQ62" s="163"/>
      <c r="CR62" s="163"/>
      <c r="CS62" s="163"/>
      <c r="CT62" s="163"/>
      <c r="CU62" s="163"/>
      <c r="CV62" s="163"/>
      <c r="CW62" s="163"/>
      <c r="CX62" s="163"/>
      <c r="CY62" s="163"/>
      <c r="CZ62" s="163"/>
      <c r="DA62" s="163"/>
      <c r="DB62" s="163"/>
      <c r="DC62" s="163"/>
      <c r="DD62" s="163"/>
      <c r="DE62" s="163"/>
      <c r="DF62" s="163"/>
      <c r="DG62" s="163"/>
      <c r="DH62" s="163"/>
      <c r="DI62" s="163"/>
      <c r="DJ62" s="163"/>
      <c r="DK62" s="163"/>
      <c r="DL62" s="163"/>
      <c r="DM62" s="163"/>
      <c r="DN62" s="163"/>
      <c r="DO62" s="163"/>
      <c r="DP62" s="163"/>
      <c r="DQ62" s="163"/>
      <c r="DR62" s="163"/>
      <c r="DS62" s="163"/>
      <c r="DT62" s="163"/>
      <c r="DU62" s="163"/>
      <c r="DV62" s="163"/>
      <c r="DW62" s="163"/>
      <c r="DX62" s="163"/>
      <c r="DY62" s="163"/>
      <c r="DZ62" s="163"/>
      <c r="EA62" s="163"/>
      <c r="EB62" s="163"/>
      <c r="EC62" s="163"/>
      <c r="ED62" s="163"/>
      <c r="EE62" s="163"/>
      <c r="EF62" s="163"/>
      <c r="EG62" s="163"/>
      <c r="EH62" s="163"/>
      <c r="EI62" s="163"/>
      <c r="EJ62" s="163"/>
      <c r="EK62" s="163"/>
      <c r="EL62" s="163"/>
      <c r="EM62" s="163"/>
      <c r="EN62" s="163"/>
      <c r="EO62" s="163"/>
      <c r="EP62" s="163"/>
      <c r="EQ62" s="163"/>
      <c r="ER62" s="163"/>
      <c r="ES62" s="163"/>
      <c r="ET62" s="163"/>
      <c r="EU62" s="163"/>
      <c r="EV62" s="163"/>
      <c r="EW62" s="163"/>
      <c r="EX62" s="163"/>
      <c r="EY62" s="163"/>
      <c r="EZ62" s="80"/>
      <c r="FA62" s="80"/>
      <c r="FB62" s="80"/>
      <c r="FC62" s="80"/>
      <c r="FD62" s="80"/>
      <c r="FE62" s="80"/>
      <c r="FF62" s="80"/>
      <c r="FG62" s="80"/>
      <c r="FH62" s="80"/>
      <c r="FI62" s="80"/>
      <c r="FJ62" s="80"/>
      <c r="FK62" s="80"/>
      <c r="FL62" s="118">
        <v>0</v>
      </c>
      <c r="FM62" s="80"/>
      <c r="FN62" s="80"/>
      <c r="FO62" s="80"/>
      <c r="FP62" s="80"/>
      <c r="FQ62" s="80"/>
      <c r="FR62" s="80"/>
      <c r="FS62" s="80"/>
      <c r="FT62" s="80"/>
      <c r="FU62" s="80"/>
      <c r="FV62" s="80"/>
      <c r="FW62" s="80"/>
      <c r="FX62" s="80"/>
      <c r="FY62" s="80"/>
      <c r="GA62" s="129"/>
    </row>
    <row r="63" spans="1:183" s="124" customFormat="1">
      <c r="A63" s="265"/>
      <c r="B63" s="269" t="s">
        <v>55</v>
      </c>
      <c r="C63" s="270"/>
      <c r="D63" s="264">
        <v>0</v>
      </c>
      <c r="E63" s="264">
        <f t="shared" si="22"/>
        <v>0</v>
      </c>
      <c r="F63" s="264">
        <f t="shared" si="23"/>
        <v>0</v>
      </c>
      <c r="G63" s="264">
        <v>0</v>
      </c>
      <c r="H63" s="264">
        <f t="shared" si="24"/>
        <v>0</v>
      </c>
      <c r="I63" s="264">
        <f t="shared" si="25"/>
        <v>0</v>
      </c>
      <c r="J63" s="264">
        <v>0</v>
      </c>
      <c r="K63" s="264">
        <f t="shared" si="19"/>
        <v>0</v>
      </c>
      <c r="L63" s="264">
        <f t="shared" si="28"/>
        <v>0</v>
      </c>
      <c r="M63" s="264">
        <v>0</v>
      </c>
      <c r="N63" s="264">
        <f t="shared" si="21"/>
        <v>0</v>
      </c>
      <c r="O63" s="264">
        <v>0</v>
      </c>
      <c r="P63" s="321">
        <f t="shared" si="18"/>
        <v>0</v>
      </c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163"/>
      <c r="BN63" s="163"/>
      <c r="BO63" s="163"/>
      <c r="BP63" s="163"/>
      <c r="BQ63" s="163"/>
      <c r="BR63" s="163"/>
      <c r="BS63" s="163"/>
      <c r="BT63" s="163"/>
      <c r="BU63" s="163"/>
      <c r="BV63" s="163"/>
      <c r="BW63" s="163"/>
      <c r="BX63" s="163"/>
      <c r="BY63" s="163"/>
      <c r="BZ63" s="163"/>
      <c r="CA63" s="163"/>
      <c r="CB63" s="163"/>
      <c r="CC63" s="163"/>
      <c r="CD63" s="163"/>
      <c r="CE63" s="163"/>
      <c r="CF63" s="163"/>
      <c r="CG63" s="163"/>
      <c r="CH63" s="163"/>
      <c r="CI63" s="163"/>
      <c r="CJ63" s="163"/>
      <c r="CK63" s="163"/>
      <c r="CL63" s="163"/>
      <c r="CM63" s="163"/>
      <c r="CN63" s="163"/>
      <c r="CO63" s="163"/>
      <c r="CP63" s="163"/>
      <c r="CQ63" s="163"/>
      <c r="CR63" s="163"/>
      <c r="CS63" s="163"/>
      <c r="CT63" s="163"/>
      <c r="CU63" s="163"/>
      <c r="CV63" s="163"/>
      <c r="CW63" s="163"/>
      <c r="CX63" s="163"/>
      <c r="CY63" s="163"/>
      <c r="CZ63" s="163"/>
      <c r="DA63" s="163"/>
      <c r="DB63" s="163"/>
      <c r="DC63" s="163"/>
      <c r="DD63" s="163"/>
      <c r="DE63" s="163"/>
      <c r="DF63" s="163"/>
      <c r="DG63" s="163"/>
      <c r="DH63" s="163"/>
      <c r="DI63" s="163"/>
      <c r="DJ63" s="163"/>
      <c r="DK63" s="163"/>
      <c r="DL63" s="163"/>
      <c r="DM63" s="163"/>
      <c r="DN63" s="163"/>
      <c r="DO63" s="163"/>
      <c r="DP63" s="163"/>
      <c r="DQ63" s="163"/>
      <c r="DR63" s="163"/>
      <c r="DS63" s="163"/>
      <c r="DT63" s="163"/>
      <c r="DU63" s="163"/>
      <c r="DV63" s="163"/>
      <c r="DW63" s="163"/>
      <c r="DX63" s="163"/>
      <c r="DY63" s="163"/>
      <c r="DZ63" s="163"/>
      <c r="EA63" s="163"/>
      <c r="EB63" s="163"/>
      <c r="EC63" s="163"/>
      <c r="ED63" s="163"/>
      <c r="EE63" s="163"/>
      <c r="EF63" s="163"/>
      <c r="EG63" s="163"/>
      <c r="EH63" s="163"/>
      <c r="EI63" s="163"/>
      <c r="EJ63" s="163"/>
      <c r="EK63" s="163"/>
      <c r="EL63" s="163"/>
      <c r="EM63" s="163"/>
      <c r="EN63" s="163"/>
      <c r="EO63" s="163"/>
      <c r="EP63" s="163"/>
      <c r="EQ63" s="163"/>
      <c r="ER63" s="163"/>
      <c r="ES63" s="163"/>
      <c r="ET63" s="163"/>
      <c r="EU63" s="163"/>
      <c r="EV63" s="163"/>
      <c r="EW63" s="163"/>
      <c r="EX63" s="163"/>
      <c r="EY63" s="163"/>
      <c r="EZ63" s="80"/>
      <c r="FA63" s="80"/>
      <c r="FB63" s="80"/>
      <c r="FC63" s="80"/>
      <c r="FD63" s="80"/>
      <c r="FE63" s="80"/>
      <c r="FF63" s="80"/>
      <c r="FG63" s="80"/>
      <c r="FH63" s="80"/>
      <c r="FI63" s="80"/>
      <c r="FJ63" s="80"/>
      <c r="FK63" s="80"/>
      <c r="FL63" s="118">
        <v>0</v>
      </c>
      <c r="FM63" s="80"/>
      <c r="FN63" s="80"/>
      <c r="FO63" s="80"/>
      <c r="FP63" s="80"/>
      <c r="FQ63" s="80"/>
      <c r="FR63" s="80"/>
      <c r="FS63" s="80"/>
      <c r="FT63" s="80"/>
      <c r="FU63" s="80"/>
      <c r="FV63" s="80"/>
      <c r="FW63" s="80"/>
      <c r="FX63" s="80"/>
      <c r="FY63" s="80"/>
      <c r="GA63" s="129"/>
    </row>
    <row r="64" spans="1:183" s="124" customFormat="1">
      <c r="A64" s="265"/>
      <c r="B64" s="270">
        <v>6500</v>
      </c>
      <c r="C64" s="270" t="s">
        <v>56</v>
      </c>
      <c r="D64" s="264">
        <v>2216866.9720363035</v>
      </c>
      <c r="E64" s="264">
        <f t="shared" si="22"/>
        <v>2261204.3114770297</v>
      </c>
      <c r="F64" s="264">
        <f t="shared" si="23"/>
        <v>2306428.3977065701</v>
      </c>
      <c r="G64" s="264">
        <v>2671572.4360280028</v>
      </c>
      <c r="H64" s="264">
        <f t="shared" si="24"/>
        <v>2698288.160388283</v>
      </c>
      <c r="I64" s="264">
        <f t="shared" si="25"/>
        <v>2725271.0419921656</v>
      </c>
      <c r="J64" s="264">
        <v>2665420.1499912972</v>
      </c>
      <c r="K64" s="264">
        <f t="shared" si="19"/>
        <v>2718728.5529911229</v>
      </c>
      <c r="L64" s="264">
        <f t="shared" si="28"/>
        <v>2664353.9819313004</v>
      </c>
      <c r="M64" s="264">
        <v>2763160.9649964208</v>
      </c>
      <c r="N64" s="264">
        <f t="shared" si="21"/>
        <v>2707897.7456964925</v>
      </c>
      <c r="O64" s="264">
        <v>2960273.6835846319</v>
      </c>
      <c r="P64" s="321">
        <f t="shared" si="18"/>
        <v>31359466.398819614</v>
      </c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163"/>
      <c r="BN64" s="163"/>
      <c r="BO64" s="163"/>
      <c r="BP64" s="163"/>
      <c r="BQ64" s="163"/>
      <c r="BR64" s="163"/>
      <c r="BS64" s="163"/>
      <c r="BT64" s="163"/>
      <c r="BU64" s="163"/>
      <c r="BV64" s="163"/>
      <c r="BW64" s="163"/>
      <c r="BX64" s="163"/>
      <c r="BY64" s="163"/>
      <c r="BZ64" s="163"/>
      <c r="CA64" s="163"/>
      <c r="CB64" s="163"/>
      <c r="CC64" s="163"/>
      <c r="CD64" s="163"/>
      <c r="CE64" s="163"/>
      <c r="CF64" s="163"/>
      <c r="CG64" s="163"/>
      <c r="CH64" s="163"/>
      <c r="CI64" s="163"/>
      <c r="CJ64" s="163"/>
      <c r="CK64" s="163"/>
      <c r="CL64" s="163"/>
      <c r="CM64" s="163"/>
      <c r="CN64" s="163"/>
      <c r="CO64" s="163"/>
      <c r="CP64" s="163"/>
      <c r="CQ64" s="163"/>
      <c r="CR64" s="163"/>
      <c r="CS64" s="163"/>
      <c r="CT64" s="163"/>
      <c r="CU64" s="163"/>
      <c r="CV64" s="163"/>
      <c r="CW64" s="163"/>
      <c r="CX64" s="163"/>
      <c r="CY64" s="163"/>
      <c r="CZ64" s="163"/>
      <c r="DA64" s="163"/>
      <c r="DB64" s="163"/>
      <c r="DC64" s="163"/>
      <c r="DD64" s="163"/>
      <c r="DE64" s="163"/>
      <c r="DF64" s="163"/>
      <c r="DG64" s="163"/>
      <c r="DH64" s="163"/>
      <c r="DI64" s="163"/>
      <c r="DJ64" s="163"/>
      <c r="DK64" s="163"/>
      <c r="DL64" s="163"/>
      <c r="DM64" s="163"/>
      <c r="DN64" s="163"/>
      <c r="DO64" s="163"/>
      <c r="DP64" s="163"/>
      <c r="DQ64" s="163"/>
      <c r="DR64" s="163"/>
      <c r="DS64" s="163"/>
      <c r="DT64" s="163"/>
      <c r="DU64" s="163"/>
      <c r="DV64" s="163"/>
      <c r="DW64" s="163"/>
      <c r="DX64" s="163"/>
      <c r="DY64" s="163"/>
      <c r="DZ64" s="163"/>
      <c r="EA64" s="163"/>
      <c r="EB64" s="163"/>
      <c r="EC64" s="163"/>
      <c r="ED64" s="163"/>
      <c r="EE64" s="163"/>
      <c r="EF64" s="163"/>
      <c r="EG64" s="163"/>
      <c r="EH64" s="163"/>
      <c r="EI64" s="163"/>
      <c r="EJ64" s="163"/>
      <c r="EK64" s="163"/>
      <c r="EL64" s="163"/>
      <c r="EM64" s="163"/>
      <c r="EN64" s="163"/>
      <c r="EO64" s="163"/>
      <c r="EP64" s="163"/>
      <c r="EQ64" s="163"/>
      <c r="ER64" s="163"/>
      <c r="ES64" s="163"/>
      <c r="ET64" s="163"/>
      <c r="EU64" s="163"/>
      <c r="EV64" s="163"/>
      <c r="EW64" s="163"/>
      <c r="EX64" s="163"/>
      <c r="EY64" s="163"/>
      <c r="EZ64" s="80"/>
      <c r="FA64" s="80"/>
      <c r="FB64" s="80"/>
      <c r="FC64" s="80"/>
      <c r="FD64" s="80"/>
      <c r="FE64" s="80"/>
      <c r="FF64" s="80"/>
      <c r="FG64" s="80"/>
      <c r="FH64" s="80"/>
      <c r="FI64" s="80"/>
      <c r="FJ64" s="80"/>
      <c r="FK64" s="80"/>
      <c r="FL64" s="118">
        <v>1500000</v>
      </c>
      <c r="FM64" s="80"/>
      <c r="FN64" s="80"/>
      <c r="FO64" s="80"/>
      <c r="FP64" s="80"/>
      <c r="FQ64" s="80"/>
      <c r="FR64" s="80"/>
      <c r="FS64" s="80"/>
      <c r="FT64" s="80"/>
      <c r="FU64" s="80"/>
      <c r="FV64" s="80"/>
      <c r="FW64" s="80"/>
      <c r="FX64" s="80"/>
      <c r="FY64" s="80"/>
      <c r="GA64" s="129">
        <v>1.5</v>
      </c>
    </row>
    <row r="65" spans="1:183" s="124" customFormat="1">
      <c r="A65" s="265"/>
      <c r="B65" s="270">
        <v>6501</v>
      </c>
      <c r="C65" s="270" t="s">
        <v>57</v>
      </c>
      <c r="D65" s="264">
        <v>0</v>
      </c>
      <c r="E65" s="264">
        <f t="shared" si="22"/>
        <v>0</v>
      </c>
      <c r="F65" s="264">
        <f t="shared" si="23"/>
        <v>0</v>
      </c>
      <c r="G65" s="264">
        <v>0</v>
      </c>
      <c r="H65" s="264">
        <f t="shared" si="24"/>
        <v>0</v>
      </c>
      <c r="I65" s="264">
        <f t="shared" si="25"/>
        <v>0</v>
      </c>
      <c r="J65" s="264">
        <v>0</v>
      </c>
      <c r="K65" s="264">
        <f t="shared" si="19"/>
        <v>0</v>
      </c>
      <c r="L65" s="264">
        <f t="shared" si="28"/>
        <v>0</v>
      </c>
      <c r="M65" s="264">
        <v>0</v>
      </c>
      <c r="N65" s="264">
        <f t="shared" si="21"/>
        <v>0</v>
      </c>
      <c r="O65" s="264">
        <v>0</v>
      </c>
      <c r="P65" s="321">
        <f t="shared" si="18"/>
        <v>0</v>
      </c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163"/>
      <c r="BK65" s="163"/>
      <c r="BL65" s="163"/>
      <c r="BM65" s="163"/>
      <c r="BN65" s="163"/>
      <c r="BO65" s="163"/>
      <c r="BP65" s="163"/>
      <c r="BQ65" s="163"/>
      <c r="BR65" s="163"/>
      <c r="BS65" s="163"/>
      <c r="BT65" s="163"/>
      <c r="BU65" s="163"/>
      <c r="BV65" s="163"/>
      <c r="BW65" s="163"/>
      <c r="BX65" s="163"/>
      <c r="BY65" s="163"/>
      <c r="BZ65" s="163"/>
      <c r="CA65" s="163"/>
      <c r="CB65" s="163"/>
      <c r="CC65" s="163"/>
      <c r="CD65" s="163"/>
      <c r="CE65" s="163"/>
      <c r="CF65" s="163"/>
      <c r="CG65" s="163"/>
      <c r="CH65" s="163"/>
      <c r="CI65" s="163"/>
      <c r="CJ65" s="163"/>
      <c r="CK65" s="163"/>
      <c r="CL65" s="163"/>
      <c r="CM65" s="163"/>
      <c r="CN65" s="163"/>
      <c r="CO65" s="163"/>
      <c r="CP65" s="163"/>
      <c r="CQ65" s="163"/>
      <c r="CR65" s="163"/>
      <c r="CS65" s="163"/>
      <c r="CT65" s="163"/>
      <c r="CU65" s="163"/>
      <c r="CV65" s="163"/>
      <c r="CW65" s="163"/>
      <c r="CX65" s="163"/>
      <c r="CY65" s="163"/>
      <c r="CZ65" s="163"/>
      <c r="DA65" s="163"/>
      <c r="DB65" s="163"/>
      <c r="DC65" s="163"/>
      <c r="DD65" s="163"/>
      <c r="DE65" s="163"/>
      <c r="DF65" s="163"/>
      <c r="DG65" s="163"/>
      <c r="DH65" s="163"/>
      <c r="DI65" s="163"/>
      <c r="DJ65" s="163"/>
      <c r="DK65" s="163"/>
      <c r="DL65" s="163"/>
      <c r="DM65" s="163"/>
      <c r="DN65" s="163"/>
      <c r="DO65" s="163"/>
      <c r="DP65" s="163"/>
      <c r="DQ65" s="163"/>
      <c r="DR65" s="163"/>
      <c r="DS65" s="163"/>
      <c r="DT65" s="163"/>
      <c r="DU65" s="163"/>
      <c r="DV65" s="163"/>
      <c r="DW65" s="163"/>
      <c r="DX65" s="163"/>
      <c r="DY65" s="163"/>
      <c r="DZ65" s="163"/>
      <c r="EA65" s="163"/>
      <c r="EB65" s="163"/>
      <c r="EC65" s="163"/>
      <c r="ED65" s="163"/>
      <c r="EE65" s="163"/>
      <c r="EF65" s="163"/>
      <c r="EG65" s="163"/>
      <c r="EH65" s="163"/>
      <c r="EI65" s="163"/>
      <c r="EJ65" s="163"/>
      <c r="EK65" s="163"/>
      <c r="EL65" s="163"/>
      <c r="EM65" s="163"/>
      <c r="EN65" s="163"/>
      <c r="EO65" s="163"/>
      <c r="EP65" s="163"/>
      <c r="EQ65" s="163"/>
      <c r="ER65" s="163"/>
      <c r="ES65" s="163"/>
      <c r="ET65" s="163"/>
      <c r="EU65" s="163"/>
      <c r="EV65" s="163"/>
      <c r="EW65" s="163"/>
      <c r="EX65" s="163"/>
      <c r="EY65" s="163"/>
      <c r="EZ65" s="80"/>
      <c r="FA65" s="80"/>
      <c r="FB65" s="80"/>
      <c r="FC65" s="80"/>
      <c r="FD65" s="80"/>
      <c r="FE65" s="80"/>
      <c r="FF65" s="80"/>
      <c r="FG65" s="80"/>
      <c r="FH65" s="80"/>
      <c r="FI65" s="80"/>
      <c r="FJ65" s="80"/>
      <c r="FK65" s="80"/>
      <c r="FL65" s="118">
        <v>0</v>
      </c>
      <c r="FM65" s="80"/>
      <c r="FN65" s="80"/>
      <c r="FO65" s="80"/>
      <c r="FP65" s="80"/>
      <c r="FQ65" s="80"/>
      <c r="FR65" s="80"/>
      <c r="FS65" s="80"/>
      <c r="FT65" s="80"/>
      <c r="FU65" s="80"/>
      <c r="FV65" s="80"/>
      <c r="FW65" s="80"/>
      <c r="FX65" s="80"/>
      <c r="FY65" s="80"/>
      <c r="GA65" s="129"/>
    </row>
    <row r="66" spans="1:183" s="124" customFormat="1">
      <c r="A66" s="265"/>
      <c r="B66" s="270"/>
      <c r="C66" s="270"/>
      <c r="D66" s="264">
        <v>0</v>
      </c>
      <c r="E66" s="264">
        <f t="shared" si="22"/>
        <v>0</v>
      </c>
      <c r="F66" s="264">
        <f t="shared" si="23"/>
        <v>0</v>
      </c>
      <c r="G66" s="264">
        <v>0</v>
      </c>
      <c r="H66" s="264">
        <f t="shared" si="24"/>
        <v>0</v>
      </c>
      <c r="I66" s="264">
        <f t="shared" si="25"/>
        <v>0</v>
      </c>
      <c r="J66" s="264">
        <v>0</v>
      </c>
      <c r="K66" s="264">
        <f t="shared" si="19"/>
        <v>0</v>
      </c>
      <c r="L66" s="264">
        <f t="shared" si="28"/>
        <v>0</v>
      </c>
      <c r="M66" s="264">
        <v>0</v>
      </c>
      <c r="N66" s="264">
        <f t="shared" si="21"/>
        <v>0</v>
      </c>
      <c r="O66" s="264">
        <v>0</v>
      </c>
      <c r="P66" s="321">
        <f t="shared" si="18"/>
        <v>0</v>
      </c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3"/>
      <c r="BN66" s="163"/>
      <c r="BO66" s="163"/>
      <c r="BP66" s="163"/>
      <c r="BQ66" s="163"/>
      <c r="BR66" s="163"/>
      <c r="BS66" s="163"/>
      <c r="BT66" s="163"/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/>
      <c r="CO66" s="163"/>
      <c r="CP66" s="163"/>
      <c r="CQ66" s="163"/>
      <c r="CR66" s="163"/>
      <c r="CS66" s="163"/>
      <c r="CT66" s="163"/>
      <c r="CU66" s="163"/>
      <c r="CV66" s="163"/>
      <c r="CW66" s="163"/>
      <c r="CX66" s="163"/>
      <c r="CY66" s="163"/>
      <c r="CZ66" s="163"/>
      <c r="DA66" s="163"/>
      <c r="DB66" s="163"/>
      <c r="DC66" s="163"/>
      <c r="DD66" s="163"/>
      <c r="DE66" s="163"/>
      <c r="DF66" s="163"/>
      <c r="DG66" s="163"/>
      <c r="DH66" s="163"/>
      <c r="DI66" s="163"/>
      <c r="DJ66" s="163"/>
      <c r="DK66" s="163"/>
      <c r="DL66" s="163"/>
      <c r="DM66" s="163"/>
      <c r="DN66" s="163"/>
      <c r="DO66" s="163"/>
      <c r="DP66" s="163"/>
      <c r="DQ66" s="163"/>
      <c r="DR66" s="163"/>
      <c r="DS66" s="163"/>
      <c r="DT66" s="163"/>
      <c r="DU66" s="163"/>
      <c r="DV66" s="163"/>
      <c r="DW66" s="163"/>
      <c r="DX66" s="163"/>
      <c r="DY66" s="163"/>
      <c r="DZ66" s="163"/>
      <c r="EA66" s="163"/>
      <c r="EB66" s="163"/>
      <c r="EC66" s="163"/>
      <c r="ED66" s="163"/>
      <c r="EE66" s="163"/>
      <c r="EF66" s="163"/>
      <c r="EG66" s="163"/>
      <c r="EH66" s="163"/>
      <c r="EI66" s="163"/>
      <c r="EJ66" s="163"/>
      <c r="EK66" s="163"/>
      <c r="EL66" s="163"/>
      <c r="EM66" s="163"/>
      <c r="EN66" s="163"/>
      <c r="EO66" s="163"/>
      <c r="EP66" s="163"/>
      <c r="EQ66" s="163"/>
      <c r="ER66" s="163"/>
      <c r="ES66" s="163"/>
      <c r="ET66" s="163"/>
      <c r="EU66" s="163"/>
      <c r="EV66" s="163"/>
      <c r="EW66" s="163"/>
      <c r="EX66" s="163"/>
      <c r="EY66" s="163"/>
      <c r="EZ66" s="80"/>
      <c r="FA66" s="80"/>
      <c r="FB66" s="80"/>
      <c r="FC66" s="80"/>
      <c r="FD66" s="80"/>
      <c r="FE66" s="80"/>
      <c r="FF66" s="80"/>
      <c r="FG66" s="80"/>
      <c r="FH66" s="80"/>
      <c r="FI66" s="80"/>
      <c r="FJ66" s="80"/>
      <c r="FK66" s="80"/>
      <c r="FL66" s="118">
        <v>0</v>
      </c>
      <c r="FM66" s="80"/>
      <c r="FN66" s="80"/>
      <c r="FO66" s="80"/>
      <c r="FP66" s="80"/>
      <c r="FQ66" s="80"/>
      <c r="FR66" s="80"/>
      <c r="FS66" s="80"/>
      <c r="FT66" s="80"/>
      <c r="FU66" s="80"/>
      <c r="FV66" s="80"/>
      <c r="FW66" s="80"/>
      <c r="FX66" s="80"/>
      <c r="FY66" s="80"/>
      <c r="GA66" s="129"/>
    </row>
    <row r="67" spans="1:183" s="124" customFormat="1">
      <c r="A67" s="265"/>
      <c r="B67" s="269" t="s">
        <v>58</v>
      </c>
      <c r="C67" s="270"/>
      <c r="D67" s="264">
        <v>0</v>
      </c>
      <c r="E67" s="264">
        <f t="shared" si="22"/>
        <v>0</v>
      </c>
      <c r="F67" s="264">
        <f t="shared" si="23"/>
        <v>0</v>
      </c>
      <c r="G67" s="264">
        <v>0</v>
      </c>
      <c r="H67" s="264">
        <f t="shared" si="24"/>
        <v>0</v>
      </c>
      <c r="I67" s="264">
        <f t="shared" si="25"/>
        <v>0</v>
      </c>
      <c r="J67" s="264">
        <v>0</v>
      </c>
      <c r="K67" s="264">
        <f t="shared" si="19"/>
        <v>0</v>
      </c>
      <c r="L67" s="264">
        <f t="shared" si="28"/>
        <v>0</v>
      </c>
      <c r="M67" s="264">
        <v>0</v>
      </c>
      <c r="N67" s="264">
        <f t="shared" si="21"/>
        <v>0</v>
      </c>
      <c r="O67" s="264">
        <v>0</v>
      </c>
      <c r="P67" s="321">
        <f t="shared" si="18"/>
        <v>0</v>
      </c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3"/>
      <c r="BN67" s="163"/>
      <c r="BO67" s="163"/>
      <c r="BP67" s="163"/>
      <c r="BQ67" s="163"/>
      <c r="BR67" s="163"/>
      <c r="BS67" s="163"/>
      <c r="BT67" s="163"/>
      <c r="BU67" s="163"/>
      <c r="BV67" s="163"/>
      <c r="BW67" s="163"/>
      <c r="BX67" s="163"/>
      <c r="BY67" s="163"/>
      <c r="BZ67" s="163"/>
      <c r="CA67" s="163"/>
      <c r="CB67" s="163"/>
      <c r="CC67" s="163"/>
      <c r="CD67" s="163"/>
      <c r="CE67" s="163"/>
      <c r="CF67" s="163"/>
      <c r="CG67" s="163"/>
      <c r="CH67" s="163"/>
      <c r="CI67" s="163"/>
      <c r="CJ67" s="163"/>
      <c r="CK67" s="163"/>
      <c r="CL67" s="163"/>
      <c r="CM67" s="163"/>
      <c r="CN67" s="163"/>
      <c r="CO67" s="163"/>
      <c r="CP67" s="163"/>
      <c r="CQ67" s="163"/>
      <c r="CR67" s="163"/>
      <c r="CS67" s="163"/>
      <c r="CT67" s="163"/>
      <c r="CU67" s="163"/>
      <c r="CV67" s="163"/>
      <c r="CW67" s="163"/>
      <c r="CX67" s="163"/>
      <c r="CY67" s="163"/>
      <c r="CZ67" s="163"/>
      <c r="DA67" s="163"/>
      <c r="DB67" s="163"/>
      <c r="DC67" s="163"/>
      <c r="DD67" s="163"/>
      <c r="DE67" s="163"/>
      <c r="DF67" s="163"/>
      <c r="DG67" s="163"/>
      <c r="DH67" s="163"/>
      <c r="DI67" s="163"/>
      <c r="DJ67" s="163"/>
      <c r="DK67" s="163"/>
      <c r="DL67" s="163"/>
      <c r="DM67" s="163"/>
      <c r="DN67" s="163"/>
      <c r="DO67" s="163"/>
      <c r="DP67" s="163"/>
      <c r="DQ67" s="163"/>
      <c r="DR67" s="163"/>
      <c r="DS67" s="163"/>
      <c r="DT67" s="163"/>
      <c r="DU67" s="163"/>
      <c r="DV67" s="163"/>
      <c r="DW67" s="163"/>
      <c r="DX67" s="163"/>
      <c r="DY67" s="163"/>
      <c r="DZ67" s="163"/>
      <c r="EA67" s="163"/>
      <c r="EB67" s="163"/>
      <c r="EC67" s="163"/>
      <c r="ED67" s="163"/>
      <c r="EE67" s="163"/>
      <c r="EF67" s="163"/>
      <c r="EG67" s="163"/>
      <c r="EH67" s="163"/>
      <c r="EI67" s="163"/>
      <c r="EJ67" s="163"/>
      <c r="EK67" s="163"/>
      <c r="EL67" s="163"/>
      <c r="EM67" s="163"/>
      <c r="EN67" s="163"/>
      <c r="EO67" s="163"/>
      <c r="EP67" s="163"/>
      <c r="EQ67" s="163"/>
      <c r="ER67" s="163"/>
      <c r="ES67" s="163"/>
      <c r="ET67" s="163"/>
      <c r="EU67" s="163"/>
      <c r="EV67" s="163"/>
      <c r="EW67" s="163"/>
      <c r="EX67" s="163"/>
      <c r="EY67" s="163"/>
      <c r="EZ67" s="80"/>
      <c r="FA67" s="80"/>
      <c r="FB67" s="80"/>
      <c r="FC67" s="80"/>
      <c r="FD67" s="80"/>
      <c r="FE67" s="80"/>
      <c r="FF67" s="80"/>
      <c r="FG67" s="80"/>
      <c r="FH67" s="80"/>
      <c r="FI67" s="80"/>
      <c r="FJ67" s="80"/>
      <c r="FK67" s="80"/>
      <c r="FL67" s="118">
        <v>0</v>
      </c>
      <c r="FM67" s="80"/>
      <c r="FN67" s="80"/>
      <c r="FO67" s="80"/>
      <c r="FP67" s="80"/>
      <c r="FQ67" s="80"/>
      <c r="FR67" s="80"/>
      <c r="FS67" s="80"/>
      <c r="FT67" s="80"/>
      <c r="FU67" s="80"/>
      <c r="FV67" s="80"/>
      <c r="FW67" s="80"/>
      <c r="FX67" s="80"/>
      <c r="FY67" s="80"/>
      <c r="GA67" s="129"/>
    </row>
    <row r="68" spans="1:183" s="124" customFormat="1">
      <c r="A68" s="265"/>
      <c r="B68" s="270">
        <v>6600</v>
      </c>
      <c r="C68" s="270" t="s">
        <v>59</v>
      </c>
      <c r="D68" s="264">
        <f>'CF 2018'!O69*1.05</f>
        <v>9624100.3505327683</v>
      </c>
      <c r="E68" s="264">
        <f t="shared" si="22"/>
        <v>9816582.3575434238</v>
      </c>
      <c r="F68" s="264">
        <f t="shared" si="23"/>
        <v>10012914.004694292</v>
      </c>
      <c r="G68" s="264">
        <v>50000000</v>
      </c>
      <c r="H68" s="264">
        <f>E68</f>
        <v>9816582.3575434238</v>
      </c>
      <c r="I68" s="264">
        <f t="shared" si="25"/>
        <v>9914748.1811188571</v>
      </c>
      <c r="J68" s="264">
        <v>7107787.0666434597</v>
      </c>
      <c r="K68" s="264">
        <f t="shared" si="19"/>
        <v>7249942.8079763288</v>
      </c>
      <c r="L68" s="264">
        <f t="shared" si="28"/>
        <v>7104943.9518168019</v>
      </c>
      <c r="M68" s="264">
        <v>7368429.239990457</v>
      </c>
      <c r="N68" s="264">
        <f t="shared" si="21"/>
        <v>7221060.6551906476</v>
      </c>
      <c r="O68" s="264">
        <v>7894063.1562256869</v>
      </c>
      <c r="P68" s="321">
        <f t="shared" si="18"/>
        <v>143131154.12927616</v>
      </c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3"/>
      <c r="BN68" s="163"/>
      <c r="BO68" s="163"/>
      <c r="BP68" s="163"/>
      <c r="BQ68" s="163"/>
      <c r="BR68" s="163"/>
      <c r="BS68" s="163"/>
      <c r="BT68" s="163"/>
      <c r="BU68" s="163"/>
      <c r="BV68" s="163"/>
      <c r="BW68" s="163"/>
      <c r="BX68" s="163"/>
      <c r="BY68" s="163"/>
      <c r="BZ68" s="163"/>
      <c r="CA68" s="163"/>
      <c r="CB68" s="163"/>
      <c r="CC68" s="163"/>
      <c r="CD68" s="163"/>
      <c r="CE68" s="163"/>
      <c r="CF68" s="163"/>
      <c r="CG68" s="163"/>
      <c r="CH68" s="163"/>
      <c r="CI68" s="163"/>
      <c r="CJ68" s="163"/>
      <c r="CK68" s="163"/>
      <c r="CL68" s="163"/>
      <c r="CM68" s="163"/>
      <c r="CN68" s="163"/>
      <c r="CO68" s="163"/>
      <c r="CP68" s="163"/>
      <c r="CQ68" s="163"/>
      <c r="CR68" s="163"/>
      <c r="CS68" s="163"/>
      <c r="CT68" s="163"/>
      <c r="CU68" s="163"/>
      <c r="CV68" s="163"/>
      <c r="CW68" s="163"/>
      <c r="CX68" s="163"/>
      <c r="CY68" s="163"/>
      <c r="CZ68" s="163"/>
      <c r="DA68" s="163"/>
      <c r="DB68" s="163"/>
      <c r="DC68" s="163"/>
      <c r="DD68" s="163"/>
      <c r="DE68" s="163"/>
      <c r="DF68" s="163"/>
      <c r="DG68" s="163"/>
      <c r="DH68" s="163"/>
      <c r="DI68" s="163"/>
      <c r="DJ68" s="163"/>
      <c r="DK68" s="163"/>
      <c r="DL68" s="163"/>
      <c r="DM68" s="163"/>
      <c r="DN68" s="163"/>
      <c r="DO68" s="163"/>
      <c r="DP68" s="163"/>
      <c r="DQ68" s="163"/>
      <c r="DR68" s="163"/>
      <c r="DS68" s="163"/>
      <c r="DT68" s="163"/>
      <c r="DU68" s="163"/>
      <c r="DV68" s="163"/>
      <c r="DW68" s="163"/>
      <c r="DX68" s="163"/>
      <c r="DY68" s="163"/>
      <c r="DZ68" s="163"/>
      <c r="EA68" s="163"/>
      <c r="EB68" s="163"/>
      <c r="EC68" s="163"/>
      <c r="ED68" s="163"/>
      <c r="EE68" s="163"/>
      <c r="EF68" s="163"/>
      <c r="EG68" s="163"/>
      <c r="EH68" s="163"/>
      <c r="EI68" s="163"/>
      <c r="EJ68" s="163"/>
      <c r="EK68" s="163"/>
      <c r="EL68" s="163"/>
      <c r="EM68" s="163"/>
      <c r="EN68" s="163"/>
      <c r="EO68" s="163"/>
      <c r="EP68" s="163"/>
      <c r="EQ68" s="163"/>
      <c r="ER68" s="163"/>
      <c r="ES68" s="163"/>
      <c r="ET68" s="163"/>
      <c r="EU68" s="163"/>
      <c r="EV68" s="163"/>
      <c r="EW68" s="163"/>
      <c r="EX68" s="163"/>
      <c r="EY68" s="163"/>
      <c r="EZ68" s="80"/>
      <c r="FA68" s="80"/>
      <c r="FB68" s="80"/>
      <c r="FC68" s="80"/>
      <c r="FD68" s="80"/>
      <c r="FE68" s="80"/>
      <c r="FF68" s="80"/>
      <c r="FG68" s="80"/>
      <c r="FH68" s="80"/>
      <c r="FI68" s="80"/>
      <c r="FJ68" s="80"/>
      <c r="FK68" s="80"/>
      <c r="FL68" s="118">
        <v>4000000</v>
      </c>
      <c r="FM68" s="80"/>
      <c r="FN68" s="80"/>
      <c r="FO68" s="80"/>
      <c r="FP68" s="80"/>
      <c r="FQ68" s="80"/>
      <c r="FR68" s="80"/>
      <c r="FS68" s="80"/>
      <c r="FT68" s="80"/>
      <c r="FU68" s="80"/>
      <c r="FV68" s="80"/>
      <c r="FW68" s="80"/>
      <c r="FX68" s="80"/>
      <c r="FY68" s="80"/>
      <c r="GA68" s="129">
        <v>4</v>
      </c>
    </row>
    <row r="69" spans="1:183" s="124" customFormat="1">
      <c r="A69" s="265"/>
      <c r="B69" s="270">
        <v>6600</v>
      </c>
      <c r="C69" s="270" t="s">
        <v>60</v>
      </c>
      <c r="D69" s="264">
        <v>0</v>
      </c>
      <c r="E69" s="264">
        <f t="shared" si="22"/>
        <v>0</v>
      </c>
      <c r="F69" s="264">
        <f t="shared" si="23"/>
        <v>0</v>
      </c>
      <c r="G69" s="264">
        <v>19000000</v>
      </c>
      <c r="H69" s="264"/>
      <c r="I69" s="264">
        <f t="shared" si="25"/>
        <v>0</v>
      </c>
      <c r="J69" s="264">
        <v>0</v>
      </c>
      <c r="K69" s="264">
        <f t="shared" si="19"/>
        <v>0</v>
      </c>
      <c r="L69" s="264">
        <f t="shared" si="28"/>
        <v>0</v>
      </c>
      <c r="M69" s="264">
        <v>0</v>
      </c>
      <c r="N69" s="264">
        <f t="shared" si="21"/>
        <v>0</v>
      </c>
      <c r="O69" s="264">
        <v>0</v>
      </c>
      <c r="P69" s="321">
        <f t="shared" si="18"/>
        <v>19000000</v>
      </c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163"/>
      <c r="BN69" s="163"/>
      <c r="BO69" s="163"/>
      <c r="BP69" s="163"/>
      <c r="BQ69" s="163"/>
      <c r="BR69" s="163"/>
      <c r="BS69" s="163"/>
      <c r="BT69" s="163"/>
      <c r="BU69" s="163"/>
      <c r="BV69" s="163"/>
      <c r="BW69" s="163"/>
      <c r="BX69" s="163"/>
      <c r="BY69" s="163"/>
      <c r="BZ69" s="163"/>
      <c r="CA69" s="163"/>
      <c r="CB69" s="163"/>
      <c r="CC69" s="163"/>
      <c r="CD69" s="163"/>
      <c r="CE69" s="163"/>
      <c r="CF69" s="163"/>
      <c r="CG69" s="163"/>
      <c r="CH69" s="163"/>
      <c r="CI69" s="163"/>
      <c r="CJ69" s="163"/>
      <c r="CK69" s="163"/>
      <c r="CL69" s="163"/>
      <c r="CM69" s="163"/>
      <c r="CN69" s="163"/>
      <c r="CO69" s="163"/>
      <c r="CP69" s="163"/>
      <c r="CQ69" s="163"/>
      <c r="CR69" s="163"/>
      <c r="CS69" s="163"/>
      <c r="CT69" s="163"/>
      <c r="CU69" s="163"/>
      <c r="CV69" s="163"/>
      <c r="CW69" s="163"/>
      <c r="CX69" s="163"/>
      <c r="CY69" s="163"/>
      <c r="CZ69" s="163"/>
      <c r="DA69" s="163"/>
      <c r="DB69" s="163"/>
      <c r="DC69" s="163"/>
      <c r="DD69" s="163"/>
      <c r="DE69" s="163"/>
      <c r="DF69" s="163"/>
      <c r="DG69" s="163"/>
      <c r="DH69" s="163"/>
      <c r="DI69" s="163"/>
      <c r="DJ69" s="163"/>
      <c r="DK69" s="163"/>
      <c r="DL69" s="163"/>
      <c r="DM69" s="163"/>
      <c r="DN69" s="163"/>
      <c r="DO69" s="163"/>
      <c r="DP69" s="163"/>
      <c r="DQ69" s="163"/>
      <c r="DR69" s="163"/>
      <c r="DS69" s="163"/>
      <c r="DT69" s="163"/>
      <c r="DU69" s="163"/>
      <c r="DV69" s="163"/>
      <c r="DW69" s="163"/>
      <c r="DX69" s="163"/>
      <c r="DY69" s="163"/>
      <c r="DZ69" s="163"/>
      <c r="EA69" s="163"/>
      <c r="EB69" s="163"/>
      <c r="EC69" s="163"/>
      <c r="ED69" s="163"/>
      <c r="EE69" s="163"/>
      <c r="EF69" s="163"/>
      <c r="EG69" s="163"/>
      <c r="EH69" s="163"/>
      <c r="EI69" s="163"/>
      <c r="EJ69" s="163"/>
      <c r="EK69" s="163"/>
      <c r="EL69" s="163"/>
      <c r="EM69" s="163"/>
      <c r="EN69" s="163"/>
      <c r="EO69" s="163"/>
      <c r="EP69" s="163"/>
      <c r="EQ69" s="163"/>
      <c r="ER69" s="163"/>
      <c r="ES69" s="163"/>
      <c r="ET69" s="163"/>
      <c r="EU69" s="163"/>
      <c r="EV69" s="163"/>
      <c r="EW69" s="163"/>
      <c r="EX69" s="163"/>
      <c r="EY69" s="163"/>
      <c r="EZ69" s="80"/>
      <c r="FA69" s="80"/>
      <c r="FB69" s="80"/>
      <c r="FC69" s="80"/>
      <c r="FD69" s="80"/>
      <c r="FE69" s="80"/>
      <c r="FF69" s="80"/>
      <c r="FG69" s="80"/>
      <c r="FH69" s="80"/>
      <c r="FI69" s="80"/>
      <c r="FJ69" s="80"/>
      <c r="FK69" s="80"/>
      <c r="FL69" s="118">
        <v>0</v>
      </c>
      <c r="FM69" s="80"/>
      <c r="FN69" s="80"/>
      <c r="FO69" s="80"/>
      <c r="FP69" s="80"/>
      <c r="FQ69" s="80"/>
      <c r="FR69" s="80"/>
      <c r="FS69" s="80"/>
      <c r="FT69" s="80"/>
      <c r="FU69" s="80"/>
      <c r="FV69" s="80"/>
      <c r="FW69" s="80"/>
      <c r="FX69" s="80"/>
      <c r="FY69" s="80"/>
      <c r="GA69" s="129"/>
    </row>
    <row r="70" spans="1:183">
      <c r="A70" s="265"/>
      <c r="B70" s="270"/>
      <c r="C70" s="270"/>
      <c r="D70" s="264">
        <v>0</v>
      </c>
      <c r="E70" s="264">
        <f t="shared" si="22"/>
        <v>0</v>
      </c>
      <c r="F70" s="264">
        <f t="shared" si="23"/>
        <v>0</v>
      </c>
      <c r="G70" s="264">
        <v>0</v>
      </c>
      <c r="H70" s="264">
        <f t="shared" si="24"/>
        <v>0</v>
      </c>
      <c r="I70" s="264">
        <f t="shared" si="25"/>
        <v>0</v>
      </c>
      <c r="J70" s="264">
        <v>0</v>
      </c>
      <c r="K70" s="264">
        <f t="shared" si="19"/>
        <v>0</v>
      </c>
      <c r="L70" s="264">
        <f t="shared" si="28"/>
        <v>0</v>
      </c>
      <c r="M70" s="264">
        <v>0</v>
      </c>
      <c r="N70" s="264">
        <f t="shared" si="21"/>
        <v>0</v>
      </c>
      <c r="O70" s="264">
        <v>0</v>
      </c>
      <c r="P70" s="321">
        <f t="shared" si="18"/>
        <v>0</v>
      </c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3"/>
      <c r="BV70" s="163"/>
      <c r="BW70" s="163"/>
      <c r="BX70" s="163"/>
      <c r="BY70" s="163"/>
      <c r="BZ70" s="163"/>
      <c r="CA70" s="163"/>
      <c r="CB70" s="163"/>
      <c r="CC70" s="163"/>
      <c r="CD70" s="163"/>
      <c r="CE70" s="163"/>
      <c r="CF70" s="163"/>
      <c r="CG70" s="163"/>
      <c r="CH70" s="163"/>
      <c r="CI70" s="163"/>
      <c r="CJ70" s="163"/>
      <c r="CK70" s="163"/>
      <c r="CL70" s="163"/>
      <c r="CM70" s="163"/>
      <c r="CN70" s="163"/>
      <c r="CO70" s="163"/>
      <c r="CP70" s="163"/>
      <c r="CQ70" s="163"/>
      <c r="CR70" s="163"/>
      <c r="CS70" s="163"/>
      <c r="CT70" s="163"/>
      <c r="CU70" s="163"/>
      <c r="CV70" s="163"/>
      <c r="CW70" s="163"/>
      <c r="CX70" s="163"/>
      <c r="CY70" s="163"/>
      <c r="CZ70" s="163"/>
      <c r="DA70" s="163"/>
      <c r="DB70" s="163"/>
      <c r="DC70" s="163"/>
      <c r="DD70" s="163"/>
      <c r="DE70" s="163"/>
      <c r="DF70" s="163"/>
      <c r="DG70" s="163"/>
      <c r="DH70" s="163"/>
      <c r="DI70" s="163"/>
      <c r="DJ70" s="163"/>
      <c r="DK70" s="163"/>
      <c r="DL70" s="163"/>
      <c r="DM70" s="163"/>
      <c r="DN70" s="163"/>
      <c r="DO70" s="163"/>
      <c r="DP70" s="163"/>
      <c r="DQ70" s="163"/>
      <c r="DR70" s="163"/>
      <c r="DS70" s="163"/>
      <c r="DT70" s="163"/>
      <c r="DU70" s="163"/>
      <c r="DV70" s="163"/>
      <c r="DW70" s="163"/>
      <c r="DX70" s="163"/>
      <c r="DY70" s="163"/>
      <c r="DZ70" s="163"/>
      <c r="EA70" s="163"/>
      <c r="EB70" s="163"/>
      <c r="EC70" s="163"/>
      <c r="ED70" s="163"/>
      <c r="EE70" s="163"/>
      <c r="EF70" s="163"/>
      <c r="EG70" s="163"/>
      <c r="EH70" s="163"/>
      <c r="EI70" s="163"/>
      <c r="EJ70" s="163"/>
      <c r="EK70" s="163"/>
      <c r="EL70" s="163"/>
      <c r="EM70" s="163"/>
      <c r="EN70" s="163"/>
      <c r="EO70" s="163"/>
      <c r="EP70" s="163"/>
      <c r="EQ70" s="163"/>
      <c r="ER70" s="163"/>
      <c r="ES70" s="163"/>
      <c r="ET70" s="163"/>
      <c r="EU70" s="163"/>
      <c r="EV70" s="163"/>
      <c r="EW70" s="163"/>
      <c r="EX70" s="163"/>
      <c r="EY70" s="163"/>
      <c r="EZ70" s="80"/>
      <c r="FA70" s="80"/>
      <c r="FB70" s="80"/>
      <c r="FC70" s="80"/>
      <c r="FD70" s="80"/>
      <c r="FE70" s="80"/>
      <c r="FF70" s="80"/>
      <c r="FG70" s="80"/>
      <c r="FH70" s="80"/>
      <c r="FI70" s="80"/>
      <c r="FJ70" s="80"/>
      <c r="FK70" s="80"/>
      <c r="FL70" s="117">
        <v>0</v>
      </c>
      <c r="FM70" s="81"/>
      <c r="FN70" s="81"/>
      <c r="FO70" s="81"/>
      <c r="FP70" s="81"/>
      <c r="FQ70" s="81"/>
      <c r="FR70" s="81"/>
      <c r="FS70" s="81"/>
      <c r="FT70" s="81"/>
      <c r="FU70" s="81"/>
      <c r="FV70" s="81"/>
      <c r="FW70" s="81"/>
      <c r="FX70" s="81"/>
      <c r="FY70" s="81"/>
      <c r="GA70" s="73"/>
    </row>
    <row r="71" spans="1:183">
      <c r="A71" s="265"/>
      <c r="B71" s="269" t="s">
        <v>61</v>
      </c>
      <c r="C71" s="270"/>
      <c r="D71" s="264">
        <v>0</v>
      </c>
      <c r="E71" s="264">
        <f t="shared" si="22"/>
        <v>0</v>
      </c>
      <c r="F71" s="264">
        <f t="shared" si="23"/>
        <v>0</v>
      </c>
      <c r="G71" s="264">
        <v>0</v>
      </c>
      <c r="H71" s="264">
        <f t="shared" si="24"/>
        <v>0</v>
      </c>
      <c r="I71" s="264">
        <f t="shared" si="25"/>
        <v>0</v>
      </c>
      <c r="J71" s="264">
        <v>0</v>
      </c>
      <c r="K71" s="264">
        <f t="shared" si="19"/>
        <v>0</v>
      </c>
      <c r="L71" s="264">
        <f t="shared" si="28"/>
        <v>0</v>
      </c>
      <c r="M71" s="264">
        <v>0</v>
      </c>
      <c r="N71" s="264">
        <f t="shared" si="21"/>
        <v>0</v>
      </c>
      <c r="O71" s="264">
        <v>0</v>
      </c>
      <c r="P71" s="321">
        <f t="shared" si="18"/>
        <v>0</v>
      </c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163"/>
      <c r="BN71" s="163"/>
      <c r="BO71" s="163"/>
      <c r="BP71" s="163"/>
      <c r="BQ71" s="163"/>
      <c r="BR71" s="163"/>
      <c r="BS71" s="163"/>
      <c r="BT71" s="163"/>
      <c r="BU71" s="163"/>
      <c r="BV71" s="163"/>
      <c r="BW71" s="163"/>
      <c r="BX71" s="163"/>
      <c r="BY71" s="163"/>
      <c r="BZ71" s="163"/>
      <c r="CA71" s="163"/>
      <c r="CB71" s="163"/>
      <c r="CC71" s="163"/>
      <c r="CD71" s="163"/>
      <c r="CE71" s="163"/>
      <c r="CF71" s="163"/>
      <c r="CG71" s="163"/>
      <c r="CH71" s="163"/>
      <c r="CI71" s="163"/>
      <c r="CJ71" s="163"/>
      <c r="CK71" s="163"/>
      <c r="CL71" s="163"/>
      <c r="CM71" s="163"/>
      <c r="CN71" s="163"/>
      <c r="CO71" s="163"/>
      <c r="CP71" s="163"/>
      <c r="CQ71" s="163"/>
      <c r="CR71" s="163"/>
      <c r="CS71" s="163"/>
      <c r="CT71" s="163"/>
      <c r="CU71" s="163"/>
      <c r="CV71" s="163"/>
      <c r="CW71" s="163"/>
      <c r="CX71" s="163"/>
      <c r="CY71" s="163"/>
      <c r="CZ71" s="163"/>
      <c r="DA71" s="163"/>
      <c r="DB71" s="163"/>
      <c r="DC71" s="163"/>
      <c r="DD71" s="163"/>
      <c r="DE71" s="163"/>
      <c r="DF71" s="163"/>
      <c r="DG71" s="163"/>
      <c r="DH71" s="163"/>
      <c r="DI71" s="163"/>
      <c r="DJ71" s="163"/>
      <c r="DK71" s="163"/>
      <c r="DL71" s="163"/>
      <c r="DM71" s="163"/>
      <c r="DN71" s="163"/>
      <c r="DO71" s="163"/>
      <c r="DP71" s="163"/>
      <c r="DQ71" s="163"/>
      <c r="DR71" s="163"/>
      <c r="DS71" s="163"/>
      <c r="DT71" s="163"/>
      <c r="DU71" s="163"/>
      <c r="DV71" s="163"/>
      <c r="DW71" s="163"/>
      <c r="DX71" s="163"/>
      <c r="DY71" s="163"/>
      <c r="DZ71" s="163"/>
      <c r="EA71" s="163"/>
      <c r="EB71" s="163"/>
      <c r="EC71" s="163"/>
      <c r="ED71" s="163"/>
      <c r="EE71" s="163"/>
      <c r="EF71" s="163"/>
      <c r="EG71" s="163"/>
      <c r="EH71" s="163"/>
      <c r="EI71" s="163"/>
      <c r="EJ71" s="163"/>
      <c r="EK71" s="163"/>
      <c r="EL71" s="163"/>
      <c r="EM71" s="163"/>
      <c r="EN71" s="163"/>
      <c r="EO71" s="163"/>
      <c r="EP71" s="163"/>
      <c r="EQ71" s="163"/>
      <c r="ER71" s="163"/>
      <c r="ES71" s="163"/>
      <c r="ET71" s="163"/>
      <c r="EU71" s="163"/>
      <c r="EV71" s="163"/>
      <c r="EW71" s="163"/>
      <c r="EX71" s="163"/>
      <c r="EY71" s="163"/>
      <c r="EZ71" s="80"/>
      <c r="FA71" s="80"/>
      <c r="FB71" s="80"/>
      <c r="FC71" s="80"/>
      <c r="FD71" s="80"/>
      <c r="FE71" s="80"/>
      <c r="FF71" s="80"/>
      <c r="FG71" s="80"/>
      <c r="FH71" s="80"/>
      <c r="FI71" s="80"/>
      <c r="FJ71" s="80"/>
      <c r="FK71" s="80"/>
      <c r="FL71" s="117">
        <v>0</v>
      </c>
      <c r="FM71" s="81"/>
      <c r="FN71" s="81"/>
      <c r="FO71" s="81"/>
      <c r="FP71" s="81"/>
      <c r="FQ71" s="81"/>
      <c r="FR71" s="81"/>
      <c r="FS71" s="81"/>
      <c r="FT71" s="81"/>
      <c r="FU71" s="81"/>
      <c r="FV71" s="81"/>
      <c r="FW71" s="81"/>
      <c r="FX71" s="81"/>
      <c r="FY71" s="81"/>
      <c r="GA71" s="73"/>
    </row>
    <row r="72" spans="1:183">
      <c r="A72" s="265"/>
      <c r="B72" s="270">
        <v>6200</v>
      </c>
      <c r="C72" s="270" t="s">
        <v>62</v>
      </c>
      <c r="D72" s="264">
        <v>13301201.83221782</v>
      </c>
      <c r="E72" s="264">
        <f t="shared" si="22"/>
        <v>13567225.868862176</v>
      </c>
      <c r="F72" s="264">
        <f t="shared" si="23"/>
        <v>13838570.386239421</v>
      </c>
      <c r="G72" s="264">
        <v>16029434.616168015</v>
      </c>
      <c r="H72" s="264">
        <f t="shared" si="24"/>
        <v>16189728.962329695</v>
      </c>
      <c r="I72" s="264">
        <f t="shared" si="25"/>
        <v>16351626.251952993</v>
      </c>
      <c r="J72" s="264">
        <v>15992520.899947781</v>
      </c>
      <c r="K72" s="264">
        <f t="shared" si="19"/>
        <v>16312371.317946738</v>
      </c>
      <c r="L72" s="264">
        <f t="shared" si="28"/>
        <v>15986123.891587803</v>
      </c>
      <c r="M72" s="264">
        <v>16578965.789978523</v>
      </c>
      <c r="N72" s="264">
        <f t="shared" si="21"/>
        <v>16247386.474178953</v>
      </c>
      <c r="O72" s="264">
        <v>17761642.10150779</v>
      </c>
      <c r="P72" s="321">
        <f t="shared" si="18"/>
        <v>188156798.39291769</v>
      </c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163"/>
      <c r="BK72" s="163"/>
      <c r="BL72" s="163"/>
      <c r="BM72" s="163"/>
      <c r="BN72" s="163"/>
      <c r="BO72" s="163"/>
      <c r="BP72" s="163"/>
      <c r="BQ72" s="163"/>
      <c r="BR72" s="163"/>
      <c r="BS72" s="163"/>
      <c r="BT72" s="163"/>
      <c r="BU72" s="163"/>
      <c r="BV72" s="163"/>
      <c r="BW72" s="163"/>
      <c r="BX72" s="163"/>
      <c r="BY72" s="163"/>
      <c r="BZ72" s="163"/>
      <c r="CA72" s="163"/>
      <c r="CB72" s="163"/>
      <c r="CC72" s="163"/>
      <c r="CD72" s="163"/>
      <c r="CE72" s="163"/>
      <c r="CF72" s="163"/>
      <c r="CG72" s="163"/>
      <c r="CH72" s="163"/>
      <c r="CI72" s="163"/>
      <c r="CJ72" s="163"/>
      <c r="CK72" s="163"/>
      <c r="CL72" s="163"/>
      <c r="CM72" s="163"/>
      <c r="CN72" s="163"/>
      <c r="CO72" s="163"/>
      <c r="CP72" s="163"/>
      <c r="CQ72" s="163"/>
      <c r="CR72" s="163"/>
      <c r="CS72" s="163"/>
      <c r="CT72" s="163"/>
      <c r="CU72" s="163"/>
      <c r="CV72" s="163"/>
      <c r="CW72" s="163"/>
      <c r="CX72" s="163"/>
      <c r="CY72" s="163"/>
      <c r="CZ72" s="163"/>
      <c r="DA72" s="163"/>
      <c r="DB72" s="163"/>
      <c r="DC72" s="163"/>
      <c r="DD72" s="163"/>
      <c r="DE72" s="163"/>
      <c r="DF72" s="163"/>
      <c r="DG72" s="163"/>
      <c r="DH72" s="163"/>
      <c r="DI72" s="163"/>
      <c r="DJ72" s="163"/>
      <c r="DK72" s="163"/>
      <c r="DL72" s="163"/>
      <c r="DM72" s="163"/>
      <c r="DN72" s="163"/>
      <c r="DO72" s="163"/>
      <c r="DP72" s="163"/>
      <c r="DQ72" s="163"/>
      <c r="DR72" s="163"/>
      <c r="DS72" s="163"/>
      <c r="DT72" s="163"/>
      <c r="DU72" s="163"/>
      <c r="DV72" s="163"/>
      <c r="DW72" s="163"/>
      <c r="DX72" s="163"/>
      <c r="DY72" s="163"/>
      <c r="DZ72" s="163"/>
      <c r="EA72" s="163"/>
      <c r="EB72" s="163"/>
      <c r="EC72" s="163"/>
      <c r="ED72" s="163"/>
      <c r="EE72" s="163"/>
      <c r="EF72" s="163"/>
      <c r="EG72" s="163"/>
      <c r="EH72" s="163"/>
      <c r="EI72" s="163"/>
      <c r="EJ72" s="163"/>
      <c r="EK72" s="163"/>
      <c r="EL72" s="163"/>
      <c r="EM72" s="163"/>
      <c r="EN72" s="163"/>
      <c r="EO72" s="163"/>
      <c r="EP72" s="163"/>
      <c r="EQ72" s="163"/>
      <c r="ER72" s="163"/>
      <c r="ES72" s="163"/>
      <c r="ET72" s="163"/>
      <c r="EU72" s="163"/>
      <c r="EV72" s="163"/>
      <c r="EW72" s="163"/>
      <c r="EX72" s="163"/>
      <c r="EY72" s="163"/>
      <c r="EZ72" s="80"/>
      <c r="FA72" s="80"/>
      <c r="FB72" s="80"/>
      <c r="FC72" s="80"/>
      <c r="FD72" s="80"/>
      <c r="FE72" s="80"/>
      <c r="FF72" s="80"/>
      <c r="FG72" s="80"/>
      <c r="FH72" s="80"/>
      <c r="FI72" s="80"/>
      <c r="FJ72" s="80"/>
      <c r="FK72" s="80"/>
      <c r="FL72" s="117">
        <v>9000000</v>
      </c>
      <c r="FM72" s="81"/>
      <c r="FN72" s="81"/>
      <c r="FO72" s="81"/>
      <c r="FP72" s="81"/>
      <c r="FQ72" s="81"/>
      <c r="FR72" s="81"/>
      <c r="FS72" s="81"/>
      <c r="FT72" s="81"/>
      <c r="FU72" s="81"/>
      <c r="FV72" s="81"/>
      <c r="FW72" s="81"/>
      <c r="FX72" s="81"/>
      <c r="FY72" s="81"/>
      <c r="GA72" s="73">
        <v>9</v>
      </c>
    </row>
    <row r="73" spans="1:183">
      <c r="A73" s="265"/>
      <c r="B73" s="270">
        <v>6201</v>
      </c>
      <c r="C73" s="270" t="s">
        <v>63</v>
      </c>
      <c r="D73" s="264">
        <v>5911645.2587634772</v>
      </c>
      <c r="E73" s="264">
        <f t="shared" si="22"/>
        <v>6029878.1639387468</v>
      </c>
      <c r="F73" s="264">
        <f t="shared" si="23"/>
        <v>6150475.7272175215</v>
      </c>
      <c r="G73" s="264">
        <v>7124193.1627413416</v>
      </c>
      <c r="H73" s="264">
        <f t="shared" si="24"/>
        <v>7195435.0943687549</v>
      </c>
      <c r="I73" s="264">
        <f t="shared" si="25"/>
        <v>7267389.4453124423</v>
      </c>
      <c r="J73" s="264">
        <v>7107787.0666434597</v>
      </c>
      <c r="K73" s="264">
        <f t="shared" si="19"/>
        <v>7249942.8079763288</v>
      </c>
      <c r="L73" s="264">
        <f t="shared" si="28"/>
        <v>7104943.9518168019</v>
      </c>
      <c r="M73" s="264">
        <v>7368429.239990457</v>
      </c>
      <c r="N73" s="264">
        <f t="shared" si="21"/>
        <v>7221060.6551906476</v>
      </c>
      <c r="O73" s="264">
        <v>7894063.1562256869</v>
      </c>
      <c r="P73" s="321">
        <f t="shared" si="18"/>
        <v>83625243.730185658</v>
      </c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163"/>
      <c r="BK73" s="163"/>
      <c r="BL73" s="163"/>
      <c r="BM73" s="163"/>
      <c r="BN73" s="163"/>
      <c r="BO73" s="163"/>
      <c r="BP73" s="163"/>
      <c r="BQ73" s="163"/>
      <c r="BR73" s="163"/>
      <c r="BS73" s="163"/>
      <c r="BT73" s="163"/>
      <c r="BU73" s="163"/>
      <c r="BV73" s="163"/>
      <c r="BW73" s="163"/>
      <c r="BX73" s="163"/>
      <c r="BY73" s="163"/>
      <c r="BZ73" s="163"/>
      <c r="CA73" s="163"/>
      <c r="CB73" s="163"/>
      <c r="CC73" s="163"/>
      <c r="CD73" s="163"/>
      <c r="CE73" s="163"/>
      <c r="CF73" s="163"/>
      <c r="CG73" s="163"/>
      <c r="CH73" s="163"/>
      <c r="CI73" s="163"/>
      <c r="CJ73" s="163"/>
      <c r="CK73" s="163"/>
      <c r="CL73" s="163"/>
      <c r="CM73" s="163"/>
      <c r="CN73" s="163"/>
      <c r="CO73" s="163"/>
      <c r="CP73" s="163"/>
      <c r="CQ73" s="163"/>
      <c r="CR73" s="163"/>
      <c r="CS73" s="163"/>
      <c r="CT73" s="163"/>
      <c r="CU73" s="163"/>
      <c r="CV73" s="163"/>
      <c r="CW73" s="163"/>
      <c r="CX73" s="163"/>
      <c r="CY73" s="163"/>
      <c r="CZ73" s="163"/>
      <c r="DA73" s="163"/>
      <c r="DB73" s="163"/>
      <c r="DC73" s="163"/>
      <c r="DD73" s="163"/>
      <c r="DE73" s="163"/>
      <c r="DF73" s="163"/>
      <c r="DG73" s="163"/>
      <c r="DH73" s="163"/>
      <c r="DI73" s="163"/>
      <c r="DJ73" s="163"/>
      <c r="DK73" s="163"/>
      <c r="DL73" s="163"/>
      <c r="DM73" s="163"/>
      <c r="DN73" s="163"/>
      <c r="DO73" s="163"/>
      <c r="DP73" s="163"/>
      <c r="DQ73" s="163"/>
      <c r="DR73" s="163"/>
      <c r="DS73" s="163"/>
      <c r="DT73" s="163"/>
      <c r="DU73" s="163"/>
      <c r="DV73" s="163"/>
      <c r="DW73" s="163"/>
      <c r="DX73" s="163"/>
      <c r="DY73" s="163"/>
      <c r="DZ73" s="163"/>
      <c r="EA73" s="163"/>
      <c r="EB73" s="163"/>
      <c r="EC73" s="163"/>
      <c r="ED73" s="163"/>
      <c r="EE73" s="163"/>
      <c r="EF73" s="163"/>
      <c r="EG73" s="163"/>
      <c r="EH73" s="163"/>
      <c r="EI73" s="163"/>
      <c r="EJ73" s="163"/>
      <c r="EK73" s="163"/>
      <c r="EL73" s="163"/>
      <c r="EM73" s="163"/>
      <c r="EN73" s="163"/>
      <c r="EO73" s="163"/>
      <c r="EP73" s="163"/>
      <c r="EQ73" s="163"/>
      <c r="ER73" s="163"/>
      <c r="ES73" s="163"/>
      <c r="ET73" s="163"/>
      <c r="EU73" s="163"/>
      <c r="EV73" s="163"/>
      <c r="EW73" s="163"/>
      <c r="EX73" s="163"/>
      <c r="EY73" s="163"/>
      <c r="EZ73" s="80"/>
      <c r="FA73" s="80"/>
      <c r="FB73" s="80"/>
      <c r="FC73" s="80"/>
      <c r="FD73" s="80"/>
      <c r="FE73" s="80"/>
      <c r="FF73" s="80"/>
      <c r="FG73" s="80"/>
      <c r="FH73" s="80"/>
      <c r="FI73" s="80"/>
      <c r="FJ73" s="80"/>
      <c r="FK73" s="80"/>
      <c r="FL73" s="117">
        <v>4000000</v>
      </c>
      <c r="FM73" s="81"/>
      <c r="FN73" s="81"/>
      <c r="FO73" s="81"/>
      <c r="FP73" s="81"/>
      <c r="FQ73" s="81"/>
      <c r="FR73" s="81"/>
      <c r="FS73" s="81"/>
      <c r="FT73" s="81"/>
      <c r="FU73" s="81"/>
      <c r="FV73" s="81"/>
      <c r="FW73" s="81"/>
      <c r="FX73" s="81"/>
      <c r="FY73" s="81"/>
      <c r="GA73" s="73">
        <v>4</v>
      </c>
    </row>
    <row r="74" spans="1:183">
      <c r="A74" s="265"/>
      <c r="B74" s="270">
        <v>6210</v>
      </c>
      <c r="C74" s="270" t="s">
        <v>64</v>
      </c>
      <c r="D74" s="264">
        <v>2216866.9720363035</v>
      </c>
      <c r="E74" s="264">
        <f t="shared" si="22"/>
        <v>2261204.3114770297</v>
      </c>
      <c r="F74" s="264">
        <f t="shared" si="23"/>
        <v>2306428.3977065701</v>
      </c>
      <c r="G74" s="264">
        <v>2671572.4360280028</v>
      </c>
      <c r="H74" s="264">
        <f t="shared" si="24"/>
        <v>2698288.160388283</v>
      </c>
      <c r="I74" s="264">
        <f t="shared" si="25"/>
        <v>2725271.0419921656</v>
      </c>
      <c r="J74" s="264">
        <v>2665420.1499912972</v>
      </c>
      <c r="K74" s="264">
        <f t="shared" si="19"/>
        <v>2718728.5529911229</v>
      </c>
      <c r="L74" s="264">
        <f t="shared" si="28"/>
        <v>2664353.9819313004</v>
      </c>
      <c r="M74" s="264">
        <v>2763160.9649964208</v>
      </c>
      <c r="N74" s="264">
        <f t="shared" si="21"/>
        <v>2707897.7456964925</v>
      </c>
      <c r="O74" s="264">
        <v>2960273.6835846319</v>
      </c>
      <c r="P74" s="321">
        <f t="shared" si="18"/>
        <v>31359466.398819614</v>
      </c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  <c r="BQ74" s="163"/>
      <c r="BR74" s="163"/>
      <c r="BS74" s="163"/>
      <c r="BT74" s="163"/>
      <c r="BU74" s="163"/>
      <c r="BV74" s="163"/>
      <c r="BW74" s="163"/>
      <c r="BX74" s="163"/>
      <c r="BY74" s="163"/>
      <c r="BZ74" s="163"/>
      <c r="CA74" s="163"/>
      <c r="CB74" s="163"/>
      <c r="CC74" s="163"/>
      <c r="CD74" s="163"/>
      <c r="CE74" s="163"/>
      <c r="CF74" s="163"/>
      <c r="CG74" s="163"/>
      <c r="CH74" s="163"/>
      <c r="CI74" s="163"/>
      <c r="CJ74" s="163"/>
      <c r="CK74" s="163"/>
      <c r="CL74" s="163"/>
      <c r="CM74" s="163"/>
      <c r="CN74" s="163"/>
      <c r="CO74" s="163"/>
      <c r="CP74" s="163"/>
      <c r="CQ74" s="163"/>
      <c r="CR74" s="163"/>
      <c r="CS74" s="163"/>
      <c r="CT74" s="163"/>
      <c r="CU74" s="163"/>
      <c r="CV74" s="163"/>
      <c r="CW74" s="163"/>
      <c r="CX74" s="163"/>
      <c r="CY74" s="163"/>
      <c r="CZ74" s="163"/>
      <c r="DA74" s="163"/>
      <c r="DB74" s="163"/>
      <c r="DC74" s="163"/>
      <c r="DD74" s="163"/>
      <c r="DE74" s="163"/>
      <c r="DF74" s="163"/>
      <c r="DG74" s="163"/>
      <c r="DH74" s="163"/>
      <c r="DI74" s="163"/>
      <c r="DJ74" s="163"/>
      <c r="DK74" s="163"/>
      <c r="DL74" s="163"/>
      <c r="DM74" s="163"/>
      <c r="DN74" s="163"/>
      <c r="DO74" s="163"/>
      <c r="DP74" s="163"/>
      <c r="DQ74" s="163"/>
      <c r="DR74" s="163"/>
      <c r="DS74" s="163"/>
      <c r="DT74" s="163"/>
      <c r="DU74" s="163"/>
      <c r="DV74" s="163"/>
      <c r="DW74" s="163"/>
      <c r="DX74" s="163"/>
      <c r="DY74" s="163"/>
      <c r="DZ74" s="163"/>
      <c r="EA74" s="163"/>
      <c r="EB74" s="163"/>
      <c r="EC74" s="163"/>
      <c r="ED74" s="163"/>
      <c r="EE74" s="163"/>
      <c r="EF74" s="163"/>
      <c r="EG74" s="163"/>
      <c r="EH74" s="163"/>
      <c r="EI74" s="163"/>
      <c r="EJ74" s="163"/>
      <c r="EK74" s="163"/>
      <c r="EL74" s="163"/>
      <c r="EM74" s="163"/>
      <c r="EN74" s="163"/>
      <c r="EO74" s="163"/>
      <c r="EP74" s="163"/>
      <c r="EQ74" s="163"/>
      <c r="ER74" s="163"/>
      <c r="ES74" s="163"/>
      <c r="ET74" s="163"/>
      <c r="EU74" s="163"/>
      <c r="EV74" s="163"/>
      <c r="EW74" s="163"/>
      <c r="EX74" s="163"/>
      <c r="EY74" s="163"/>
      <c r="EZ74" s="80"/>
      <c r="FA74" s="80"/>
      <c r="FB74" s="80"/>
      <c r="FC74" s="80"/>
      <c r="FD74" s="80"/>
      <c r="FE74" s="80"/>
      <c r="FF74" s="80"/>
      <c r="FG74" s="80"/>
      <c r="FH74" s="80"/>
      <c r="FI74" s="80"/>
      <c r="FJ74" s="80"/>
      <c r="FK74" s="80"/>
      <c r="FL74" s="117">
        <v>1500000</v>
      </c>
      <c r="FM74" s="81"/>
      <c r="FN74" s="81"/>
      <c r="FO74" s="81"/>
      <c r="FP74" s="81"/>
      <c r="FQ74" s="81"/>
      <c r="FR74" s="81"/>
      <c r="FS74" s="81"/>
      <c r="FT74" s="81"/>
      <c r="FU74" s="81"/>
      <c r="FV74" s="81"/>
      <c r="FW74" s="81"/>
      <c r="FX74" s="81"/>
      <c r="FY74" s="81"/>
      <c r="GA74" s="73">
        <v>1.5</v>
      </c>
    </row>
    <row r="75" spans="1:183">
      <c r="A75" s="265"/>
      <c r="B75" s="270">
        <v>6211</v>
      </c>
      <c r="C75" s="270" t="s">
        <v>65</v>
      </c>
      <c r="D75" s="264">
        <v>738955.65734543465</v>
      </c>
      <c r="E75" s="264">
        <f t="shared" si="22"/>
        <v>753734.77049234335</v>
      </c>
      <c r="F75" s="264">
        <f t="shared" si="23"/>
        <v>768809.46590219019</v>
      </c>
      <c r="G75" s="264">
        <v>890524.1453426677</v>
      </c>
      <c r="H75" s="264">
        <f t="shared" si="24"/>
        <v>899429.38679609436</v>
      </c>
      <c r="I75" s="264">
        <f t="shared" si="25"/>
        <v>908423.68066405528</v>
      </c>
      <c r="J75" s="264">
        <v>888473.38333043247</v>
      </c>
      <c r="K75" s="264">
        <f t="shared" si="19"/>
        <v>906242.8509970411</v>
      </c>
      <c r="L75" s="264">
        <f t="shared" si="28"/>
        <v>888117.99397710024</v>
      </c>
      <c r="M75" s="264">
        <v>921053.65499880712</v>
      </c>
      <c r="N75" s="264">
        <f t="shared" si="21"/>
        <v>902632.58189883095</v>
      </c>
      <c r="O75" s="264">
        <v>986757.89452821086</v>
      </c>
      <c r="P75" s="321">
        <f t="shared" si="18"/>
        <v>10453155.466273207</v>
      </c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  <c r="BQ75" s="163"/>
      <c r="BR75" s="163"/>
      <c r="BS75" s="163"/>
      <c r="BT75" s="163"/>
      <c r="BU75" s="163"/>
      <c r="BV75" s="163"/>
      <c r="BW75" s="163"/>
      <c r="BX75" s="163"/>
      <c r="BY75" s="163"/>
      <c r="BZ75" s="163"/>
      <c r="CA75" s="163"/>
      <c r="CB75" s="163"/>
      <c r="CC75" s="163"/>
      <c r="CD75" s="163"/>
      <c r="CE75" s="163"/>
      <c r="CF75" s="163"/>
      <c r="CG75" s="163"/>
      <c r="CH75" s="163"/>
      <c r="CI75" s="163"/>
      <c r="CJ75" s="163"/>
      <c r="CK75" s="163"/>
      <c r="CL75" s="163"/>
      <c r="CM75" s="163"/>
      <c r="CN75" s="163"/>
      <c r="CO75" s="163"/>
      <c r="CP75" s="163"/>
      <c r="CQ75" s="163"/>
      <c r="CR75" s="163"/>
      <c r="CS75" s="163"/>
      <c r="CT75" s="163"/>
      <c r="CU75" s="163"/>
      <c r="CV75" s="163"/>
      <c r="CW75" s="163"/>
      <c r="CX75" s="163"/>
      <c r="CY75" s="163"/>
      <c r="CZ75" s="163"/>
      <c r="DA75" s="163"/>
      <c r="DB75" s="163"/>
      <c r="DC75" s="163"/>
      <c r="DD75" s="163"/>
      <c r="DE75" s="163"/>
      <c r="DF75" s="163"/>
      <c r="DG75" s="163"/>
      <c r="DH75" s="163"/>
      <c r="DI75" s="163"/>
      <c r="DJ75" s="163"/>
      <c r="DK75" s="163"/>
      <c r="DL75" s="163"/>
      <c r="DM75" s="163"/>
      <c r="DN75" s="163"/>
      <c r="DO75" s="163"/>
      <c r="DP75" s="163"/>
      <c r="DQ75" s="163"/>
      <c r="DR75" s="163"/>
      <c r="DS75" s="163"/>
      <c r="DT75" s="163"/>
      <c r="DU75" s="163"/>
      <c r="DV75" s="163"/>
      <c r="DW75" s="163"/>
      <c r="DX75" s="163"/>
      <c r="DY75" s="163"/>
      <c r="DZ75" s="163"/>
      <c r="EA75" s="163"/>
      <c r="EB75" s="163"/>
      <c r="EC75" s="163"/>
      <c r="ED75" s="163"/>
      <c r="EE75" s="163"/>
      <c r="EF75" s="163"/>
      <c r="EG75" s="163"/>
      <c r="EH75" s="163"/>
      <c r="EI75" s="163"/>
      <c r="EJ75" s="163"/>
      <c r="EK75" s="163"/>
      <c r="EL75" s="163"/>
      <c r="EM75" s="163"/>
      <c r="EN75" s="163"/>
      <c r="EO75" s="163"/>
      <c r="EP75" s="163"/>
      <c r="EQ75" s="163"/>
      <c r="ER75" s="163"/>
      <c r="ES75" s="163"/>
      <c r="ET75" s="163"/>
      <c r="EU75" s="163"/>
      <c r="EV75" s="163"/>
      <c r="EW75" s="163"/>
      <c r="EX75" s="163"/>
      <c r="EY75" s="163"/>
      <c r="EZ75" s="80"/>
      <c r="FA75" s="80"/>
      <c r="FB75" s="80"/>
      <c r="FC75" s="80"/>
      <c r="FD75" s="80"/>
      <c r="FE75" s="80"/>
      <c r="FF75" s="80"/>
      <c r="FG75" s="80"/>
      <c r="FH75" s="80"/>
      <c r="FI75" s="80"/>
      <c r="FJ75" s="80"/>
      <c r="FK75" s="80"/>
      <c r="FL75" s="117">
        <v>500000</v>
      </c>
      <c r="FM75" s="81"/>
      <c r="FN75" s="81"/>
      <c r="FO75" s="81"/>
      <c r="FP75" s="81"/>
      <c r="FQ75" s="81"/>
      <c r="FR75" s="81"/>
      <c r="FS75" s="81"/>
      <c r="FT75" s="81"/>
      <c r="FU75" s="81"/>
      <c r="FV75" s="81"/>
      <c r="FW75" s="81"/>
      <c r="FX75" s="81"/>
      <c r="FY75" s="81"/>
      <c r="GA75" s="73">
        <v>0.5</v>
      </c>
    </row>
    <row r="76" spans="1:183">
      <c r="A76" s="265"/>
      <c r="B76" s="270">
        <v>6220</v>
      </c>
      <c r="C76" s="270" t="s">
        <v>66</v>
      </c>
      <c r="D76" s="264">
        <v>1477911.3146908693</v>
      </c>
      <c r="E76" s="264">
        <f t="shared" si="22"/>
        <v>1507469.5409846867</v>
      </c>
      <c r="F76" s="264">
        <f t="shared" si="23"/>
        <v>1537618.9318043804</v>
      </c>
      <c r="G76" s="264">
        <v>1781048.2906853354</v>
      </c>
      <c r="H76" s="264">
        <f t="shared" si="24"/>
        <v>1798858.7735921887</v>
      </c>
      <c r="I76" s="264">
        <f t="shared" si="25"/>
        <v>1816847.3613281106</v>
      </c>
      <c r="J76" s="264">
        <v>1776946.7666608649</v>
      </c>
      <c r="K76" s="264">
        <f t="shared" si="19"/>
        <v>1812485.7019940822</v>
      </c>
      <c r="L76" s="264">
        <f t="shared" si="28"/>
        <v>1776235.9879542005</v>
      </c>
      <c r="M76" s="264">
        <v>1842107.3099976142</v>
      </c>
      <c r="N76" s="264">
        <f t="shared" si="21"/>
        <v>1805265.1637976619</v>
      </c>
      <c r="O76" s="264">
        <v>1973515.7890564217</v>
      </c>
      <c r="P76" s="321">
        <f t="shared" si="18"/>
        <v>20906310.932546414</v>
      </c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  <c r="BQ76" s="163"/>
      <c r="BR76" s="163"/>
      <c r="BS76" s="163"/>
      <c r="BT76" s="163"/>
      <c r="BU76" s="163"/>
      <c r="BV76" s="163"/>
      <c r="BW76" s="163"/>
      <c r="BX76" s="163"/>
      <c r="BY76" s="163"/>
      <c r="BZ76" s="163"/>
      <c r="CA76" s="163"/>
      <c r="CB76" s="163"/>
      <c r="CC76" s="163"/>
      <c r="CD76" s="163"/>
      <c r="CE76" s="163"/>
      <c r="CF76" s="163"/>
      <c r="CG76" s="163"/>
      <c r="CH76" s="163"/>
      <c r="CI76" s="163"/>
      <c r="CJ76" s="163"/>
      <c r="CK76" s="163"/>
      <c r="CL76" s="163"/>
      <c r="CM76" s="163"/>
      <c r="CN76" s="163"/>
      <c r="CO76" s="163"/>
      <c r="CP76" s="163"/>
      <c r="CQ76" s="163"/>
      <c r="CR76" s="163"/>
      <c r="CS76" s="163"/>
      <c r="CT76" s="163"/>
      <c r="CU76" s="163"/>
      <c r="CV76" s="163"/>
      <c r="CW76" s="163"/>
      <c r="CX76" s="163"/>
      <c r="CY76" s="163"/>
      <c r="CZ76" s="163"/>
      <c r="DA76" s="163"/>
      <c r="DB76" s="163"/>
      <c r="DC76" s="163"/>
      <c r="DD76" s="163"/>
      <c r="DE76" s="163"/>
      <c r="DF76" s="163"/>
      <c r="DG76" s="163"/>
      <c r="DH76" s="163"/>
      <c r="DI76" s="163"/>
      <c r="DJ76" s="163"/>
      <c r="DK76" s="163"/>
      <c r="DL76" s="163"/>
      <c r="DM76" s="163"/>
      <c r="DN76" s="163"/>
      <c r="DO76" s="163"/>
      <c r="DP76" s="163"/>
      <c r="DQ76" s="163"/>
      <c r="DR76" s="163"/>
      <c r="DS76" s="163"/>
      <c r="DT76" s="163"/>
      <c r="DU76" s="163"/>
      <c r="DV76" s="163"/>
      <c r="DW76" s="163"/>
      <c r="DX76" s="163"/>
      <c r="DY76" s="163"/>
      <c r="DZ76" s="163"/>
      <c r="EA76" s="163"/>
      <c r="EB76" s="163"/>
      <c r="EC76" s="163"/>
      <c r="ED76" s="163"/>
      <c r="EE76" s="163"/>
      <c r="EF76" s="163"/>
      <c r="EG76" s="163"/>
      <c r="EH76" s="163"/>
      <c r="EI76" s="163"/>
      <c r="EJ76" s="163"/>
      <c r="EK76" s="163"/>
      <c r="EL76" s="163"/>
      <c r="EM76" s="163"/>
      <c r="EN76" s="163"/>
      <c r="EO76" s="163"/>
      <c r="EP76" s="163"/>
      <c r="EQ76" s="163"/>
      <c r="ER76" s="163"/>
      <c r="ES76" s="163"/>
      <c r="ET76" s="163"/>
      <c r="EU76" s="163"/>
      <c r="EV76" s="163"/>
      <c r="EW76" s="163"/>
      <c r="EX76" s="163"/>
      <c r="EY76" s="163"/>
      <c r="EZ76" s="80"/>
      <c r="FA76" s="80"/>
      <c r="FB76" s="80"/>
      <c r="FC76" s="80"/>
      <c r="FD76" s="80"/>
      <c r="FE76" s="80"/>
      <c r="FF76" s="80"/>
      <c r="FG76" s="80"/>
      <c r="FH76" s="80"/>
      <c r="FI76" s="80"/>
      <c r="FJ76" s="80"/>
      <c r="FK76" s="80"/>
      <c r="FL76" s="117">
        <v>1000000</v>
      </c>
      <c r="FM76" s="81"/>
      <c r="FN76" s="81"/>
      <c r="FO76" s="81"/>
      <c r="FP76" s="81"/>
      <c r="FQ76" s="81"/>
      <c r="FR76" s="81"/>
      <c r="FS76" s="81"/>
      <c r="FT76" s="81"/>
      <c r="FU76" s="81"/>
      <c r="FV76" s="81"/>
      <c r="FW76" s="81"/>
      <c r="FX76" s="81"/>
      <c r="FY76" s="81"/>
      <c r="GA76" s="73">
        <v>1</v>
      </c>
    </row>
    <row r="77" spans="1:183">
      <c r="A77" s="265"/>
      <c r="B77" s="270">
        <v>6221</v>
      </c>
      <c r="C77" s="270" t="s">
        <v>67</v>
      </c>
      <c r="D77" s="264">
        <v>738955.65734543465</v>
      </c>
      <c r="E77" s="264">
        <f t="shared" si="22"/>
        <v>753734.77049234335</v>
      </c>
      <c r="F77" s="264">
        <f t="shared" si="23"/>
        <v>768809.46590219019</v>
      </c>
      <c r="G77" s="264">
        <v>890524.1453426677</v>
      </c>
      <c r="H77" s="264">
        <f t="shared" si="24"/>
        <v>899429.38679609436</v>
      </c>
      <c r="I77" s="264">
        <f t="shared" si="25"/>
        <v>908423.68066405528</v>
      </c>
      <c r="J77" s="264">
        <v>888473.38333043247</v>
      </c>
      <c r="K77" s="264">
        <f t="shared" si="19"/>
        <v>906242.8509970411</v>
      </c>
      <c r="L77" s="264">
        <f t="shared" si="28"/>
        <v>888117.99397710024</v>
      </c>
      <c r="M77" s="264">
        <v>921053.65499880712</v>
      </c>
      <c r="N77" s="264">
        <f t="shared" si="21"/>
        <v>902632.58189883095</v>
      </c>
      <c r="O77" s="264">
        <v>986757.89452821086</v>
      </c>
      <c r="P77" s="321">
        <f t="shared" si="18"/>
        <v>10453155.466273207</v>
      </c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163"/>
      <c r="BN77" s="163"/>
      <c r="BO77" s="163"/>
      <c r="BP77" s="163"/>
      <c r="BQ77" s="163"/>
      <c r="BR77" s="163"/>
      <c r="BS77" s="163"/>
      <c r="BT77" s="163"/>
      <c r="BU77" s="163"/>
      <c r="BV77" s="163"/>
      <c r="BW77" s="163"/>
      <c r="BX77" s="163"/>
      <c r="BY77" s="163"/>
      <c r="BZ77" s="163"/>
      <c r="CA77" s="163"/>
      <c r="CB77" s="163"/>
      <c r="CC77" s="163"/>
      <c r="CD77" s="163"/>
      <c r="CE77" s="163"/>
      <c r="CF77" s="163"/>
      <c r="CG77" s="163"/>
      <c r="CH77" s="163"/>
      <c r="CI77" s="163"/>
      <c r="CJ77" s="163"/>
      <c r="CK77" s="163"/>
      <c r="CL77" s="163"/>
      <c r="CM77" s="163"/>
      <c r="CN77" s="163"/>
      <c r="CO77" s="163"/>
      <c r="CP77" s="163"/>
      <c r="CQ77" s="163"/>
      <c r="CR77" s="163"/>
      <c r="CS77" s="163"/>
      <c r="CT77" s="163"/>
      <c r="CU77" s="163"/>
      <c r="CV77" s="163"/>
      <c r="CW77" s="163"/>
      <c r="CX77" s="163"/>
      <c r="CY77" s="163"/>
      <c r="CZ77" s="163"/>
      <c r="DA77" s="163"/>
      <c r="DB77" s="163"/>
      <c r="DC77" s="163"/>
      <c r="DD77" s="163"/>
      <c r="DE77" s="163"/>
      <c r="DF77" s="163"/>
      <c r="DG77" s="163"/>
      <c r="DH77" s="163"/>
      <c r="DI77" s="163"/>
      <c r="DJ77" s="163"/>
      <c r="DK77" s="163"/>
      <c r="DL77" s="163"/>
      <c r="DM77" s="163"/>
      <c r="DN77" s="163"/>
      <c r="DO77" s="163"/>
      <c r="DP77" s="163"/>
      <c r="DQ77" s="163"/>
      <c r="DR77" s="163"/>
      <c r="DS77" s="163"/>
      <c r="DT77" s="163"/>
      <c r="DU77" s="163"/>
      <c r="DV77" s="163"/>
      <c r="DW77" s="163"/>
      <c r="DX77" s="163"/>
      <c r="DY77" s="163"/>
      <c r="DZ77" s="163"/>
      <c r="EA77" s="163"/>
      <c r="EB77" s="163"/>
      <c r="EC77" s="163"/>
      <c r="ED77" s="163"/>
      <c r="EE77" s="163"/>
      <c r="EF77" s="163"/>
      <c r="EG77" s="163"/>
      <c r="EH77" s="163"/>
      <c r="EI77" s="163"/>
      <c r="EJ77" s="163"/>
      <c r="EK77" s="163"/>
      <c r="EL77" s="163"/>
      <c r="EM77" s="163"/>
      <c r="EN77" s="163"/>
      <c r="EO77" s="163"/>
      <c r="EP77" s="163"/>
      <c r="EQ77" s="163"/>
      <c r="ER77" s="163"/>
      <c r="ES77" s="163"/>
      <c r="ET77" s="163"/>
      <c r="EU77" s="163"/>
      <c r="EV77" s="163"/>
      <c r="EW77" s="163"/>
      <c r="EX77" s="163"/>
      <c r="EY77" s="163"/>
      <c r="EZ77" s="80"/>
      <c r="FA77" s="80"/>
      <c r="FB77" s="80"/>
      <c r="FC77" s="80"/>
      <c r="FD77" s="80"/>
      <c r="FE77" s="80"/>
      <c r="FF77" s="80"/>
      <c r="FG77" s="80"/>
      <c r="FH77" s="80"/>
      <c r="FI77" s="80"/>
      <c r="FJ77" s="80"/>
      <c r="FK77" s="80"/>
      <c r="FL77" s="117">
        <v>500000</v>
      </c>
      <c r="FM77" s="81"/>
      <c r="FN77" s="81"/>
      <c r="FO77" s="81"/>
      <c r="FP77" s="81"/>
      <c r="FQ77" s="81"/>
      <c r="FR77" s="81"/>
      <c r="FS77" s="81"/>
      <c r="FT77" s="81"/>
      <c r="FU77" s="81"/>
      <c r="FV77" s="81"/>
      <c r="FW77" s="81"/>
      <c r="FX77" s="81"/>
      <c r="FY77" s="81"/>
      <c r="GA77" s="73">
        <v>0.5</v>
      </c>
    </row>
    <row r="78" spans="1:183">
      <c r="A78" s="265"/>
      <c r="B78" s="270">
        <v>6230</v>
      </c>
      <c r="C78" s="270" t="s">
        <v>68</v>
      </c>
      <c r="D78" s="264">
        <v>4581525.0755416937</v>
      </c>
      <c r="E78" s="264">
        <f t="shared" si="22"/>
        <v>4673155.577052528</v>
      </c>
      <c r="F78" s="264">
        <f t="shared" si="23"/>
        <v>4766618.6885935785</v>
      </c>
      <c r="G78" s="264">
        <v>5521249.7011245387</v>
      </c>
      <c r="H78" s="264">
        <f t="shared" si="24"/>
        <v>5576462.1981357839</v>
      </c>
      <c r="I78" s="264">
        <f t="shared" si="25"/>
        <v>5632226.8201171421</v>
      </c>
      <c r="J78" s="264">
        <v>5508534.9766486809</v>
      </c>
      <c r="K78" s="264">
        <f t="shared" si="19"/>
        <v>5618705.6761816544</v>
      </c>
      <c r="L78" s="264">
        <f t="shared" ref="L78:L93" si="29">K78+(K78*$J$8%)</f>
        <v>5506331.5626580212</v>
      </c>
      <c r="M78" s="264">
        <v>5710532.6609926028</v>
      </c>
      <c r="N78" s="264">
        <f t="shared" si="21"/>
        <v>5596322.0077727512</v>
      </c>
      <c r="O78" s="264">
        <v>6117898.9460749058</v>
      </c>
      <c r="P78" s="321">
        <f t="shared" si="18"/>
        <v>64809563.890893877</v>
      </c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  <c r="BQ78" s="163"/>
      <c r="BR78" s="163"/>
      <c r="BS78" s="163"/>
      <c r="BT78" s="163"/>
      <c r="BU78" s="163"/>
      <c r="BV78" s="163"/>
      <c r="BW78" s="163"/>
      <c r="BX78" s="163"/>
      <c r="BY78" s="163"/>
      <c r="BZ78" s="163"/>
      <c r="CA78" s="163"/>
      <c r="CB78" s="163"/>
      <c r="CC78" s="163"/>
      <c r="CD78" s="163"/>
      <c r="CE78" s="163"/>
      <c r="CF78" s="163"/>
      <c r="CG78" s="163"/>
      <c r="CH78" s="163"/>
      <c r="CI78" s="163"/>
      <c r="CJ78" s="163"/>
      <c r="CK78" s="163"/>
      <c r="CL78" s="163"/>
      <c r="CM78" s="163"/>
      <c r="CN78" s="163"/>
      <c r="CO78" s="163"/>
      <c r="CP78" s="163"/>
      <c r="CQ78" s="163"/>
      <c r="CR78" s="163"/>
      <c r="CS78" s="163"/>
      <c r="CT78" s="163"/>
      <c r="CU78" s="163"/>
      <c r="CV78" s="163"/>
      <c r="CW78" s="163"/>
      <c r="CX78" s="163"/>
      <c r="CY78" s="163"/>
      <c r="CZ78" s="163"/>
      <c r="DA78" s="163"/>
      <c r="DB78" s="163"/>
      <c r="DC78" s="163"/>
      <c r="DD78" s="163"/>
      <c r="DE78" s="163"/>
      <c r="DF78" s="163"/>
      <c r="DG78" s="163"/>
      <c r="DH78" s="163"/>
      <c r="DI78" s="163"/>
      <c r="DJ78" s="163"/>
      <c r="DK78" s="163"/>
      <c r="DL78" s="163"/>
      <c r="DM78" s="163"/>
      <c r="DN78" s="163"/>
      <c r="DO78" s="163"/>
      <c r="DP78" s="163"/>
      <c r="DQ78" s="163"/>
      <c r="DR78" s="163"/>
      <c r="DS78" s="163"/>
      <c r="DT78" s="163"/>
      <c r="DU78" s="163"/>
      <c r="DV78" s="163"/>
      <c r="DW78" s="163"/>
      <c r="DX78" s="163"/>
      <c r="DY78" s="163"/>
      <c r="DZ78" s="163"/>
      <c r="EA78" s="163"/>
      <c r="EB78" s="163"/>
      <c r="EC78" s="163"/>
      <c r="ED78" s="163"/>
      <c r="EE78" s="163"/>
      <c r="EF78" s="163"/>
      <c r="EG78" s="163"/>
      <c r="EH78" s="163"/>
      <c r="EI78" s="163"/>
      <c r="EJ78" s="163"/>
      <c r="EK78" s="163"/>
      <c r="EL78" s="163"/>
      <c r="EM78" s="163"/>
      <c r="EN78" s="163"/>
      <c r="EO78" s="163"/>
      <c r="EP78" s="163"/>
      <c r="EQ78" s="163"/>
      <c r="ER78" s="163"/>
      <c r="ES78" s="163"/>
      <c r="ET78" s="163"/>
      <c r="EU78" s="163"/>
      <c r="EV78" s="163"/>
      <c r="EW78" s="163"/>
      <c r="EX78" s="163"/>
      <c r="EY78" s="163"/>
      <c r="EZ78" s="80"/>
      <c r="FA78" s="80"/>
      <c r="FB78" s="80"/>
      <c r="FC78" s="80"/>
      <c r="FD78" s="80"/>
      <c r="FE78" s="80"/>
      <c r="FF78" s="80"/>
      <c r="FG78" s="80"/>
      <c r="FH78" s="80"/>
      <c r="FI78" s="80"/>
      <c r="FJ78" s="80"/>
      <c r="FK78" s="80"/>
      <c r="FL78" s="117">
        <v>3225500</v>
      </c>
      <c r="FM78" s="81"/>
      <c r="FN78" s="81"/>
      <c r="FO78" s="81"/>
      <c r="FP78" s="81"/>
      <c r="FQ78" s="81"/>
      <c r="FR78" s="81"/>
      <c r="FS78" s="81"/>
      <c r="FT78" s="81"/>
      <c r="FU78" s="81"/>
      <c r="FV78" s="81"/>
      <c r="FW78" s="81"/>
      <c r="FX78" s="81"/>
      <c r="FY78" s="81"/>
      <c r="GA78" s="73">
        <v>9.9999999999999992E-2</v>
      </c>
    </row>
    <row r="79" spans="1:183">
      <c r="A79" s="265"/>
      <c r="B79" s="270">
        <v>6231</v>
      </c>
      <c r="C79" s="270" t="s">
        <v>69</v>
      </c>
      <c r="D79" s="264">
        <v>2955822.6293817386</v>
      </c>
      <c r="E79" s="264">
        <f t="shared" si="22"/>
        <v>3014939.0819693734</v>
      </c>
      <c r="F79" s="264">
        <f t="shared" si="23"/>
        <v>3075237.8636087608</v>
      </c>
      <c r="G79" s="264">
        <v>3562096.5813706708</v>
      </c>
      <c r="H79" s="264">
        <f t="shared" si="24"/>
        <v>3597717.5471843774</v>
      </c>
      <c r="I79" s="264">
        <f t="shared" si="25"/>
        <v>3633694.7226562211</v>
      </c>
      <c r="J79" s="264">
        <v>3553893.5333217299</v>
      </c>
      <c r="K79" s="264">
        <f t="shared" si="19"/>
        <v>3624971.4039881644</v>
      </c>
      <c r="L79" s="264">
        <f t="shared" si="29"/>
        <v>3552471.975908401</v>
      </c>
      <c r="M79" s="264">
        <v>3684214.6199952285</v>
      </c>
      <c r="N79" s="264">
        <f t="shared" si="21"/>
        <v>3610530.3275953238</v>
      </c>
      <c r="O79" s="264">
        <v>3947031.5781128434</v>
      </c>
      <c r="P79" s="321">
        <f t="shared" si="18"/>
        <v>41812621.865092829</v>
      </c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3"/>
      <c r="BW79" s="163"/>
      <c r="BX79" s="163"/>
      <c r="BY79" s="163"/>
      <c r="BZ79" s="163"/>
      <c r="CA79" s="163"/>
      <c r="CB79" s="163"/>
      <c r="CC79" s="163"/>
      <c r="CD79" s="163"/>
      <c r="CE79" s="163"/>
      <c r="CF79" s="163"/>
      <c r="CG79" s="163"/>
      <c r="CH79" s="163"/>
      <c r="CI79" s="163"/>
      <c r="CJ79" s="163"/>
      <c r="CK79" s="163"/>
      <c r="CL79" s="163"/>
      <c r="CM79" s="163"/>
      <c r="CN79" s="163"/>
      <c r="CO79" s="163"/>
      <c r="CP79" s="163"/>
      <c r="CQ79" s="163"/>
      <c r="CR79" s="163"/>
      <c r="CS79" s="163"/>
      <c r="CT79" s="163"/>
      <c r="CU79" s="163"/>
      <c r="CV79" s="163"/>
      <c r="CW79" s="163"/>
      <c r="CX79" s="163"/>
      <c r="CY79" s="163"/>
      <c r="CZ79" s="163"/>
      <c r="DA79" s="163"/>
      <c r="DB79" s="163"/>
      <c r="DC79" s="163"/>
      <c r="DD79" s="163"/>
      <c r="DE79" s="163"/>
      <c r="DF79" s="163"/>
      <c r="DG79" s="163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/>
      <c r="DR79" s="163"/>
      <c r="DS79" s="163"/>
      <c r="DT79" s="163"/>
      <c r="DU79" s="163"/>
      <c r="DV79" s="163"/>
      <c r="DW79" s="163"/>
      <c r="DX79" s="163"/>
      <c r="DY79" s="163"/>
      <c r="DZ79" s="163"/>
      <c r="EA79" s="163"/>
      <c r="EB79" s="163"/>
      <c r="EC79" s="163"/>
      <c r="ED79" s="163"/>
      <c r="EE79" s="163"/>
      <c r="EF79" s="163"/>
      <c r="EG79" s="163"/>
      <c r="EH79" s="163"/>
      <c r="EI79" s="163"/>
      <c r="EJ79" s="163"/>
      <c r="EK79" s="163"/>
      <c r="EL79" s="163"/>
      <c r="EM79" s="163"/>
      <c r="EN79" s="163"/>
      <c r="EO79" s="163"/>
      <c r="EP79" s="163"/>
      <c r="EQ79" s="163"/>
      <c r="ER79" s="163"/>
      <c r="ES79" s="163"/>
      <c r="ET79" s="163"/>
      <c r="EU79" s="163"/>
      <c r="EV79" s="163"/>
      <c r="EW79" s="163"/>
      <c r="EX79" s="163"/>
      <c r="EY79" s="163"/>
      <c r="EZ79" s="80"/>
      <c r="FA79" s="80"/>
      <c r="FB79" s="80"/>
      <c r="FC79" s="80"/>
      <c r="FD79" s="80"/>
      <c r="FE79" s="80"/>
      <c r="FF79" s="80"/>
      <c r="FG79" s="80"/>
      <c r="FH79" s="80"/>
      <c r="FI79" s="80"/>
      <c r="FJ79" s="80"/>
      <c r="FK79" s="80"/>
      <c r="FL79" s="117">
        <v>8000000</v>
      </c>
      <c r="FM79" s="81"/>
      <c r="FN79" s="81"/>
      <c r="FO79" s="81"/>
      <c r="FP79" s="81"/>
      <c r="FQ79" s="81"/>
      <c r="FR79" s="81"/>
      <c r="FS79" s="81"/>
      <c r="FT79" s="81"/>
      <c r="FU79" s="81"/>
      <c r="FV79" s="81"/>
      <c r="FW79" s="81"/>
      <c r="FX79" s="81"/>
      <c r="FY79" s="81"/>
      <c r="GA79" s="73">
        <v>0</v>
      </c>
    </row>
    <row r="80" spans="1:183">
      <c r="A80" s="265"/>
      <c r="B80" s="270">
        <v>6240</v>
      </c>
      <c r="C80" s="270" t="s">
        <v>70</v>
      </c>
      <c r="D80" s="264">
        <v>6650600.91610891</v>
      </c>
      <c r="E80" s="264">
        <f t="shared" si="22"/>
        <v>6783612.9344310882</v>
      </c>
      <c r="F80" s="264">
        <f t="shared" si="23"/>
        <v>6919285.1931197103</v>
      </c>
      <c r="G80" s="264">
        <v>8014717.3080840074</v>
      </c>
      <c r="H80" s="264">
        <f t="shared" si="24"/>
        <v>8094864.4811648475</v>
      </c>
      <c r="I80" s="264">
        <f t="shared" si="25"/>
        <v>8175813.1259764964</v>
      </c>
      <c r="J80" s="264">
        <v>7996260.4499738906</v>
      </c>
      <c r="K80" s="264">
        <f t="shared" si="19"/>
        <v>8156185.6589733688</v>
      </c>
      <c r="L80" s="264">
        <f t="shared" si="29"/>
        <v>7993061.9457939016</v>
      </c>
      <c r="M80" s="264">
        <v>8289482.8949892614</v>
      </c>
      <c r="N80" s="264">
        <f t="shared" si="21"/>
        <v>8123693.2370894765</v>
      </c>
      <c r="O80" s="264">
        <v>8880821.0507538952</v>
      </c>
      <c r="P80" s="321">
        <f t="shared" si="18"/>
        <v>94078399.196458846</v>
      </c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/>
      <c r="BU80" s="163"/>
      <c r="BV80" s="163"/>
      <c r="BW80" s="163"/>
      <c r="BX80" s="163"/>
      <c r="BY80" s="163"/>
      <c r="BZ80" s="163"/>
      <c r="CA80" s="163"/>
      <c r="CB80" s="163"/>
      <c r="CC80" s="163"/>
      <c r="CD80" s="163"/>
      <c r="CE80" s="163"/>
      <c r="CF80" s="163"/>
      <c r="CG80" s="163"/>
      <c r="CH80" s="163"/>
      <c r="CI80" s="163"/>
      <c r="CJ80" s="163"/>
      <c r="CK80" s="163"/>
      <c r="CL80" s="163"/>
      <c r="CM80" s="163"/>
      <c r="CN80" s="163"/>
      <c r="CO80" s="163"/>
      <c r="CP80" s="163"/>
      <c r="CQ80" s="163"/>
      <c r="CR80" s="163"/>
      <c r="CS80" s="163"/>
      <c r="CT80" s="163"/>
      <c r="CU80" s="163"/>
      <c r="CV80" s="163"/>
      <c r="CW80" s="163"/>
      <c r="CX80" s="163"/>
      <c r="CY80" s="163"/>
      <c r="CZ80" s="163"/>
      <c r="DA80" s="163"/>
      <c r="DB80" s="163"/>
      <c r="DC80" s="163"/>
      <c r="DD80" s="163"/>
      <c r="DE80" s="163"/>
      <c r="DF80" s="163"/>
      <c r="DG80" s="163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/>
      <c r="DR80" s="163"/>
      <c r="DS80" s="163"/>
      <c r="DT80" s="163"/>
      <c r="DU80" s="163"/>
      <c r="DV80" s="163"/>
      <c r="DW80" s="163"/>
      <c r="DX80" s="163"/>
      <c r="DY80" s="163"/>
      <c r="DZ80" s="163"/>
      <c r="EA80" s="163"/>
      <c r="EB80" s="163"/>
      <c r="EC80" s="163"/>
      <c r="ED80" s="163"/>
      <c r="EE80" s="163"/>
      <c r="EF80" s="163"/>
      <c r="EG80" s="163"/>
      <c r="EH80" s="163"/>
      <c r="EI80" s="163"/>
      <c r="EJ80" s="163"/>
      <c r="EK80" s="163"/>
      <c r="EL80" s="163"/>
      <c r="EM80" s="163"/>
      <c r="EN80" s="163"/>
      <c r="EO80" s="163"/>
      <c r="EP80" s="163"/>
      <c r="EQ80" s="163"/>
      <c r="ER80" s="163"/>
      <c r="ES80" s="163"/>
      <c r="ET80" s="163"/>
      <c r="EU80" s="163"/>
      <c r="EV80" s="163"/>
      <c r="EW80" s="163"/>
      <c r="EX80" s="163"/>
      <c r="EY80" s="163"/>
      <c r="EZ80" s="80"/>
      <c r="FA80" s="80"/>
      <c r="FB80" s="80"/>
      <c r="FC80" s="80"/>
      <c r="FD80" s="80"/>
      <c r="FE80" s="80"/>
      <c r="FF80" s="80"/>
      <c r="FG80" s="80"/>
      <c r="FH80" s="80"/>
      <c r="FI80" s="80"/>
      <c r="FJ80" s="80"/>
      <c r="FK80" s="80"/>
      <c r="FL80" s="117">
        <v>4500000</v>
      </c>
      <c r="FM80" s="81"/>
      <c r="FN80" s="81"/>
      <c r="FO80" s="81"/>
      <c r="FP80" s="81"/>
      <c r="FQ80" s="81"/>
      <c r="FR80" s="81"/>
      <c r="FS80" s="81"/>
      <c r="FT80" s="81"/>
      <c r="FU80" s="81"/>
      <c r="FV80" s="81"/>
      <c r="FW80" s="81"/>
      <c r="FX80" s="81"/>
      <c r="FY80" s="81"/>
      <c r="GA80" s="73">
        <v>4.5</v>
      </c>
    </row>
    <row r="81" spans="1:183">
      <c r="A81" s="265"/>
      <c r="B81" s="270">
        <v>6241</v>
      </c>
      <c r="C81" s="270" t="s">
        <v>71</v>
      </c>
      <c r="D81" s="264">
        <v>2955822.6293817386</v>
      </c>
      <c r="E81" s="264">
        <f t="shared" si="22"/>
        <v>3014939.0819693734</v>
      </c>
      <c r="F81" s="264">
        <f t="shared" si="23"/>
        <v>3075237.8636087608</v>
      </c>
      <c r="G81" s="264">
        <v>3562096.5813706708</v>
      </c>
      <c r="H81" s="264">
        <f t="shared" si="24"/>
        <v>3597717.5471843774</v>
      </c>
      <c r="I81" s="264">
        <f t="shared" si="25"/>
        <v>3633694.7226562211</v>
      </c>
      <c r="J81" s="264">
        <v>3553893.5333217299</v>
      </c>
      <c r="K81" s="264">
        <f t="shared" si="19"/>
        <v>3624971.4039881644</v>
      </c>
      <c r="L81" s="264">
        <f t="shared" si="29"/>
        <v>3552471.975908401</v>
      </c>
      <c r="M81" s="264">
        <v>3684214.6199952285</v>
      </c>
      <c r="N81" s="264">
        <f t="shared" si="21"/>
        <v>3610530.3275953238</v>
      </c>
      <c r="O81" s="264">
        <v>3947031.5781128434</v>
      </c>
      <c r="P81" s="321">
        <f t="shared" si="18"/>
        <v>41812621.865092829</v>
      </c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  <c r="BQ81" s="163"/>
      <c r="BR81" s="163"/>
      <c r="BS81" s="163"/>
      <c r="BT81" s="163"/>
      <c r="BU81" s="163"/>
      <c r="BV81" s="163"/>
      <c r="BW81" s="163"/>
      <c r="BX81" s="163"/>
      <c r="BY81" s="163"/>
      <c r="BZ81" s="163"/>
      <c r="CA81" s="163"/>
      <c r="CB81" s="163"/>
      <c r="CC81" s="163"/>
      <c r="CD81" s="163"/>
      <c r="CE81" s="163"/>
      <c r="CF81" s="163"/>
      <c r="CG81" s="163"/>
      <c r="CH81" s="163"/>
      <c r="CI81" s="163"/>
      <c r="CJ81" s="163"/>
      <c r="CK81" s="163"/>
      <c r="CL81" s="163"/>
      <c r="CM81" s="163"/>
      <c r="CN81" s="163"/>
      <c r="CO81" s="163"/>
      <c r="CP81" s="163"/>
      <c r="CQ81" s="163"/>
      <c r="CR81" s="163"/>
      <c r="CS81" s="163"/>
      <c r="CT81" s="163"/>
      <c r="CU81" s="163"/>
      <c r="CV81" s="163"/>
      <c r="CW81" s="163"/>
      <c r="CX81" s="163"/>
      <c r="CY81" s="163"/>
      <c r="CZ81" s="163"/>
      <c r="DA81" s="163"/>
      <c r="DB81" s="163"/>
      <c r="DC81" s="163"/>
      <c r="DD81" s="163"/>
      <c r="DE81" s="163"/>
      <c r="DF81" s="163"/>
      <c r="DG81" s="163"/>
      <c r="DH81" s="163"/>
      <c r="DI81" s="163"/>
      <c r="DJ81" s="163"/>
      <c r="DK81" s="163"/>
      <c r="DL81" s="163"/>
      <c r="DM81" s="163"/>
      <c r="DN81" s="163"/>
      <c r="DO81" s="163"/>
      <c r="DP81" s="163"/>
      <c r="DQ81" s="163"/>
      <c r="DR81" s="163"/>
      <c r="DS81" s="163"/>
      <c r="DT81" s="163"/>
      <c r="DU81" s="163"/>
      <c r="DV81" s="163"/>
      <c r="DW81" s="163"/>
      <c r="DX81" s="163"/>
      <c r="DY81" s="163"/>
      <c r="DZ81" s="163"/>
      <c r="EA81" s="163"/>
      <c r="EB81" s="163"/>
      <c r="EC81" s="163"/>
      <c r="ED81" s="163"/>
      <c r="EE81" s="163"/>
      <c r="EF81" s="163"/>
      <c r="EG81" s="163"/>
      <c r="EH81" s="163"/>
      <c r="EI81" s="163"/>
      <c r="EJ81" s="163"/>
      <c r="EK81" s="163"/>
      <c r="EL81" s="163"/>
      <c r="EM81" s="163"/>
      <c r="EN81" s="163"/>
      <c r="EO81" s="163"/>
      <c r="EP81" s="163"/>
      <c r="EQ81" s="163"/>
      <c r="ER81" s="163"/>
      <c r="ES81" s="163"/>
      <c r="ET81" s="163"/>
      <c r="EU81" s="163"/>
      <c r="EV81" s="163"/>
      <c r="EW81" s="163"/>
      <c r="EX81" s="163"/>
      <c r="EY81" s="163"/>
      <c r="EZ81" s="80"/>
      <c r="FA81" s="80"/>
      <c r="FB81" s="80"/>
      <c r="FC81" s="80"/>
      <c r="FD81" s="80"/>
      <c r="FE81" s="80"/>
      <c r="FF81" s="80"/>
      <c r="FG81" s="80"/>
      <c r="FH81" s="80"/>
      <c r="FI81" s="80"/>
      <c r="FJ81" s="80"/>
      <c r="FK81" s="80"/>
      <c r="FL81" s="117">
        <v>2000000</v>
      </c>
      <c r="FM81" s="81"/>
      <c r="FN81" s="81"/>
      <c r="FO81" s="81"/>
      <c r="FP81" s="81"/>
      <c r="FQ81" s="81"/>
      <c r="FR81" s="81"/>
      <c r="FS81" s="81"/>
      <c r="FT81" s="81"/>
      <c r="FU81" s="81"/>
      <c r="FV81" s="81"/>
      <c r="FW81" s="81"/>
      <c r="FX81" s="81"/>
      <c r="FY81" s="81"/>
      <c r="GA81" s="73">
        <v>2</v>
      </c>
    </row>
    <row r="82" spans="1:183">
      <c r="A82" s="265"/>
      <c r="B82" s="270">
        <v>6250</v>
      </c>
      <c r="C82" s="270" t="s">
        <v>72</v>
      </c>
      <c r="D82" s="264">
        <v>50544566.962427728</v>
      </c>
      <c r="E82" s="264">
        <f t="shared" si="22"/>
        <v>51555458.301676281</v>
      </c>
      <c r="F82" s="264">
        <f t="shared" si="23"/>
        <v>52586567.46770981</v>
      </c>
      <c r="G82" s="264">
        <v>60911851.541438475</v>
      </c>
      <c r="H82" s="264">
        <f t="shared" si="24"/>
        <v>61520970.056852862</v>
      </c>
      <c r="I82" s="264">
        <f t="shared" si="25"/>
        <v>62136179.757421389</v>
      </c>
      <c r="J82" s="264">
        <v>60771579.419801585</v>
      </c>
      <c r="K82" s="264">
        <f t="shared" si="19"/>
        <v>61987011.008197621</v>
      </c>
      <c r="L82" s="264">
        <f t="shared" si="29"/>
        <v>60747270.788033672</v>
      </c>
      <c r="M82" s="264">
        <v>63000070.001918405</v>
      </c>
      <c r="N82" s="264">
        <f t="shared" si="21"/>
        <v>61740068.601880036</v>
      </c>
      <c r="O82" s="264">
        <v>67494239.98572962</v>
      </c>
      <c r="P82" s="321">
        <f t="shared" si="18"/>
        <v>714995833.89308751</v>
      </c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3"/>
      <c r="BW82" s="163"/>
      <c r="BX82" s="163"/>
      <c r="BY82" s="163"/>
      <c r="BZ82" s="163"/>
      <c r="CA82" s="163"/>
      <c r="CB82" s="163"/>
      <c r="CC82" s="163"/>
      <c r="CD82" s="163"/>
      <c r="CE82" s="163"/>
      <c r="CF82" s="163"/>
      <c r="CG82" s="163"/>
      <c r="CH82" s="163"/>
      <c r="CI82" s="163"/>
      <c r="CJ82" s="163"/>
      <c r="CK82" s="163"/>
      <c r="CL82" s="163"/>
      <c r="CM82" s="163"/>
      <c r="CN82" s="163"/>
      <c r="CO82" s="163"/>
      <c r="CP82" s="163"/>
      <c r="CQ82" s="163"/>
      <c r="CR82" s="163"/>
      <c r="CS82" s="163"/>
      <c r="CT82" s="163"/>
      <c r="CU82" s="163"/>
      <c r="CV82" s="163"/>
      <c r="CW82" s="163"/>
      <c r="CX82" s="163"/>
      <c r="CY82" s="163"/>
      <c r="CZ82" s="163"/>
      <c r="DA82" s="163"/>
      <c r="DB82" s="163"/>
      <c r="DC82" s="163"/>
      <c r="DD82" s="163"/>
      <c r="DE82" s="163"/>
      <c r="DF82" s="163"/>
      <c r="DG82" s="163"/>
      <c r="DH82" s="163"/>
      <c r="DI82" s="163"/>
      <c r="DJ82" s="163"/>
      <c r="DK82" s="163"/>
      <c r="DL82" s="163"/>
      <c r="DM82" s="163"/>
      <c r="DN82" s="163"/>
      <c r="DO82" s="163"/>
      <c r="DP82" s="163"/>
      <c r="DQ82" s="163"/>
      <c r="DR82" s="163"/>
      <c r="DS82" s="163"/>
      <c r="DT82" s="163"/>
      <c r="DU82" s="163"/>
      <c r="DV82" s="163"/>
      <c r="DW82" s="163"/>
      <c r="DX82" s="163"/>
      <c r="DY82" s="163"/>
      <c r="DZ82" s="163"/>
      <c r="EA82" s="163"/>
      <c r="EB82" s="163"/>
      <c r="EC82" s="163"/>
      <c r="ED82" s="163"/>
      <c r="EE82" s="163"/>
      <c r="EF82" s="163"/>
      <c r="EG82" s="163"/>
      <c r="EH82" s="163"/>
      <c r="EI82" s="163"/>
      <c r="EJ82" s="163"/>
      <c r="EK82" s="163"/>
      <c r="EL82" s="163"/>
      <c r="EM82" s="163"/>
      <c r="EN82" s="163"/>
      <c r="EO82" s="163"/>
      <c r="EP82" s="163"/>
      <c r="EQ82" s="163"/>
      <c r="ER82" s="163"/>
      <c r="ES82" s="163"/>
      <c r="ET82" s="163"/>
      <c r="EU82" s="163"/>
      <c r="EV82" s="163"/>
      <c r="EW82" s="163"/>
      <c r="EX82" s="163"/>
      <c r="EY82" s="163"/>
      <c r="EZ82" s="80"/>
      <c r="FA82" s="80"/>
      <c r="FB82" s="80"/>
      <c r="FC82" s="80"/>
      <c r="FD82" s="80"/>
      <c r="FE82" s="80"/>
      <c r="FF82" s="80"/>
      <c r="FG82" s="80"/>
      <c r="FH82" s="80"/>
      <c r="FI82" s="80"/>
      <c r="FJ82" s="80"/>
      <c r="FK82" s="80"/>
      <c r="FL82" s="117">
        <v>39000000</v>
      </c>
      <c r="FM82" s="81"/>
      <c r="FN82" s="81"/>
      <c r="FO82" s="81"/>
      <c r="FP82" s="81"/>
      <c r="FQ82" s="81"/>
      <c r="FR82" s="81"/>
      <c r="FS82" s="81"/>
      <c r="FT82" s="81"/>
      <c r="FU82" s="81"/>
      <c r="FV82" s="81"/>
      <c r="FW82" s="81"/>
      <c r="FX82" s="81"/>
      <c r="FY82" s="81"/>
      <c r="GA82" s="73">
        <v>39</v>
      </c>
    </row>
    <row r="83" spans="1:183">
      <c r="A83" s="265"/>
      <c r="B83" s="270"/>
      <c r="C83" s="270"/>
      <c r="D83" s="264">
        <v>0</v>
      </c>
      <c r="E83" s="264">
        <f t="shared" si="22"/>
        <v>0</v>
      </c>
      <c r="F83" s="264">
        <f t="shared" si="23"/>
        <v>0</v>
      </c>
      <c r="G83" s="264">
        <v>0</v>
      </c>
      <c r="H83" s="264">
        <f t="shared" si="24"/>
        <v>0</v>
      </c>
      <c r="I83" s="264">
        <f t="shared" si="25"/>
        <v>0</v>
      </c>
      <c r="J83" s="264">
        <v>0</v>
      </c>
      <c r="K83" s="264">
        <f t="shared" si="19"/>
        <v>0</v>
      </c>
      <c r="L83" s="264">
        <f t="shared" si="29"/>
        <v>0</v>
      </c>
      <c r="M83" s="264">
        <v>0</v>
      </c>
      <c r="N83" s="264">
        <f t="shared" si="21"/>
        <v>0</v>
      </c>
      <c r="O83" s="264">
        <v>0</v>
      </c>
      <c r="P83" s="321">
        <f t="shared" si="18"/>
        <v>0</v>
      </c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  <c r="BQ83" s="163"/>
      <c r="BR83" s="163"/>
      <c r="BS83" s="163"/>
      <c r="BT83" s="163"/>
      <c r="BU83" s="163"/>
      <c r="BV83" s="163"/>
      <c r="BW83" s="163"/>
      <c r="BX83" s="163"/>
      <c r="BY83" s="163"/>
      <c r="BZ83" s="163"/>
      <c r="CA83" s="163"/>
      <c r="CB83" s="163"/>
      <c r="CC83" s="163"/>
      <c r="CD83" s="163"/>
      <c r="CE83" s="163"/>
      <c r="CF83" s="163"/>
      <c r="CG83" s="163"/>
      <c r="CH83" s="163"/>
      <c r="CI83" s="163"/>
      <c r="CJ83" s="163"/>
      <c r="CK83" s="163"/>
      <c r="CL83" s="163"/>
      <c r="CM83" s="163"/>
      <c r="CN83" s="163"/>
      <c r="CO83" s="163"/>
      <c r="CP83" s="163"/>
      <c r="CQ83" s="163"/>
      <c r="CR83" s="163"/>
      <c r="CS83" s="163"/>
      <c r="CT83" s="163"/>
      <c r="CU83" s="163"/>
      <c r="CV83" s="163"/>
      <c r="CW83" s="163"/>
      <c r="CX83" s="163"/>
      <c r="CY83" s="163"/>
      <c r="CZ83" s="163"/>
      <c r="DA83" s="163"/>
      <c r="DB83" s="163"/>
      <c r="DC83" s="163"/>
      <c r="DD83" s="163"/>
      <c r="DE83" s="163"/>
      <c r="DF83" s="163"/>
      <c r="DG83" s="163"/>
      <c r="DH83" s="163"/>
      <c r="DI83" s="163"/>
      <c r="DJ83" s="163"/>
      <c r="DK83" s="163"/>
      <c r="DL83" s="163"/>
      <c r="DM83" s="163"/>
      <c r="DN83" s="163"/>
      <c r="DO83" s="163"/>
      <c r="DP83" s="163"/>
      <c r="DQ83" s="163"/>
      <c r="DR83" s="163"/>
      <c r="DS83" s="163"/>
      <c r="DT83" s="163"/>
      <c r="DU83" s="163"/>
      <c r="DV83" s="163"/>
      <c r="DW83" s="163"/>
      <c r="DX83" s="163"/>
      <c r="DY83" s="163"/>
      <c r="DZ83" s="163"/>
      <c r="EA83" s="163"/>
      <c r="EB83" s="163"/>
      <c r="EC83" s="163"/>
      <c r="ED83" s="163"/>
      <c r="EE83" s="163"/>
      <c r="EF83" s="163"/>
      <c r="EG83" s="163"/>
      <c r="EH83" s="163"/>
      <c r="EI83" s="163"/>
      <c r="EJ83" s="163"/>
      <c r="EK83" s="163"/>
      <c r="EL83" s="163"/>
      <c r="EM83" s="163"/>
      <c r="EN83" s="163"/>
      <c r="EO83" s="163"/>
      <c r="EP83" s="163"/>
      <c r="EQ83" s="163"/>
      <c r="ER83" s="163"/>
      <c r="ES83" s="163"/>
      <c r="ET83" s="163"/>
      <c r="EU83" s="163"/>
      <c r="EV83" s="163"/>
      <c r="EW83" s="163"/>
      <c r="EX83" s="163"/>
      <c r="EY83" s="163"/>
      <c r="EZ83" s="80"/>
      <c r="FA83" s="80"/>
      <c r="FB83" s="80"/>
      <c r="FC83" s="80"/>
      <c r="FD83" s="80"/>
      <c r="FE83" s="80"/>
      <c r="FF83" s="80"/>
      <c r="FG83" s="80"/>
      <c r="FH83" s="80"/>
      <c r="FI83" s="80"/>
      <c r="FJ83" s="80"/>
      <c r="FK83" s="80"/>
      <c r="FL83" s="117">
        <v>0</v>
      </c>
      <c r="FM83" s="81"/>
      <c r="FN83" s="81"/>
      <c r="FO83" s="81"/>
      <c r="FP83" s="81"/>
      <c r="FQ83" s="81"/>
      <c r="FR83" s="81"/>
      <c r="FS83" s="81"/>
      <c r="FT83" s="81"/>
      <c r="FU83" s="81"/>
      <c r="FV83" s="81"/>
      <c r="FW83" s="81"/>
      <c r="FX83" s="81"/>
      <c r="FY83" s="81"/>
      <c r="GA83" s="73"/>
    </row>
    <row r="84" spans="1:183">
      <c r="A84" s="265"/>
      <c r="B84" s="269" t="s">
        <v>73</v>
      </c>
      <c r="C84" s="270"/>
      <c r="D84" s="264">
        <v>0</v>
      </c>
      <c r="E84" s="264">
        <f t="shared" si="22"/>
        <v>0</v>
      </c>
      <c r="F84" s="264">
        <f t="shared" si="23"/>
        <v>0</v>
      </c>
      <c r="G84" s="264">
        <v>0</v>
      </c>
      <c r="H84" s="264">
        <f t="shared" si="24"/>
        <v>0</v>
      </c>
      <c r="I84" s="264">
        <f t="shared" si="25"/>
        <v>0</v>
      </c>
      <c r="J84" s="264">
        <v>0</v>
      </c>
      <c r="K84" s="264">
        <f t="shared" si="19"/>
        <v>0</v>
      </c>
      <c r="L84" s="264">
        <f t="shared" si="29"/>
        <v>0</v>
      </c>
      <c r="M84" s="264">
        <v>0</v>
      </c>
      <c r="N84" s="264">
        <f t="shared" si="21"/>
        <v>0</v>
      </c>
      <c r="O84" s="264">
        <v>0</v>
      </c>
      <c r="P84" s="321">
        <f t="shared" si="18"/>
        <v>0</v>
      </c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163"/>
      <c r="BN84" s="163"/>
      <c r="BO84" s="163"/>
      <c r="BP84" s="163"/>
      <c r="BQ84" s="163"/>
      <c r="BR84" s="163"/>
      <c r="BS84" s="163"/>
      <c r="BT84" s="163"/>
      <c r="BU84" s="163"/>
      <c r="BV84" s="163"/>
      <c r="BW84" s="163"/>
      <c r="BX84" s="163"/>
      <c r="BY84" s="163"/>
      <c r="BZ84" s="163"/>
      <c r="CA84" s="163"/>
      <c r="CB84" s="163"/>
      <c r="CC84" s="163"/>
      <c r="CD84" s="163"/>
      <c r="CE84" s="163"/>
      <c r="CF84" s="163"/>
      <c r="CG84" s="163"/>
      <c r="CH84" s="163"/>
      <c r="CI84" s="163"/>
      <c r="CJ84" s="163"/>
      <c r="CK84" s="163"/>
      <c r="CL84" s="163"/>
      <c r="CM84" s="163"/>
      <c r="CN84" s="163"/>
      <c r="CO84" s="163"/>
      <c r="CP84" s="163"/>
      <c r="CQ84" s="163"/>
      <c r="CR84" s="163"/>
      <c r="CS84" s="163"/>
      <c r="CT84" s="163"/>
      <c r="CU84" s="163"/>
      <c r="CV84" s="163"/>
      <c r="CW84" s="163"/>
      <c r="CX84" s="163"/>
      <c r="CY84" s="163"/>
      <c r="CZ84" s="163"/>
      <c r="DA84" s="163"/>
      <c r="DB84" s="163"/>
      <c r="DC84" s="163"/>
      <c r="DD84" s="163"/>
      <c r="DE84" s="163"/>
      <c r="DF84" s="163"/>
      <c r="DG84" s="163"/>
      <c r="DH84" s="163"/>
      <c r="DI84" s="163"/>
      <c r="DJ84" s="163"/>
      <c r="DK84" s="163"/>
      <c r="DL84" s="163"/>
      <c r="DM84" s="163"/>
      <c r="DN84" s="163"/>
      <c r="DO84" s="163"/>
      <c r="DP84" s="163"/>
      <c r="DQ84" s="163"/>
      <c r="DR84" s="163"/>
      <c r="DS84" s="163"/>
      <c r="DT84" s="163"/>
      <c r="DU84" s="163"/>
      <c r="DV84" s="163"/>
      <c r="DW84" s="163"/>
      <c r="DX84" s="163"/>
      <c r="DY84" s="163"/>
      <c r="DZ84" s="163"/>
      <c r="EA84" s="163"/>
      <c r="EB84" s="163"/>
      <c r="EC84" s="163"/>
      <c r="ED84" s="163"/>
      <c r="EE84" s="163"/>
      <c r="EF84" s="163"/>
      <c r="EG84" s="163"/>
      <c r="EH84" s="163"/>
      <c r="EI84" s="163"/>
      <c r="EJ84" s="163"/>
      <c r="EK84" s="163"/>
      <c r="EL84" s="163"/>
      <c r="EM84" s="163"/>
      <c r="EN84" s="163"/>
      <c r="EO84" s="163"/>
      <c r="EP84" s="163"/>
      <c r="EQ84" s="163"/>
      <c r="ER84" s="163"/>
      <c r="ES84" s="163"/>
      <c r="ET84" s="163"/>
      <c r="EU84" s="163"/>
      <c r="EV84" s="163"/>
      <c r="EW84" s="163"/>
      <c r="EX84" s="163"/>
      <c r="EY84" s="163"/>
      <c r="EZ84" s="80"/>
      <c r="FA84" s="80"/>
      <c r="FB84" s="80"/>
      <c r="FC84" s="80"/>
      <c r="FD84" s="80"/>
      <c r="FE84" s="80"/>
      <c r="FF84" s="80"/>
      <c r="FG84" s="80"/>
      <c r="FH84" s="80"/>
      <c r="FI84" s="80"/>
      <c r="FJ84" s="80"/>
      <c r="FK84" s="80"/>
      <c r="FL84" s="117">
        <v>0</v>
      </c>
      <c r="FM84" s="81"/>
      <c r="FN84" s="81"/>
      <c r="FO84" s="81"/>
      <c r="FP84" s="81"/>
      <c r="FQ84" s="81"/>
      <c r="FR84" s="81"/>
      <c r="FS84" s="81"/>
      <c r="FT84" s="81"/>
      <c r="FU84" s="81"/>
      <c r="FV84" s="81"/>
      <c r="FW84" s="81"/>
      <c r="FX84" s="81"/>
      <c r="FY84" s="81"/>
      <c r="GA84" s="73"/>
    </row>
    <row r="85" spans="1:183">
      <c r="A85" s="265"/>
      <c r="B85" s="270">
        <v>6000</v>
      </c>
      <c r="C85" s="270" t="s">
        <v>74</v>
      </c>
      <c r="D85" s="264">
        <v>0</v>
      </c>
      <c r="E85" s="264">
        <f t="shared" si="22"/>
        <v>0</v>
      </c>
      <c r="F85" s="264">
        <f t="shared" si="23"/>
        <v>0</v>
      </c>
      <c r="G85" s="264">
        <v>0</v>
      </c>
      <c r="H85" s="264">
        <f t="shared" si="24"/>
        <v>0</v>
      </c>
      <c r="I85" s="264">
        <f t="shared" si="25"/>
        <v>0</v>
      </c>
      <c r="J85" s="264">
        <v>0</v>
      </c>
      <c r="K85" s="264">
        <f t="shared" si="19"/>
        <v>0</v>
      </c>
      <c r="L85" s="264">
        <f t="shared" si="29"/>
        <v>0</v>
      </c>
      <c r="M85" s="264">
        <v>0</v>
      </c>
      <c r="N85" s="264">
        <f t="shared" si="21"/>
        <v>0</v>
      </c>
      <c r="O85" s="264">
        <v>0</v>
      </c>
      <c r="P85" s="321">
        <f t="shared" si="18"/>
        <v>0</v>
      </c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163"/>
      <c r="BN85" s="163"/>
      <c r="BO85" s="163"/>
      <c r="BP85" s="163"/>
      <c r="BQ85" s="163"/>
      <c r="BR85" s="163"/>
      <c r="BS85" s="163"/>
      <c r="BT85" s="163"/>
      <c r="BU85" s="163"/>
      <c r="BV85" s="163"/>
      <c r="BW85" s="163"/>
      <c r="BX85" s="163"/>
      <c r="BY85" s="163"/>
      <c r="BZ85" s="163"/>
      <c r="CA85" s="163"/>
      <c r="CB85" s="163"/>
      <c r="CC85" s="163"/>
      <c r="CD85" s="163"/>
      <c r="CE85" s="163"/>
      <c r="CF85" s="163"/>
      <c r="CG85" s="163"/>
      <c r="CH85" s="163"/>
      <c r="CI85" s="163"/>
      <c r="CJ85" s="163"/>
      <c r="CK85" s="163"/>
      <c r="CL85" s="163"/>
      <c r="CM85" s="163"/>
      <c r="CN85" s="163"/>
      <c r="CO85" s="163"/>
      <c r="CP85" s="163"/>
      <c r="CQ85" s="163"/>
      <c r="CR85" s="163"/>
      <c r="CS85" s="163"/>
      <c r="CT85" s="163"/>
      <c r="CU85" s="163"/>
      <c r="CV85" s="163"/>
      <c r="CW85" s="163"/>
      <c r="CX85" s="163"/>
      <c r="CY85" s="163"/>
      <c r="CZ85" s="163"/>
      <c r="DA85" s="163"/>
      <c r="DB85" s="163"/>
      <c r="DC85" s="163"/>
      <c r="DD85" s="163"/>
      <c r="DE85" s="163"/>
      <c r="DF85" s="163"/>
      <c r="DG85" s="163"/>
      <c r="DH85" s="163"/>
      <c r="DI85" s="163"/>
      <c r="DJ85" s="163"/>
      <c r="DK85" s="163"/>
      <c r="DL85" s="163"/>
      <c r="DM85" s="163"/>
      <c r="DN85" s="163"/>
      <c r="DO85" s="163"/>
      <c r="DP85" s="163"/>
      <c r="DQ85" s="163"/>
      <c r="DR85" s="163"/>
      <c r="DS85" s="163"/>
      <c r="DT85" s="163"/>
      <c r="DU85" s="163"/>
      <c r="DV85" s="163"/>
      <c r="DW85" s="163"/>
      <c r="DX85" s="163"/>
      <c r="DY85" s="163"/>
      <c r="DZ85" s="163"/>
      <c r="EA85" s="163"/>
      <c r="EB85" s="163"/>
      <c r="EC85" s="163"/>
      <c r="ED85" s="163"/>
      <c r="EE85" s="163"/>
      <c r="EF85" s="163"/>
      <c r="EG85" s="163"/>
      <c r="EH85" s="163"/>
      <c r="EI85" s="163"/>
      <c r="EJ85" s="163"/>
      <c r="EK85" s="163"/>
      <c r="EL85" s="163"/>
      <c r="EM85" s="163"/>
      <c r="EN85" s="163"/>
      <c r="EO85" s="163"/>
      <c r="EP85" s="163"/>
      <c r="EQ85" s="163"/>
      <c r="ER85" s="163"/>
      <c r="ES85" s="163"/>
      <c r="ET85" s="163"/>
      <c r="EU85" s="163"/>
      <c r="EV85" s="163"/>
      <c r="EW85" s="163"/>
      <c r="EX85" s="163"/>
      <c r="EY85" s="163"/>
      <c r="EZ85" s="80"/>
      <c r="FA85" s="80"/>
      <c r="FB85" s="80"/>
      <c r="FC85" s="80"/>
      <c r="FD85" s="80"/>
      <c r="FE85" s="80"/>
      <c r="FF85" s="80"/>
      <c r="FG85" s="80"/>
      <c r="FH85" s="80"/>
      <c r="FI85" s="80"/>
      <c r="FJ85" s="80"/>
      <c r="FK85" s="80"/>
      <c r="FL85" s="117">
        <v>0</v>
      </c>
      <c r="FM85" s="81"/>
      <c r="FN85" s="81"/>
      <c r="FO85" s="81"/>
      <c r="FP85" s="81"/>
      <c r="FQ85" s="81"/>
      <c r="FR85" s="81"/>
      <c r="FS85" s="81"/>
      <c r="FT85" s="81"/>
      <c r="FU85" s="81"/>
      <c r="FV85" s="81"/>
      <c r="FW85" s="81"/>
      <c r="FX85" s="81"/>
      <c r="FY85" s="81"/>
      <c r="GA85" s="73"/>
    </row>
    <row r="86" spans="1:183">
      <c r="A86" s="265"/>
      <c r="B86" s="270">
        <v>6001</v>
      </c>
      <c r="C86" s="270" t="s">
        <v>75</v>
      </c>
      <c r="D86" s="264">
        <v>1625702446.1599562</v>
      </c>
      <c r="E86" s="264">
        <f t="shared" si="22"/>
        <v>1658216495.0831554</v>
      </c>
      <c r="F86" s="264">
        <f t="shared" si="23"/>
        <v>1691380824.9848185</v>
      </c>
      <c r="G86" s="264">
        <f>1959153119.75387-30000000</f>
        <v>1929153119.75387</v>
      </c>
      <c r="H86" s="264">
        <f t="shared" si="24"/>
        <v>1948444650.9514086</v>
      </c>
      <c r="I86" s="264">
        <f t="shared" si="25"/>
        <v>1967929097.4609227</v>
      </c>
      <c r="J86" s="264">
        <v>1954641443.3269515</v>
      </c>
      <c r="K86" s="264">
        <f t="shared" si="19"/>
        <v>1993734272.1934905</v>
      </c>
      <c r="L86" s="264">
        <f t="shared" si="29"/>
        <v>1953859586.7496207</v>
      </c>
      <c r="M86" s="264">
        <f>2026318040.99738-50000000-25000000</f>
        <v>1951318040.99738</v>
      </c>
      <c r="N86" s="264">
        <f t="shared" si="21"/>
        <v>1912291680.1774325</v>
      </c>
      <c r="O86" s="264">
        <f>2170867367.96206+24281056</f>
        <v>2195148423.96206</v>
      </c>
      <c r="P86" s="321">
        <f t="shared" si="18"/>
        <v>22781820081.801067</v>
      </c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163"/>
      <c r="BN86" s="163"/>
      <c r="BO86" s="163"/>
      <c r="BP86" s="163"/>
      <c r="BQ86" s="163"/>
      <c r="BR86" s="163"/>
      <c r="BS86" s="163"/>
      <c r="BT86" s="163"/>
      <c r="BU86" s="163"/>
      <c r="BV86" s="163"/>
      <c r="BW86" s="163"/>
      <c r="BX86" s="163"/>
      <c r="BY86" s="163"/>
      <c r="BZ86" s="163"/>
      <c r="CA86" s="163"/>
      <c r="CB86" s="163"/>
      <c r="CC86" s="163"/>
      <c r="CD86" s="163"/>
      <c r="CE86" s="163"/>
      <c r="CF86" s="163"/>
      <c r="CG86" s="163"/>
      <c r="CH86" s="163"/>
      <c r="CI86" s="163"/>
      <c r="CJ86" s="163"/>
      <c r="CK86" s="163"/>
      <c r="CL86" s="163"/>
      <c r="CM86" s="163"/>
      <c r="CN86" s="163"/>
      <c r="CO86" s="163"/>
      <c r="CP86" s="163"/>
      <c r="CQ86" s="163"/>
      <c r="CR86" s="163"/>
      <c r="CS86" s="163"/>
      <c r="CT86" s="163"/>
      <c r="CU86" s="163"/>
      <c r="CV86" s="163"/>
      <c r="CW86" s="163"/>
      <c r="CX86" s="163"/>
      <c r="CY86" s="163"/>
      <c r="CZ86" s="163"/>
      <c r="DA86" s="163"/>
      <c r="DB86" s="163"/>
      <c r="DC86" s="163"/>
      <c r="DD86" s="163"/>
      <c r="DE86" s="163"/>
      <c r="DF86" s="163"/>
      <c r="DG86" s="163"/>
      <c r="DH86" s="163"/>
      <c r="DI86" s="163"/>
      <c r="DJ86" s="163"/>
      <c r="DK86" s="163"/>
      <c r="DL86" s="163"/>
      <c r="DM86" s="163"/>
      <c r="DN86" s="163"/>
      <c r="DO86" s="163"/>
      <c r="DP86" s="163"/>
      <c r="DQ86" s="163"/>
      <c r="DR86" s="163"/>
      <c r="DS86" s="163"/>
      <c r="DT86" s="163"/>
      <c r="DU86" s="163"/>
      <c r="DV86" s="163"/>
      <c r="DW86" s="163"/>
      <c r="DX86" s="163"/>
      <c r="DY86" s="163"/>
      <c r="DZ86" s="163"/>
      <c r="EA86" s="163"/>
      <c r="EB86" s="163"/>
      <c r="EC86" s="163"/>
      <c r="ED86" s="163"/>
      <c r="EE86" s="163"/>
      <c r="EF86" s="163"/>
      <c r="EG86" s="163"/>
      <c r="EH86" s="163"/>
      <c r="EI86" s="163"/>
      <c r="EJ86" s="163"/>
      <c r="EK86" s="163"/>
      <c r="EL86" s="163"/>
      <c r="EM86" s="163"/>
      <c r="EN86" s="163"/>
      <c r="EO86" s="163"/>
      <c r="EP86" s="163"/>
      <c r="EQ86" s="163"/>
      <c r="ER86" s="163"/>
      <c r="ES86" s="163"/>
      <c r="ET86" s="163"/>
      <c r="EU86" s="163"/>
      <c r="EV86" s="163"/>
      <c r="EW86" s="163"/>
      <c r="EX86" s="163"/>
      <c r="EY86" s="163"/>
      <c r="EZ86" s="80"/>
      <c r="FA86" s="80"/>
      <c r="FB86" s="80"/>
      <c r="FC86" s="80"/>
      <c r="FD86" s="80"/>
      <c r="FE86" s="80"/>
      <c r="FF86" s="80"/>
      <c r="FG86" s="80"/>
      <c r="FH86" s="80"/>
      <c r="FI86" s="80"/>
      <c r="FJ86" s="80"/>
      <c r="FK86" s="80"/>
      <c r="FL86" s="117">
        <v>1100000000</v>
      </c>
      <c r="FM86" s="81"/>
      <c r="FN86" s="81"/>
      <c r="FO86" s="81"/>
      <c r="FP86" s="81"/>
      <c r="FQ86" s="81"/>
      <c r="FR86" s="81"/>
      <c r="FS86" s="81"/>
      <c r="FT86" s="81"/>
      <c r="FU86" s="81"/>
      <c r="FV86" s="81"/>
      <c r="FW86" s="81"/>
      <c r="FX86" s="81"/>
      <c r="FY86" s="81"/>
      <c r="GA86" s="73">
        <v>1000</v>
      </c>
    </row>
    <row r="87" spans="1:183">
      <c r="A87" s="265"/>
      <c r="B87" s="270">
        <v>6002</v>
      </c>
      <c r="C87" s="270" t="s">
        <v>76</v>
      </c>
      <c r="D87" s="264">
        <v>133012018.32217821</v>
      </c>
      <c r="E87" s="264">
        <f t="shared" si="22"/>
        <v>135672258.68862179</v>
      </c>
      <c r="F87" s="264">
        <f t="shared" si="23"/>
        <v>138385703.86239421</v>
      </c>
      <c r="G87" s="264">
        <v>160294346.16168016</v>
      </c>
      <c r="H87" s="264">
        <f t="shared" si="24"/>
        <v>161897289.62329698</v>
      </c>
      <c r="I87" s="264">
        <f t="shared" si="25"/>
        <v>163516262.51952994</v>
      </c>
      <c r="J87" s="264">
        <v>159925208.99947783</v>
      </c>
      <c r="K87" s="264">
        <f t="shared" si="19"/>
        <v>163123713.17946738</v>
      </c>
      <c r="L87" s="264">
        <f t="shared" si="29"/>
        <v>159861238.91587803</v>
      </c>
      <c r="M87" s="264">
        <v>165789657.89978525</v>
      </c>
      <c r="N87" s="264">
        <f t="shared" si="21"/>
        <v>162473864.74178955</v>
      </c>
      <c r="O87" s="264">
        <v>177616421.01507795</v>
      </c>
      <c r="P87" s="321">
        <f t="shared" si="18"/>
        <v>1881567983.9291773</v>
      </c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163"/>
      <c r="BN87" s="163"/>
      <c r="BO87" s="163"/>
      <c r="BP87" s="163"/>
      <c r="BQ87" s="163"/>
      <c r="BR87" s="163"/>
      <c r="BS87" s="163"/>
      <c r="BT87" s="163"/>
      <c r="BU87" s="163"/>
      <c r="BV87" s="163"/>
      <c r="BW87" s="163"/>
      <c r="BX87" s="163"/>
      <c r="BY87" s="163"/>
      <c r="BZ87" s="163"/>
      <c r="CA87" s="163"/>
      <c r="CB87" s="163"/>
      <c r="CC87" s="163"/>
      <c r="CD87" s="163"/>
      <c r="CE87" s="163"/>
      <c r="CF87" s="163"/>
      <c r="CG87" s="163"/>
      <c r="CH87" s="163"/>
      <c r="CI87" s="163"/>
      <c r="CJ87" s="163"/>
      <c r="CK87" s="163"/>
      <c r="CL87" s="163"/>
      <c r="CM87" s="163"/>
      <c r="CN87" s="163"/>
      <c r="CO87" s="163"/>
      <c r="CP87" s="163"/>
      <c r="CQ87" s="163"/>
      <c r="CR87" s="163"/>
      <c r="CS87" s="163"/>
      <c r="CT87" s="163"/>
      <c r="CU87" s="163"/>
      <c r="CV87" s="163"/>
      <c r="CW87" s="163"/>
      <c r="CX87" s="163"/>
      <c r="CY87" s="163"/>
      <c r="CZ87" s="163"/>
      <c r="DA87" s="163"/>
      <c r="DB87" s="163"/>
      <c r="DC87" s="163"/>
      <c r="DD87" s="163"/>
      <c r="DE87" s="163"/>
      <c r="DF87" s="163"/>
      <c r="DG87" s="163"/>
      <c r="DH87" s="163"/>
      <c r="DI87" s="163"/>
      <c r="DJ87" s="163"/>
      <c r="DK87" s="163"/>
      <c r="DL87" s="163"/>
      <c r="DM87" s="163"/>
      <c r="DN87" s="163"/>
      <c r="DO87" s="163"/>
      <c r="DP87" s="163"/>
      <c r="DQ87" s="163"/>
      <c r="DR87" s="163"/>
      <c r="DS87" s="163"/>
      <c r="DT87" s="163"/>
      <c r="DU87" s="163"/>
      <c r="DV87" s="163"/>
      <c r="DW87" s="163"/>
      <c r="DX87" s="163"/>
      <c r="DY87" s="163"/>
      <c r="DZ87" s="163"/>
      <c r="EA87" s="163"/>
      <c r="EB87" s="163"/>
      <c r="EC87" s="163"/>
      <c r="ED87" s="163"/>
      <c r="EE87" s="163"/>
      <c r="EF87" s="163"/>
      <c r="EG87" s="163"/>
      <c r="EH87" s="163"/>
      <c r="EI87" s="163"/>
      <c r="EJ87" s="163"/>
      <c r="EK87" s="163"/>
      <c r="EL87" s="163"/>
      <c r="EM87" s="163"/>
      <c r="EN87" s="163"/>
      <c r="EO87" s="163"/>
      <c r="EP87" s="163"/>
      <c r="EQ87" s="163"/>
      <c r="ER87" s="163"/>
      <c r="ES87" s="163"/>
      <c r="ET87" s="163"/>
      <c r="EU87" s="163"/>
      <c r="EV87" s="163"/>
      <c r="EW87" s="163"/>
      <c r="EX87" s="163"/>
      <c r="EY87" s="163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117">
        <v>90000000</v>
      </c>
      <c r="FM87" s="81"/>
      <c r="FN87" s="81"/>
      <c r="FO87" s="81"/>
      <c r="FP87" s="81"/>
      <c r="FQ87" s="81"/>
      <c r="FR87" s="81"/>
      <c r="FS87" s="81"/>
      <c r="FT87" s="81"/>
      <c r="FU87" s="81"/>
      <c r="FV87" s="81"/>
      <c r="FW87" s="81"/>
      <c r="FX87" s="81"/>
      <c r="FY87" s="81"/>
      <c r="GA87" s="73">
        <v>90</v>
      </c>
    </row>
    <row r="88" spans="1:183">
      <c r="A88" s="265"/>
      <c r="B88" s="270">
        <v>6020</v>
      </c>
      <c r="C88" s="270" t="s">
        <v>77</v>
      </c>
      <c r="D88" s="264">
        <f>1847389143.36359-30000000</f>
        <v>1817389143.36359</v>
      </c>
      <c r="E88" s="264">
        <f t="shared" si="22"/>
        <v>1853736926.2308619</v>
      </c>
      <c r="F88" s="264">
        <f t="shared" si="23"/>
        <v>1890811664.7554791</v>
      </c>
      <c r="G88" s="264">
        <f>2226310363.35667-50000000</f>
        <v>2176310363.3566699</v>
      </c>
      <c r="H88" s="264">
        <f t="shared" si="24"/>
        <v>2198073466.9902368</v>
      </c>
      <c r="I88" s="264">
        <f>H88+(H88*$I$8%)-20000000</f>
        <v>2200054201.6601391</v>
      </c>
      <c r="J88" s="264">
        <v>2221183458.3260803</v>
      </c>
      <c r="K88" s="264">
        <f t="shared" si="19"/>
        <v>2265607127.4926019</v>
      </c>
      <c r="L88" s="264">
        <f t="shared" si="29"/>
        <v>2220294984.94275</v>
      </c>
      <c r="M88" s="264">
        <v>2302634137.4970164</v>
      </c>
      <c r="N88" s="264">
        <f t="shared" si="21"/>
        <v>2256581454.747076</v>
      </c>
      <c r="O88" s="264">
        <v>2466894736.3205256</v>
      </c>
      <c r="P88" s="321">
        <f t="shared" si="18"/>
        <v>25869571665.683029</v>
      </c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163"/>
      <c r="BK88" s="163"/>
      <c r="BL88" s="163"/>
      <c r="BM88" s="163"/>
      <c r="BN88" s="163"/>
      <c r="BO88" s="163"/>
      <c r="BP88" s="163"/>
      <c r="BQ88" s="163"/>
      <c r="BR88" s="163"/>
      <c r="BS88" s="163"/>
      <c r="BT88" s="163"/>
      <c r="BU88" s="163"/>
      <c r="BV88" s="163"/>
      <c r="BW88" s="163"/>
      <c r="BX88" s="163"/>
      <c r="BY88" s="163"/>
      <c r="BZ88" s="163"/>
      <c r="CA88" s="163"/>
      <c r="CB88" s="163"/>
      <c r="CC88" s="163"/>
      <c r="CD88" s="163"/>
      <c r="CE88" s="163"/>
      <c r="CF88" s="163"/>
      <c r="CG88" s="163"/>
      <c r="CH88" s="163"/>
      <c r="CI88" s="163"/>
      <c r="CJ88" s="163"/>
      <c r="CK88" s="163"/>
      <c r="CL88" s="163"/>
      <c r="CM88" s="163"/>
      <c r="CN88" s="163"/>
      <c r="CO88" s="163"/>
      <c r="CP88" s="163"/>
      <c r="CQ88" s="163"/>
      <c r="CR88" s="163"/>
      <c r="CS88" s="163"/>
      <c r="CT88" s="163"/>
      <c r="CU88" s="163"/>
      <c r="CV88" s="163"/>
      <c r="CW88" s="163"/>
      <c r="CX88" s="163"/>
      <c r="CY88" s="163"/>
      <c r="CZ88" s="163"/>
      <c r="DA88" s="163"/>
      <c r="DB88" s="163"/>
      <c r="DC88" s="163"/>
      <c r="DD88" s="163"/>
      <c r="DE88" s="163"/>
      <c r="DF88" s="163"/>
      <c r="DG88" s="163"/>
      <c r="DH88" s="163"/>
      <c r="DI88" s="163"/>
      <c r="DJ88" s="163"/>
      <c r="DK88" s="163"/>
      <c r="DL88" s="163"/>
      <c r="DM88" s="163"/>
      <c r="DN88" s="163"/>
      <c r="DO88" s="163"/>
      <c r="DP88" s="163"/>
      <c r="DQ88" s="163"/>
      <c r="DR88" s="163"/>
      <c r="DS88" s="163"/>
      <c r="DT88" s="163"/>
      <c r="DU88" s="163"/>
      <c r="DV88" s="163"/>
      <c r="DW88" s="163"/>
      <c r="DX88" s="163"/>
      <c r="DY88" s="163"/>
      <c r="DZ88" s="163"/>
      <c r="EA88" s="163"/>
      <c r="EB88" s="163"/>
      <c r="EC88" s="163"/>
      <c r="ED88" s="163"/>
      <c r="EE88" s="163"/>
      <c r="EF88" s="163"/>
      <c r="EG88" s="163"/>
      <c r="EH88" s="163"/>
      <c r="EI88" s="163"/>
      <c r="EJ88" s="163"/>
      <c r="EK88" s="163"/>
      <c r="EL88" s="163"/>
      <c r="EM88" s="163"/>
      <c r="EN88" s="163"/>
      <c r="EO88" s="163"/>
      <c r="EP88" s="163"/>
      <c r="EQ88" s="163"/>
      <c r="ER88" s="163"/>
      <c r="ES88" s="163"/>
      <c r="ET88" s="163"/>
      <c r="EU88" s="163"/>
      <c r="EV88" s="163"/>
      <c r="EW88" s="163"/>
      <c r="EX88" s="163"/>
      <c r="EY88" s="163"/>
      <c r="EZ88" s="80"/>
      <c r="FA88" s="80"/>
      <c r="FB88" s="80"/>
      <c r="FC88" s="80"/>
      <c r="FD88" s="80"/>
      <c r="FE88" s="80"/>
      <c r="FF88" s="80"/>
      <c r="FG88" s="80"/>
      <c r="FH88" s="80"/>
      <c r="FI88" s="80"/>
      <c r="FJ88" s="80"/>
      <c r="FK88" s="80"/>
      <c r="FL88" s="117">
        <v>1300000000</v>
      </c>
      <c r="FM88" s="81"/>
      <c r="FN88" s="81"/>
      <c r="FO88" s="81"/>
      <c r="FP88" s="81"/>
      <c r="FQ88" s="81"/>
      <c r="FR88" s="81"/>
      <c r="FS88" s="81"/>
      <c r="FT88" s="81"/>
      <c r="FU88" s="81"/>
      <c r="FV88" s="81"/>
      <c r="FW88" s="81"/>
      <c r="FX88" s="81"/>
      <c r="FY88" s="81"/>
      <c r="GA88" s="73">
        <v>1000</v>
      </c>
    </row>
    <row r="89" spans="1:183">
      <c r="A89" s="265"/>
      <c r="B89" s="270">
        <v>6021</v>
      </c>
      <c r="C89" s="270" t="s">
        <v>78</v>
      </c>
      <c r="D89" s="264">
        <v>133012018.32217821</v>
      </c>
      <c r="E89" s="264">
        <f t="shared" si="22"/>
        <v>135672258.68862179</v>
      </c>
      <c r="F89" s="264">
        <f t="shared" si="23"/>
        <v>138385703.86239421</v>
      </c>
      <c r="G89" s="264">
        <v>160294346.16168016</v>
      </c>
      <c r="H89" s="264">
        <f t="shared" si="24"/>
        <v>161897289.62329698</v>
      </c>
      <c r="I89" s="264">
        <f t="shared" si="25"/>
        <v>163516262.51952994</v>
      </c>
      <c r="J89" s="264">
        <v>159925208.99947783</v>
      </c>
      <c r="K89" s="264">
        <f t="shared" si="19"/>
        <v>163123713.17946738</v>
      </c>
      <c r="L89" s="264">
        <f t="shared" si="29"/>
        <v>159861238.91587803</v>
      </c>
      <c r="M89" s="264">
        <v>165789657.89978525</v>
      </c>
      <c r="N89" s="264">
        <f t="shared" si="21"/>
        <v>162473864.74178955</v>
      </c>
      <c r="O89" s="264">
        <v>177616421.01507795</v>
      </c>
      <c r="P89" s="321">
        <f t="shared" si="18"/>
        <v>1881567983.9291773</v>
      </c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3"/>
      <c r="BW89" s="163"/>
      <c r="BX89" s="163"/>
      <c r="BY89" s="163"/>
      <c r="BZ89" s="163"/>
      <c r="CA89" s="163"/>
      <c r="CB89" s="163"/>
      <c r="CC89" s="163"/>
      <c r="CD89" s="163"/>
      <c r="CE89" s="163"/>
      <c r="CF89" s="163"/>
      <c r="CG89" s="163"/>
      <c r="CH89" s="163"/>
      <c r="CI89" s="163"/>
      <c r="CJ89" s="163"/>
      <c r="CK89" s="163"/>
      <c r="CL89" s="163"/>
      <c r="CM89" s="163"/>
      <c r="CN89" s="163"/>
      <c r="CO89" s="163"/>
      <c r="CP89" s="163"/>
      <c r="CQ89" s="163"/>
      <c r="CR89" s="163"/>
      <c r="CS89" s="163"/>
      <c r="CT89" s="163"/>
      <c r="CU89" s="163"/>
      <c r="CV89" s="163"/>
      <c r="CW89" s="163"/>
      <c r="CX89" s="163"/>
      <c r="CY89" s="163"/>
      <c r="CZ89" s="163"/>
      <c r="DA89" s="163"/>
      <c r="DB89" s="163"/>
      <c r="DC89" s="163"/>
      <c r="DD89" s="163"/>
      <c r="DE89" s="163"/>
      <c r="DF89" s="163"/>
      <c r="DG89" s="163"/>
      <c r="DH89" s="163"/>
      <c r="DI89" s="163"/>
      <c r="DJ89" s="163"/>
      <c r="DK89" s="163"/>
      <c r="DL89" s="163"/>
      <c r="DM89" s="163"/>
      <c r="DN89" s="163"/>
      <c r="DO89" s="163"/>
      <c r="DP89" s="163"/>
      <c r="DQ89" s="163"/>
      <c r="DR89" s="163"/>
      <c r="DS89" s="163"/>
      <c r="DT89" s="163"/>
      <c r="DU89" s="163"/>
      <c r="DV89" s="163"/>
      <c r="DW89" s="163"/>
      <c r="DX89" s="163"/>
      <c r="DY89" s="163"/>
      <c r="DZ89" s="163"/>
      <c r="EA89" s="163"/>
      <c r="EB89" s="163"/>
      <c r="EC89" s="163"/>
      <c r="ED89" s="163"/>
      <c r="EE89" s="163"/>
      <c r="EF89" s="163"/>
      <c r="EG89" s="163"/>
      <c r="EH89" s="163"/>
      <c r="EI89" s="163"/>
      <c r="EJ89" s="163"/>
      <c r="EK89" s="163"/>
      <c r="EL89" s="163"/>
      <c r="EM89" s="163"/>
      <c r="EN89" s="163"/>
      <c r="EO89" s="163"/>
      <c r="EP89" s="163"/>
      <c r="EQ89" s="163"/>
      <c r="ER89" s="163"/>
      <c r="ES89" s="163"/>
      <c r="ET89" s="163"/>
      <c r="EU89" s="163"/>
      <c r="EV89" s="163"/>
      <c r="EW89" s="163"/>
      <c r="EX89" s="163"/>
      <c r="EY89" s="163"/>
      <c r="EZ89" s="80"/>
      <c r="FA89" s="80"/>
      <c r="FB89" s="80"/>
      <c r="FC89" s="80"/>
      <c r="FD89" s="80"/>
      <c r="FE89" s="80"/>
      <c r="FF89" s="80"/>
      <c r="FG89" s="80"/>
      <c r="FH89" s="80"/>
      <c r="FI89" s="80"/>
      <c r="FJ89" s="80"/>
      <c r="FK89" s="80"/>
      <c r="FL89" s="117">
        <v>90000000</v>
      </c>
      <c r="FM89" s="81"/>
      <c r="FN89" s="81"/>
      <c r="FO89" s="81"/>
      <c r="FP89" s="81"/>
      <c r="FQ89" s="81"/>
      <c r="FR89" s="81"/>
      <c r="FS89" s="81"/>
      <c r="FT89" s="81"/>
      <c r="FU89" s="81"/>
      <c r="FV89" s="81"/>
      <c r="FW89" s="81"/>
      <c r="FX89" s="81"/>
      <c r="FY89" s="81"/>
      <c r="GA89" s="73">
        <v>90</v>
      </c>
    </row>
    <row r="90" spans="1:183" ht="16.5" customHeight="1">
      <c r="A90" s="265"/>
      <c r="B90" s="270">
        <v>6030</v>
      </c>
      <c r="C90" s="270" t="s">
        <v>79</v>
      </c>
      <c r="D90" s="264">
        <v>5911645.2587634772</v>
      </c>
      <c r="E90" s="264">
        <f t="shared" si="22"/>
        <v>6029878.1639387468</v>
      </c>
      <c r="F90" s="264">
        <f t="shared" si="23"/>
        <v>6150475.7272175215</v>
      </c>
      <c r="G90" s="264">
        <v>7124193.1627413416</v>
      </c>
      <c r="H90" s="264">
        <f t="shared" si="24"/>
        <v>7195435.0943687549</v>
      </c>
      <c r="I90" s="264">
        <f t="shared" si="25"/>
        <v>7267389.4453124423</v>
      </c>
      <c r="J90" s="264">
        <v>7107787.0666434597</v>
      </c>
      <c r="K90" s="264">
        <f t="shared" si="19"/>
        <v>7249942.8079763288</v>
      </c>
      <c r="L90" s="264">
        <f t="shared" si="29"/>
        <v>7104943.9518168019</v>
      </c>
      <c r="M90" s="264">
        <v>7368429.239990457</v>
      </c>
      <c r="N90" s="264">
        <f t="shared" si="21"/>
        <v>7221060.6551906476</v>
      </c>
      <c r="O90" s="264">
        <v>7894063.1562256869</v>
      </c>
      <c r="P90" s="321">
        <f t="shared" si="18"/>
        <v>83625243.730185658</v>
      </c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3"/>
      <c r="BW90" s="163"/>
      <c r="BX90" s="163"/>
      <c r="BY90" s="163"/>
      <c r="BZ90" s="163"/>
      <c r="CA90" s="163"/>
      <c r="CB90" s="163"/>
      <c r="CC90" s="163"/>
      <c r="CD90" s="163"/>
      <c r="CE90" s="163"/>
      <c r="CF90" s="163"/>
      <c r="CG90" s="163"/>
      <c r="CH90" s="163"/>
      <c r="CI90" s="163"/>
      <c r="CJ90" s="163"/>
      <c r="CK90" s="163"/>
      <c r="CL90" s="163"/>
      <c r="CM90" s="163"/>
      <c r="CN90" s="163"/>
      <c r="CO90" s="163"/>
      <c r="CP90" s="163"/>
      <c r="CQ90" s="163"/>
      <c r="CR90" s="163"/>
      <c r="CS90" s="163"/>
      <c r="CT90" s="163"/>
      <c r="CU90" s="163"/>
      <c r="CV90" s="163"/>
      <c r="CW90" s="163"/>
      <c r="CX90" s="163"/>
      <c r="CY90" s="163"/>
      <c r="CZ90" s="163"/>
      <c r="DA90" s="163"/>
      <c r="DB90" s="163"/>
      <c r="DC90" s="163"/>
      <c r="DD90" s="163"/>
      <c r="DE90" s="163"/>
      <c r="DF90" s="163"/>
      <c r="DG90" s="163"/>
      <c r="DH90" s="163"/>
      <c r="DI90" s="163"/>
      <c r="DJ90" s="163"/>
      <c r="DK90" s="163"/>
      <c r="DL90" s="163"/>
      <c r="DM90" s="163"/>
      <c r="DN90" s="163"/>
      <c r="DO90" s="163"/>
      <c r="DP90" s="163"/>
      <c r="DQ90" s="163"/>
      <c r="DR90" s="163"/>
      <c r="DS90" s="163"/>
      <c r="DT90" s="163"/>
      <c r="DU90" s="163"/>
      <c r="DV90" s="163"/>
      <c r="DW90" s="163"/>
      <c r="DX90" s="163"/>
      <c r="DY90" s="163"/>
      <c r="DZ90" s="163"/>
      <c r="EA90" s="163"/>
      <c r="EB90" s="163"/>
      <c r="EC90" s="163"/>
      <c r="ED90" s="163"/>
      <c r="EE90" s="163"/>
      <c r="EF90" s="163"/>
      <c r="EG90" s="163"/>
      <c r="EH90" s="163"/>
      <c r="EI90" s="163"/>
      <c r="EJ90" s="163"/>
      <c r="EK90" s="163"/>
      <c r="EL90" s="163"/>
      <c r="EM90" s="163"/>
      <c r="EN90" s="163"/>
      <c r="EO90" s="163"/>
      <c r="EP90" s="163"/>
      <c r="EQ90" s="163"/>
      <c r="ER90" s="163"/>
      <c r="ES90" s="163"/>
      <c r="ET90" s="163"/>
      <c r="EU90" s="163"/>
      <c r="EV90" s="163"/>
      <c r="EW90" s="163"/>
      <c r="EX90" s="163"/>
      <c r="EY90" s="163"/>
      <c r="EZ90" s="80"/>
      <c r="FA90" s="80"/>
      <c r="FB90" s="80"/>
      <c r="FC90" s="80"/>
      <c r="FD90" s="80"/>
      <c r="FE90" s="80"/>
      <c r="FF90" s="80"/>
      <c r="FG90" s="80"/>
      <c r="FH90" s="80"/>
      <c r="FI90" s="80"/>
      <c r="FJ90" s="80"/>
      <c r="FK90" s="80"/>
      <c r="FL90" s="117">
        <v>4000000</v>
      </c>
      <c r="FM90" s="81"/>
      <c r="FN90" s="81"/>
      <c r="FO90" s="81"/>
      <c r="FP90" s="81"/>
      <c r="FQ90" s="81"/>
      <c r="FR90" s="81"/>
      <c r="FS90" s="81"/>
      <c r="FT90" s="81"/>
      <c r="FU90" s="81"/>
      <c r="FV90" s="81"/>
      <c r="FW90" s="81"/>
      <c r="FX90" s="81"/>
      <c r="FY90" s="81"/>
      <c r="GA90" s="73">
        <v>4</v>
      </c>
    </row>
    <row r="91" spans="1:183" ht="16.5" customHeight="1">
      <c r="A91" s="265"/>
      <c r="B91" s="270">
        <v>6040</v>
      </c>
      <c r="C91" s="270" t="s">
        <v>80</v>
      </c>
      <c r="D91" s="264">
        <v>0</v>
      </c>
      <c r="E91" s="264">
        <f t="shared" si="22"/>
        <v>0</v>
      </c>
      <c r="F91" s="264">
        <f t="shared" si="23"/>
        <v>0</v>
      </c>
      <c r="G91" s="264">
        <v>0</v>
      </c>
      <c r="H91" s="264">
        <f t="shared" si="24"/>
        <v>0</v>
      </c>
      <c r="I91" s="264">
        <f t="shared" si="25"/>
        <v>0</v>
      </c>
      <c r="J91" s="264">
        <v>0</v>
      </c>
      <c r="K91" s="264">
        <f t="shared" si="19"/>
        <v>0</v>
      </c>
      <c r="L91" s="264">
        <f t="shared" si="29"/>
        <v>0</v>
      </c>
      <c r="M91" s="264">
        <v>0</v>
      </c>
      <c r="N91" s="264">
        <f t="shared" si="21"/>
        <v>0</v>
      </c>
      <c r="O91" s="264">
        <v>0</v>
      </c>
      <c r="P91" s="321">
        <f t="shared" si="18"/>
        <v>0</v>
      </c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  <c r="BQ91" s="163"/>
      <c r="BR91" s="163"/>
      <c r="BS91" s="163"/>
      <c r="BT91" s="163"/>
      <c r="BU91" s="163"/>
      <c r="BV91" s="163"/>
      <c r="BW91" s="163"/>
      <c r="BX91" s="163"/>
      <c r="BY91" s="163"/>
      <c r="BZ91" s="163"/>
      <c r="CA91" s="163"/>
      <c r="CB91" s="163"/>
      <c r="CC91" s="163"/>
      <c r="CD91" s="163"/>
      <c r="CE91" s="163"/>
      <c r="CF91" s="163"/>
      <c r="CG91" s="163"/>
      <c r="CH91" s="163"/>
      <c r="CI91" s="163"/>
      <c r="CJ91" s="163"/>
      <c r="CK91" s="163"/>
      <c r="CL91" s="163"/>
      <c r="CM91" s="163"/>
      <c r="CN91" s="163"/>
      <c r="CO91" s="163"/>
      <c r="CP91" s="163"/>
      <c r="CQ91" s="163"/>
      <c r="CR91" s="163"/>
      <c r="CS91" s="163"/>
      <c r="CT91" s="163"/>
      <c r="CU91" s="163"/>
      <c r="CV91" s="163"/>
      <c r="CW91" s="163"/>
      <c r="CX91" s="163"/>
      <c r="CY91" s="163"/>
      <c r="CZ91" s="163"/>
      <c r="DA91" s="163"/>
      <c r="DB91" s="163"/>
      <c r="DC91" s="163"/>
      <c r="DD91" s="163"/>
      <c r="DE91" s="163"/>
      <c r="DF91" s="163"/>
      <c r="DG91" s="163"/>
      <c r="DH91" s="163"/>
      <c r="DI91" s="163"/>
      <c r="DJ91" s="163"/>
      <c r="DK91" s="163"/>
      <c r="DL91" s="163"/>
      <c r="DM91" s="163"/>
      <c r="DN91" s="163"/>
      <c r="DO91" s="163"/>
      <c r="DP91" s="163"/>
      <c r="DQ91" s="163"/>
      <c r="DR91" s="163"/>
      <c r="DS91" s="163"/>
      <c r="DT91" s="163"/>
      <c r="DU91" s="163"/>
      <c r="DV91" s="163"/>
      <c r="DW91" s="163"/>
      <c r="DX91" s="163"/>
      <c r="DY91" s="163"/>
      <c r="DZ91" s="163"/>
      <c r="EA91" s="163"/>
      <c r="EB91" s="163"/>
      <c r="EC91" s="163"/>
      <c r="ED91" s="163"/>
      <c r="EE91" s="163"/>
      <c r="EF91" s="163"/>
      <c r="EG91" s="163"/>
      <c r="EH91" s="163"/>
      <c r="EI91" s="163"/>
      <c r="EJ91" s="163"/>
      <c r="EK91" s="163"/>
      <c r="EL91" s="163"/>
      <c r="EM91" s="163"/>
      <c r="EN91" s="163"/>
      <c r="EO91" s="163"/>
      <c r="EP91" s="163"/>
      <c r="EQ91" s="163"/>
      <c r="ER91" s="163"/>
      <c r="ES91" s="163"/>
      <c r="ET91" s="163"/>
      <c r="EU91" s="163"/>
      <c r="EV91" s="163"/>
      <c r="EW91" s="163"/>
      <c r="EX91" s="163"/>
      <c r="EY91" s="163"/>
      <c r="EZ91" s="80"/>
      <c r="FA91" s="80"/>
      <c r="FB91" s="80"/>
      <c r="FC91" s="80"/>
      <c r="FD91" s="80"/>
      <c r="FE91" s="80"/>
      <c r="FF91" s="80"/>
      <c r="FG91" s="80"/>
      <c r="FH91" s="80"/>
      <c r="FI91" s="80"/>
      <c r="FJ91" s="80"/>
      <c r="FK91" s="80"/>
      <c r="FL91" s="117">
        <v>0</v>
      </c>
      <c r="FM91" s="81"/>
      <c r="FN91" s="81"/>
      <c r="FO91" s="81"/>
      <c r="FP91" s="81"/>
      <c r="FQ91" s="81"/>
      <c r="FR91" s="81"/>
      <c r="FS91" s="81"/>
      <c r="FT91" s="81"/>
      <c r="FU91" s="81"/>
      <c r="FV91" s="81"/>
      <c r="FW91" s="81"/>
      <c r="FX91" s="81"/>
      <c r="FY91" s="81"/>
      <c r="GA91" s="73"/>
    </row>
    <row r="92" spans="1:183">
      <c r="A92" s="265"/>
      <c r="B92" s="270">
        <v>6041</v>
      </c>
      <c r="C92" s="270" t="s">
        <v>81</v>
      </c>
      <c r="D92" s="264">
        <v>0</v>
      </c>
      <c r="E92" s="264">
        <f t="shared" si="22"/>
        <v>0</v>
      </c>
      <c r="F92" s="264">
        <f t="shared" si="23"/>
        <v>0</v>
      </c>
      <c r="G92" s="264">
        <v>0</v>
      </c>
      <c r="H92" s="264">
        <f t="shared" si="24"/>
        <v>0</v>
      </c>
      <c r="I92" s="264">
        <f t="shared" si="25"/>
        <v>0</v>
      </c>
      <c r="J92" s="264">
        <v>0</v>
      </c>
      <c r="K92" s="264">
        <f t="shared" si="19"/>
        <v>0</v>
      </c>
      <c r="L92" s="264">
        <f t="shared" si="29"/>
        <v>0</v>
      </c>
      <c r="M92" s="264">
        <v>0</v>
      </c>
      <c r="N92" s="264">
        <f t="shared" si="21"/>
        <v>0</v>
      </c>
      <c r="O92" s="264">
        <v>0</v>
      </c>
      <c r="P92" s="321">
        <f t="shared" si="18"/>
        <v>0</v>
      </c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  <c r="BQ92" s="163"/>
      <c r="BR92" s="163"/>
      <c r="BS92" s="163"/>
      <c r="BT92" s="163"/>
      <c r="BU92" s="163"/>
      <c r="BV92" s="163"/>
      <c r="BW92" s="163"/>
      <c r="BX92" s="163"/>
      <c r="BY92" s="163"/>
      <c r="BZ92" s="163"/>
      <c r="CA92" s="163"/>
      <c r="CB92" s="163"/>
      <c r="CC92" s="163"/>
      <c r="CD92" s="163"/>
      <c r="CE92" s="163"/>
      <c r="CF92" s="163"/>
      <c r="CG92" s="163"/>
      <c r="CH92" s="163"/>
      <c r="CI92" s="163"/>
      <c r="CJ92" s="163"/>
      <c r="CK92" s="163"/>
      <c r="CL92" s="163"/>
      <c r="CM92" s="163"/>
      <c r="CN92" s="163"/>
      <c r="CO92" s="163"/>
      <c r="CP92" s="163"/>
      <c r="CQ92" s="163"/>
      <c r="CR92" s="163"/>
      <c r="CS92" s="163"/>
      <c r="CT92" s="163"/>
      <c r="CU92" s="163"/>
      <c r="CV92" s="163"/>
      <c r="CW92" s="163"/>
      <c r="CX92" s="163"/>
      <c r="CY92" s="163"/>
      <c r="CZ92" s="163"/>
      <c r="DA92" s="163"/>
      <c r="DB92" s="163"/>
      <c r="DC92" s="163"/>
      <c r="DD92" s="163"/>
      <c r="DE92" s="163"/>
      <c r="DF92" s="163"/>
      <c r="DG92" s="163"/>
      <c r="DH92" s="163"/>
      <c r="DI92" s="163"/>
      <c r="DJ92" s="163"/>
      <c r="DK92" s="163"/>
      <c r="DL92" s="163"/>
      <c r="DM92" s="163"/>
      <c r="DN92" s="163"/>
      <c r="DO92" s="163"/>
      <c r="DP92" s="163"/>
      <c r="DQ92" s="163"/>
      <c r="DR92" s="163"/>
      <c r="DS92" s="163"/>
      <c r="DT92" s="163"/>
      <c r="DU92" s="163"/>
      <c r="DV92" s="163"/>
      <c r="DW92" s="163"/>
      <c r="DX92" s="163"/>
      <c r="DY92" s="163"/>
      <c r="DZ92" s="163"/>
      <c r="EA92" s="163"/>
      <c r="EB92" s="163"/>
      <c r="EC92" s="163"/>
      <c r="ED92" s="163"/>
      <c r="EE92" s="163"/>
      <c r="EF92" s="163"/>
      <c r="EG92" s="163"/>
      <c r="EH92" s="163"/>
      <c r="EI92" s="163"/>
      <c r="EJ92" s="163"/>
      <c r="EK92" s="163"/>
      <c r="EL92" s="163"/>
      <c r="EM92" s="163"/>
      <c r="EN92" s="163"/>
      <c r="EO92" s="163"/>
      <c r="EP92" s="163"/>
      <c r="EQ92" s="163"/>
      <c r="ER92" s="163"/>
      <c r="ES92" s="163"/>
      <c r="ET92" s="163"/>
      <c r="EU92" s="163"/>
      <c r="EV92" s="163"/>
      <c r="EW92" s="163"/>
      <c r="EX92" s="163"/>
      <c r="EY92" s="163"/>
      <c r="EZ92" s="80"/>
      <c r="FA92" s="80"/>
      <c r="FB92" s="80"/>
      <c r="FC92" s="80"/>
      <c r="FD92" s="80"/>
      <c r="FE92" s="80"/>
      <c r="FF92" s="80"/>
      <c r="FG92" s="80"/>
      <c r="FH92" s="80"/>
      <c r="FI92" s="80"/>
      <c r="FJ92" s="80"/>
      <c r="FK92" s="80"/>
      <c r="FL92" s="117">
        <v>0</v>
      </c>
      <c r="FM92" s="81"/>
      <c r="FN92" s="81"/>
      <c r="FO92" s="81"/>
      <c r="FP92" s="81"/>
      <c r="FQ92" s="81"/>
      <c r="FR92" s="81"/>
      <c r="FS92" s="81"/>
      <c r="FT92" s="81"/>
      <c r="FU92" s="81"/>
      <c r="FV92" s="81"/>
      <c r="FW92" s="81"/>
      <c r="FX92" s="81"/>
      <c r="FY92" s="81"/>
      <c r="GA92" s="73"/>
    </row>
    <row r="93" spans="1:183">
      <c r="A93" s="265"/>
      <c r="B93" s="270">
        <v>6050</v>
      </c>
      <c r="C93" s="270" t="s">
        <v>82</v>
      </c>
      <c r="D93" s="264">
        <v>169959801.18944994</v>
      </c>
      <c r="E93" s="264">
        <f t="shared" si="22"/>
        <v>173358997.21323892</v>
      </c>
      <c r="F93" s="264">
        <f t="shared" si="23"/>
        <v>176826177.15750369</v>
      </c>
      <c r="G93" s="264">
        <v>204820553.42881355</v>
      </c>
      <c r="H93" s="264">
        <f t="shared" si="24"/>
        <v>206868758.96310169</v>
      </c>
      <c r="I93" s="264">
        <f t="shared" si="25"/>
        <v>208937446.55273271</v>
      </c>
      <c r="J93" s="264">
        <v>204348878.16599947</v>
      </c>
      <c r="K93" s="264">
        <f t="shared" si="19"/>
        <v>208435855.72931945</v>
      </c>
      <c r="L93" s="264">
        <f t="shared" si="29"/>
        <v>204267138.61473307</v>
      </c>
      <c r="M93" s="264">
        <v>211842340.64972562</v>
      </c>
      <c r="N93" s="264">
        <f t="shared" si="21"/>
        <v>207605493.83673111</v>
      </c>
      <c r="O93" s="264">
        <v>226954315.74148849</v>
      </c>
      <c r="P93" s="321">
        <f t="shared" ref="P93:P100" si="30">SUM(D93:O93)</f>
        <v>2404225757.2428374</v>
      </c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3"/>
      <c r="BU93" s="163"/>
      <c r="BV93" s="163"/>
      <c r="BW93" s="163"/>
      <c r="BX93" s="163"/>
      <c r="BY93" s="163"/>
      <c r="BZ93" s="163"/>
      <c r="CA93" s="163"/>
      <c r="CB93" s="163"/>
      <c r="CC93" s="163"/>
      <c r="CD93" s="163"/>
      <c r="CE93" s="163"/>
      <c r="CF93" s="163"/>
      <c r="CG93" s="163"/>
      <c r="CH93" s="163"/>
      <c r="CI93" s="163"/>
      <c r="CJ93" s="163"/>
      <c r="CK93" s="163"/>
      <c r="CL93" s="163"/>
      <c r="CM93" s="163"/>
      <c r="CN93" s="163"/>
      <c r="CO93" s="163"/>
      <c r="CP93" s="163"/>
      <c r="CQ93" s="163"/>
      <c r="CR93" s="163"/>
      <c r="CS93" s="163"/>
      <c r="CT93" s="163"/>
      <c r="CU93" s="163"/>
      <c r="CV93" s="163"/>
      <c r="CW93" s="163"/>
      <c r="CX93" s="163"/>
      <c r="CY93" s="163"/>
      <c r="CZ93" s="163"/>
      <c r="DA93" s="163"/>
      <c r="DB93" s="163"/>
      <c r="DC93" s="163"/>
      <c r="DD93" s="163"/>
      <c r="DE93" s="163"/>
      <c r="DF93" s="163"/>
      <c r="DG93" s="163"/>
      <c r="DH93" s="163"/>
      <c r="DI93" s="163"/>
      <c r="DJ93" s="163"/>
      <c r="DK93" s="163"/>
      <c r="DL93" s="163"/>
      <c r="DM93" s="163"/>
      <c r="DN93" s="163"/>
      <c r="DO93" s="163"/>
      <c r="DP93" s="163"/>
      <c r="DQ93" s="163"/>
      <c r="DR93" s="163"/>
      <c r="DS93" s="163"/>
      <c r="DT93" s="163"/>
      <c r="DU93" s="163"/>
      <c r="DV93" s="163"/>
      <c r="DW93" s="163"/>
      <c r="DX93" s="163"/>
      <c r="DY93" s="163"/>
      <c r="DZ93" s="163"/>
      <c r="EA93" s="163"/>
      <c r="EB93" s="163"/>
      <c r="EC93" s="163"/>
      <c r="ED93" s="163"/>
      <c r="EE93" s="163"/>
      <c r="EF93" s="163"/>
      <c r="EG93" s="163"/>
      <c r="EH93" s="163"/>
      <c r="EI93" s="163"/>
      <c r="EJ93" s="163"/>
      <c r="EK93" s="163"/>
      <c r="EL93" s="163"/>
      <c r="EM93" s="163"/>
      <c r="EN93" s="163"/>
      <c r="EO93" s="163"/>
      <c r="EP93" s="163"/>
      <c r="EQ93" s="163"/>
      <c r="ER93" s="163"/>
      <c r="ES93" s="163"/>
      <c r="ET93" s="163"/>
      <c r="EU93" s="163"/>
      <c r="EV93" s="163"/>
      <c r="EW93" s="163"/>
      <c r="EX93" s="163"/>
      <c r="EY93" s="163"/>
      <c r="EZ93" s="80"/>
      <c r="FA93" s="80"/>
      <c r="FB93" s="80"/>
      <c r="FC93" s="80"/>
      <c r="FD93" s="80"/>
      <c r="FE93" s="80"/>
      <c r="FF93" s="80"/>
      <c r="FG93" s="80"/>
      <c r="FH93" s="80"/>
      <c r="FI93" s="80"/>
      <c r="FJ93" s="80"/>
      <c r="FK93" s="80"/>
      <c r="FL93" s="117">
        <v>115000000</v>
      </c>
      <c r="FM93" s="81"/>
      <c r="FN93" s="81"/>
      <c r="FO93" s="81"/>
      <c r="FP93" s="81"/>
      <c r="FQ93" s="81"/>
      <c r="FR93" s="81"/>
      <c r="FS93" s="81"/>
      <c r="FT93" s="81"/>
      <c r="FU93" s="81"/>
      <c r="FV93" s="81"/>
      <c r="FW93" s="81"/>
      <c r="FX93" s="81"/>
      <c r="FY93" s="81"/>
      <c r="GA93" s="73">
        <v>115</v>
      </c>
    </row>
    <row r="94" spans="1:183">
      <c r="A94" s="265"/>
      <c r="B94" s="270">
        <v>6051</v>
      </c>
      <c r="C94" s="270" t="s">
        <v>83</v>
      </c>
      <c r="D94" s="264">
        <v>886746.78881452128</v>
      </c>
      <c r="E94" s="264">
        <f t="shared" si="22"/>
        <v>904481.72459081165</v>
      </c>
      <c r="F94" s="264">
        <f t="shared" si="23"/>
        <v>922571.35908262793</v>
      </c>
      <c r="G94" s="264">
        <v>1068628.974411201</v>
      </c>
      <c r="H94" s="264">
        <f t="shared" si="24"/>
        <v>1079315.2641553129</v>
      </c>
      <c r="I94" s="264">
        <f t="shared" si="25"/>
        <v>1090108.4167968661</v>
      </c>
      <c r="J94" s="264">
        <v>1066168.0599965188</v>
      </c>
      <c r="K94" s="264">
        <f t="shared" ref="K94:K99" si="31">J94+(J94*$K$8%)</f>
        <v>1087491.4211964491</v>
      </c>
      <c r="L94" s="264">
        <f t="shared" ref="L94:L99" si="32">K94+(K94*$J$8%)</f>
        <v>1065741.5927725201</v>
      </c>
      <c r="M94" s="264">
        <v>1105264.3859985683</v>
      </c>
      <c r="N94" s="264">
        <f t="shared" ref="N94:N99" si="33">M94+(M94*$J$8%)</f>
        <v>1083159.098278597</v>
      </c>
      <c r="O94" s="264">
        <v>1184109.4734338527</v>
      </c>
      <c r="P94" s="321">
        <f t="shared" si="30"/>
        <v>12543786.559527846</v>
      </c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163"/>
      <c r="BN94" s="163"/>
      <c r="BO94" s="163"/>
      <c r="BP94" s="163"/>
      <c r="BQ94" s="163"/>
      <c r="BR94" s="163"/>
      <c r="BS94" s="163"/>
      <c r="BT94" s="163"/>
      <c r="BU94" s="163"/>
      <c r="BV94" s="163"/>
      <c r="BW94" s="163"/>
      <c r="BX94" s="163"/>
      <c r="BY94" s="163"/>
      <c r="BZ94" s="163"/>
      <c r="CA94" s="163"/>
      <c r="CB94" s="163"/>
      <c r="CC94" s="163"/>
      <c r="CD94" s="163"/>
      <c r="CE94" s="163"/>
      <c r="CF94" s="163"/>
      <c r="CG94" s="163"/>
      <c r="CH94" s="163"/>
      <c r="CI94" s="163"/>
      <c r="CJ94" s="163"/>
      <c r="CK94" s="163"/>
      <c r="CL94" s="163"/>
      <c r="CM94" s="163"/>
      <c r="CN94" s="163"/>
      <c r="CO94" s="163"/>
      <c r="CP94" s="163"/>
      <c r="CQ94" s="163"/>
      <c r="CR94" s="163"/>
      <c r="CS94" s="163"/>
      <c r="CT94" s="163"/>
      <c r="CU94" s="163"/>
      <c r="CV94" s="163"/>
      <c r="CW94" s="163"/>
      <c r="CX94" s="163"/>
      <c r="CY94" s="163"/>
      <c r="CZ94" s="163"/>
      <c r="DA94" s="163"/>
      <c r="DB94" s="163"/>
      <c r="DC94" s="163"/>
      <c r="DD94" s="163"/>
      <c r="DE94" s="163"/>
      <c r="DF94" s="163"/>
      <c r="DG94" s="163"/>
      <c r="DH94" s="163"/>
      <c r="DI94" s="163"/>
      <c r="DJ94" s="163"/>
      <c r="DK94" s="163"/>
      <c r="DL94" s="163"/>
      <c r="DM94" s="163"/>
      <c r="DN94" s="163"/>
      <c r="DO94" s="163"/>
      <c r="DP94" s="163"/>
      <c r="DQ94" s="163"/>
      <c r="DR94" s="163"/>
      <c r="DS94" s="163"/>
      <c r="DT94" s="163"/>
      <c r="DU94" s="163"/>
      <c r="DV94" s="163"/>
      <c r="DW94" s="163"/>
      <c r="DX94" s="163"/>
      <c r="DY94" s="163"/>
      <c r="DZ94" s="163"/>
      <c r="EA94" s="163"/>
      <c r="EB94" s="163"/>
      <c r="EC94" s="163"/>
      <c r="ED94" s="163"/>
      <c r="EE94" s="163"/>
      <c r="EF94" s="163"/>
      <c r="EG94" s="163"/>
      <c r="EH94" s="163"/>
      <c r="EI94" s="163"/>
      <c r="EJ94" s="163"/>
      <c r="EK94" s="163"/>
      <c r="EL94" s="163"/>
      <c r="EM94" s="163"/>
      <c r="EN94" s="163"/>
      <c r="EO94" s="163"/>
      <c r="EP94" s="163"/>
      <c r="EQ94" s="163"/>
      <c r="ER94" s="163"/>
      <c r="ES94" s="163"/>
      <c r="ET94" s="163"/>
      <c r="EU94" s="163"/>
      <c r="EV94" s="163"/>
      <c r="EW94" s="163"/>
      <c r="EX94" s="163"/>
      <c r="EY94" s="163"/>
      <c r="EZ94" s="80"/>
      <c r="FA94" s="80"/>
      <c r="FB94" s="80"/>
      <c r="FC94" s="80"/>
      <c r="FD94" s="80"/>
      <c r="FE94" s="80"/>
      <c r="FF94" s="80"/>
      <c r="FG94" s="80"/>
      <c r="FH94" s="80"/>
      <c r="FI94" s="80"/>
      <c r="FJ94" s="80"/>
      <c r="FK94" s="80"/>
      <c r="FL94" s="117">
        <v>600000</v>
      </c>
      <c r="FM94" s="81"/>
      <c r="FN94" s="81"/>
      <c r="FO94" s="81"/>
      <c r="FP94" s="81"/>
      <c r="FQ94" s="81"/>
      <c r="FR94" s="81"/>
      <c r="FS94" s="81"/>
      <c r="FT94" s="81"/>
      <c r="FU94" s="81"/>
      <c r="FV94" s="81"/>
      <c r="FW94" s="81"/>
      <c r="FX94" s="81"/>
      <c r="FY94" s="81"/>
      <c r="GA94" s="73">
        <v>0.6</v>
      </c>
    </row>
    <row r="95" spans="1:183">
      <c r="A95" s="265"/>
      <c r="B95" s="270">
        <v>6052</v>
      </c>
      <c r="C95" s="270" t="s">
        <v>84</v>
      </c>
      <c r="D95" s="264">
        <v>738955.65734543465</v>
      </c>
      <c r="E95" s="264">
        <f t="shared" ref="E95:E97" si="34">D95+(D95*$E$8%)</f>
        <v>753734.77049234335</v>
      </c>
      <c r="F95" s="264">
        <f t="shared" ref="F95:F97" si="35">E95+(E95*$F$8%)</f>
        <v>768809.46590219019</v>
      </c>
      <c r="G95" s="264">
        <v>890524.1453426677</v>
      </c>
      <c r="H95" s="264">
        <f t="shared" ref="H95:H100" si="36">G95+(G95*$H$8%)</f>
        <v>899429.38679609436</v>
      </c>
      <c r="I95" s="264">
        <f t="shared" ref="I95:I100" si="37">H95+(H95*$I$8%)</f>
        <v>908423.68066405528</v>
      </c>
      <c r="J95" s="264">
        <v>888473.38333043247</v>
      </c>
      <c r="K95" s="264">
        <f t="shared" si="31"/>
        <v>906242.8509970411</v>
      </c>
      <c r="L95" s="264">
        <f t="shared" si="32"/>
        <v>888117.99397710024</v>
      </c>
      <c r="M95" s="264">
        <v>921053.65499880712</v>
      </c>
      <c r="N95" s="264">
        <f t="shared" si="33"/>
        <v>902632.58189883095</v>
      </c>
      <c r="O95" s="264">
        <v>986757.89452821086</v>
      </c>
      <c r="P95" s="321">
        <f t="shared" si="30"/>
        <v>10453155.466273207</v>
      </c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163"/>
      <c r="BQ95" s="163"/>
      <c r="BR95" s="163"/>
      <c r="BS95" s="163"/>
      <c r="BT95" s="163"/>
      <c r="BU95" s="163"/>
      <c r="BV95" s="163"/>
      <c r="BW95" s="163"/>
      <c r="BX95" s="163"/>
      <c r="BY95" s="163"/>
      <c r="BZ95" s="163"/>
      <c r="CA95" s="163"/>
      <c r="CB95" s="163"/>
      <c r="CC95" s="163"/>
      <c r="CD95" s="163"/>
      <c r="CE95" s="163"/>
      <c r="CF95" s="163"/>
      <c r="CG95" s="163"/>
      <c r="CH95" s="163"/>
      <c r="CI95" s="163"/>
      <c r="CJ95" s="163"/>
      <c r="CK95" s="163"/>
      <c r="CL95" s="163"/>
      <c r="CM95" s="163"/>
      <c r="CN95" s="163"/>
      <c r="CO95" s="163"/>
      <c r="CP95" s="163"/>
      <c r="CQ95" s="163"/>
      <c r="CR95" s="163"/>
      <c r="CS95" s="163"/>
      <c r="CT95" s="163"/>
      <c r="CU95" s="163"/>
      <c r="CV95" s="163"/>
      <c r="CW95" s="163"/>
      <c r="CX95" s="163"/>
      <c r="CY95" s="163"/>
      <c r="CZ95" s="163"/>
      <c r="DA95" s="163"/>
      <c r="DB95" s="163"/>
      <c r="DC95" s="163"/>
      <c r="DD95" s="163"/>
      <c r="DE95" s="163"/>
      <c r="DF95" s="163"/>
      <c r="DG95" s="163"/>
      <c r="DH95" s="163"/>
      <c r="DI95" s="163"/>
      <c r="DJ95" s="163"/>
      <c r="DK95" s="163"/>
      <c r="DL95" s="163"/>
      <c r="DM95" s="163"/>
      <c r="DN95" s="163"/>
      <c r="DO95" s="163"/>
      <c r="DP95" s="163"/>
      <c r="DQ95" s="163"/>
      <c r="DR95" s="163"/>
      <c r="DS95" s="163"/>
      <c r="DT95" s="163"/>
      <c r="DU95" s="163"/>
      <c r="DV95" s="163"/>
      <c r="DW95" s="163"/>
      <c r="DX95" s="163"/>
      <c r="DY95" s="163"/>
      <c r="DZ95" s="163"/>
      <c r="EA95" s="163"/>
      <c r="EB95" s="163"/>
      <c r="EC95" s="163"/>
      <c r="ED95" s="163"/>
      <c r="EE95" s="163"/>
      <c r="EF95" s="163"/>
      <c r="EG95" s="163"/>
      <c r="EH95" s="163"/>
      <c r="EI95" s="163"/>
      <c r="EJ95" s="163"/>
      <c r="EK95" s="163"/>
      <c r="EL95" s="163"/>
      <c r="EM95" s="163"/>
      <c r="EN95" s="163"/>
      <c r="EO95" s="163"/>
      <c r="EP95" s="163"/>
      <c r="EQ95" s="163"/>
      <c r="ER95" s="163"/>
      <c r="ES95" s="163"/>
      <c r="ET95" s="163"/>
      <c r="EU95" s="163"/>
      <c r="EV95" s="163"/>
      <c r="EW95" s="163"/>
      <c r="EX95" s="163"/>
      <c r="EY95" s="163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117">
        <v>500000</v>
      </c>
      <c r="FM95" s="81"/>
      <c r="FN95" s="81"/>
      <c r="FO95" s="81"/>
      <c r="FP95" s="81"/>
      <c r="FQ95" s="81"/>
      <c r="FR95" s="81"/>
      <c r="FS95" s="81"/>
      <c r="FT95" s="81"/>
      <c r="FU95" s="81"/>
      <c r="FV95" s="81"/>
      <c r="FW95" s="81"/>
      <c r="FX95" s="81"/>
      <c r="FY95" s="81"/>
      <c r="GA95" s="73">
        <v>0.5</v>
      </c>
    </row>
    <row r="96" spans="1:183">
      <c r="A96" s="265"/>
      <c r="B96" s="270">
        <v>6090</v>
      </c>
      <c r="C96" s="270" t="s">
        <v>85</v>
      </c>
      <c r="D96" s="264">
        <v>1477911.3146908693</v>
      </c>
      <c r="E96" s="264">
        <f t="shared" si="34"/>
        <v>1507469.5409846867</v>
      </c>
      <c r="F96" s="264">
        <f t="shared" si="35"/>
        <v>1537618.9318043804</v>
      </c>
      <c r="G96" s="264">
        <v>1781048.2906853354</v>
      </c>
      <c r="H96" s="264">
        <f t="shared" si="36"/>
        <v>1798858.7735921887</v>
      </c>
      <c r="I96" s="264">
        <f t="shared" si="37"/>
        <v>1816847.3613281106</v>
      </c>
      <c r="J96" s="264">
        <v>1776946.7666608649</v>
      </c>
      <c r="K96" s="264">
        <f t="shared" si="31"/>
        <v>1812485.7019940822</v>
      </c>
      <c r="L96" s="264">
        <f t="shared" si="32"/>
        <v>1776235.9879542005</v>
      </c>
      <c r="M96" s="264">
        <v>1842107.3099976142</v>
      </c>
      <c r="N96" s="264">
        <f t="shared" si="33"/>
        <v>1805265.1637976619</v>
      </c>
      <c r="O96" s="264">
        <v>1973515.7890564217</v>
      </c>
      <c r="P96" s="321">
        <f t="shared" si="30"/>
        <v>20906310.932546414</v>
      </c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163"/>
      <c r="BK96" s="163"/>
      <c r="BL96" s="163"/>
      <c r="BM96" s="163"/>
      <c r="BN96" s="163"/>
      <c r="BO96" s="163"/>
      <c r="BP96" s="163"/>
      <c r="BQ96" s="163"/>
      <c r="BR96" s="163"/>
      <c r="BS96" s="163"/>
      <c r="BT96" s="163"/>
      <c r="BU96" s="163"/>
      <c r="BV96" s="163"/>
      <c r="BW96" s="163"/>
      <c r="BX96" s="163"/>
      <c r="BY96" s="163"/>
      <c r="BZ96" s="163"/>
      <c r="CA96" s="163"/>
      <c r="CB96" s="163"/>
      <c r="CC96" s="163"/>
      <c r="CD96" s="163"/>
      <c r="CE96" s="163"/>
      <c r="CF96" s="163"/>
      <c r="CG96" s="163"/>
      <c r="CH96" s="163"/>
      <c r="CI96" s="163"/>
      <c r="CJ96" s="163"/>
      <c r="CK96" s="163"/>
      <c r="CL96" s="163"/>
      <c r="CM96" s="163"/>
      <c r="CN96" s="163"/>
      <c r="CO96" s="163"/>
      <c r="CP96" s="163"/>
      <c r="CQ96" s="163"/>
      <c r="CR96" s="163"/>
      <c r="CS96" s="163"/>
      <c r="CT96" s="163"/>
      <c r="CU96" s="163"/>
      <c r="CV96" s="163"/>
      <c r="CW96" s="163"/>
      <c r="CX96" s="163"/>
      <c r="CY96" s="163"/>
      <c r="CZ96" s="163"/>
      <c r="DA96" s="163"/>
      <c r="DB96" s="163"/>
      <c r="DC96" s="163"/>
      <c r="DD96" s="163"/>
      <c r="DE96" s="163"/>
      <c r="DF96" s="163"/>
      <c r="DG96" s="163"/>
      <c r="DH96" s="163"/>
      <c r="DI96" s="163"/>
      <c r="DJ96" s="163"/>
      <c r="DK96" s="163"/>
      <c r="DL96" s="163"/>
      <c r="DM96" s="163"/>
      <c r="DN96" s="163"/>
      <c r="DO96" s="163"/>
      <c r="DP96" s="163"/>
      <c r="DQ96" s="163"/>
      <c r="DR96" s="163"/>
      <c r="DS96" s="163"/>
      <c r="DT96" s="163"/>
      <c r="DU96" s="163"/>
      <c r="DV96" s="163"/>
      <c r="DW96" s="163"/>
      <c r="DX96" s="163"/>
      <c r="DY96" s="163"/>
      <c r="DZ96" s="163"/>
      <c r="EA96" s="163"/>
      <c r="EB96" s="163"/>
      <c r="EC96" s="163"/>
      <c r="ED96" s="163"/>
      <c r="EE96" s="163"/>
      <c r="EF96" s="163"/>
      <c r="EG96" s="163"/>
      <c r="EH96" s="163"/>
      <c r="EI96" s="163"/>
      <c r="EJ96" s="163"/>
      <c r="EK96" s="163"/>
      <c r="EL96" s="163"/>
      <c r="EM96" s="163"/>
      <c r="EN96" s="163"/>
      <c r="EO96" s="163"/>
      <c r="EP96" s="163"/>
      <c r="EQ96" s="163"/>
      <c r="ER96" s="163"/>
      <c r="ES96" s="163"/>
      <c r="ET96" s="163"/>
      <c r="EU96" s="163"/>
      <c r="EV96" s="163"/>
      <c r="EW96" s="163"/>
      <c r="EX96" s="163"/>
      <c r="EY96" s="163"/>
      <c r="EZ96" s="80"/>
      <c r="FA96" s="80"/>
      <c r="FB96" s="80"/>
      <c r="FC96" s="80"/>
      <c r="FD96" s="80"/>
      <c r="FE96" s="80"/>
      <c r="FF96" s="80"/>
      <c r="FG96" s="80"/>
      <c r="FH96" s="80"/>
      <c r="FI96" s="80"/>
      <c r="FJ96" s="80"/>
      <c r="FK96" s="80"/>
      <c r="FL96" s="117">
        <v>1000000</v>
      </c>
      <c r="FM96" s="81"/>
      <c r="FN96" s="81"/>
      <c r="FO96" s="81"/>
      <c r="FP96" s="81"/>
      <c r="FQ96" s="81"/>
      <c r="FR96" s="81"/>
      <c r="FS96" s="81"/>
      <c r="FT96" s="81"/>
      <c r="FU96" s="81"/>
      <c r="FV96" s="81"/>
      <c r="FW96" s="81"/>
      <c r="FX96" s="81"/>
      <c r="FY96" s="81"/>
      <c r="GA96" s="73">
        <v>1</v>
      </c>
    </row>
    <row r="97" spans="1:183">
      <c r="A97" s="265"/>
      <c r="B97" s="270"/>
      <c r="C97" s="270" t="s">
        <v>86</v>
      </c>
      <c r="D97" s="264">
        <v>96064235.454906508</v>
      </c>
      <c r="E97" s="264">
        <f t="shared" si="34"/>
        <v>97985520.164004639</v>
      </c>
      <c r="F97" s="264">
        <f t="shared" si="35"/>
        <v>99945230.567284733</v>
      </c>
      <c r="G97" s="264">
        <v>115768138.89454681</v>
      </c>
      <c r="H97" s="264">
        <f t="shared" si="36"/>
        <v>116925820.28349228</v>
      </c>
      <c r="I97" s="264">
        <f t="shared" si="37"/>
        <v>118095078.4863272</v>
      </c>
      <c r="J97" s="264">
        <v>115501539.83295622</v>
      </c>
      <c r="K97" s="264">
        <f t="shared" si="31"/>
        <v>117811570.62961535</v>
      </c>
      <c r="L97" s="264">
        <f t="shared" si="32"/>
        <v>115455339.21702304</v>
      </c>
      <c r="M97" s="264">
        <v>119736975.14984493</v>
      </c>
      <c r="N97" s="264">
        <f t="shared" si="33"/>
        <v>117342235.64684804</v>
      </c>
      <c r="O97" s="264">
        <v>128278526.28866741</v>
      </c>
      <c r="P97" s="321">
        <f t="shared" si="30"/>
        <v>1358910210.6155169</v>
      </c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163"/>
      <c r="BK97" s="163"/>
      <c r="BL97" s="163"/>
      <c r="BM97" s="163"/>
      <c r="BN97" s="163"/>
      <c r="BO97" s="163"/>
      <c r="BP97" s="163"/>
      <c r="BQ97" s="163"/>
      <c r="BR97" s="163"/>
      <c r="BS97" s="163"/>
      <c r="BT97" s="163"/>
      <c r="BU97" s="163"/>
      <c r="BV97" s="163"/>
      <c r="BW97" s="163"/>
      <c r="BX97" s="163"/>
      <c r="BY97" s="163"/>
      <c r="BZ97" s="163"/>
      <c r="CA97" s="163"/>
      <c r="CB97" s="163"/>
      <c r="CC97" s="163"/>
      <c r="CD97" s="163"/>
      <c r="CE97" s="163"/>
      <c r="CF97" s="163"/>
      <c r="CG97" s="163"/>
      <c r="CH97" s="163"/>
      <c r="CI97" s="163"/>
      <c r="CJ97" s="163"/>
      <c r="CK97" s="163"/>
      <c r="CL97" s="163"/>
      <c r="CM97" s="163"/>
      <c r="CN97" s="163"/>
      <c r="CO97" s="163"/>
      <c r="CP97" s="163"/>
      <c r="CQ97" s="163"/>
      <c r="CR97" s="163"/>
      <c r="CS97" s="163"/>
      <c r="CT97" s="163"/>
      <c r="CU97" s="163"/>
      <c r="CV97" s="163"/>
      <c r="CW97" s="163"/>
      <c r="CX97" s="163"/>
      <c r="CY97" s="163"/>
      <c r="CZ97" s="163"/>
      <c r="DA97" s="163"/>
      <c r="DB97" s="163"/>
      <c r="DC97" s="163"/>
      <c r="DD97" s="163"/>
      <c r="DE97" s="163"/>
      <c r="DF97" s="163"/>
      <c r="DG97" s="163"/>
      <c r="DH97" s="163"/>
      <c r="DI97" s="163"/>
      <c r="DJ97" s="163"/>
      <c r="DK97" s="163"/>
      <c r="DL97" s="163"/>
      <c r="DM97" s="163"/>
      <c r="DN97" s="163"/>
      <c r="DO97" s="163"/>
      <c r="DP97" s="163"/>
      <c r="DQ97" s="163"/>
      <c r="DR97" s="163"/>
      <c r="DS97" s="163"/>
      <c r="DT97" s="163"/>
      <c r="DU97" s="163"/>
      <c r="DV97" s="163"/>
      <c r="DW97" s="163"/>
      <c r="DX97" s="163"/>
      <c r="DY97" s="163"/>
      <c r="DZ97" s="163"/>
      <c r="EA97" s="163"/>
      <c r="EB97" s="163"/>
      <c r="EC97" s="163"/>
      <c r="ED97" s="163"/>
      <c r="EE97" s="163"/>
      <c r="EF97" s="163"/>
      <c r="EG97" s="163"/>
      <c r="EH97" s="163"/>
      <c r="EI97" s="163"/>
      <c r="EJ97" s="163"/>
      <c r="EK97" s="163"/>
      <c r="EL97" s="163"/>
      <c r="EM97" s="163"/>
      <c r="EN97" s="163"/>
      <c r="EO97" s="163"/>
      <c r="EP97" s="163"/>
      <c r="EQ97" s="163"/>
      <c r="ER97" s="163"/>
      <c r="ES97" s="163"/>
      <c r="ET97" s="163"/>
      <c r="EU97" s="163"/>
      <c r="EV97" s="163"/>
      <c r="EW97" s="163"/>
      <c r="EX97" s="163"/>
      <c r="EY97" s="163"/>
      <c r="EZ97" s="80"/>
      <c r="FA97" s="80"/>
      <c r="FB97" s="80"/>
      <c r="FC97" s="80"/>
      <c r="FD97" s="80"/>
      <c r="FE97" s="80"/>
      <c r="FF97" s="80"/>
      <c r="FG97" s="80"/>
      <c r="FH97" s="80"/>
      <c r="FI97" s="80"/>
      <c r="FJ97" s="80"/>
      <c r="FK97" s="80"/>
      <c r="FL97" s="117">
        <v>65000000</v>
      </c>
      <c r="FM97" s="81"/>
      <c r="FN97" s="81"/>
      <c r="FO97" s="81"/>
      <c r="FP97" s="81"/>
      <c r="FQ97" s="81"/>
      <c r="FR97" s="81"/>
      <c r="FS97" s="81"/>
      <c r="FT97" s="81"/>
      <c r="FU97" s="81"/>
      <c r="FV97" s="81"/>
      <c r="FW97" s="81"/>
      <c r="FX97" s="81"/>
      <c r="FY97" s="81"/>
      <c r="GA97" s="73">
        <v>65</v>
      </c>
    </row>
    <row r="98" spans="1:183">
      <c r="A98" s="265"/>
      <c r="B98" s="270"/>
      <c r="C98" s="270" t="s">
        <v>87</v>
      </c>
      <c r="D98" s="264">
        <v>0</v>
      </c>
      <c r="E98" s="264"/>
      <c r="F98" s="264"/>
      <c r="G98" s="264"/>
      <c r="H98" s="264">
        <f t="shared" si="36"/>
        <v>0</v>
      </c>
      <c r="I98" s="264">
        <f t="shared" si="37"/>
        <v>0</v>
      </c>
      <c r="J98" s="264">
        <f t="shared" ref="J98" si="38">I98*1.1</f>
        <v>0</v>
      </c>
      <c r="K98" s="264">
        <f t="shared" si="31"/>
        <v>0</v>
      </c>
      <c r="L98" s="264">
        <f t="shared" si="32"/>
        <v>0</v>
      </c>
      <c r="M98" s="264">
        <f t="shared" ref="M98:M99" si="39">L98+(L98*$J$8%)</f>
        <v>0</v>
      </c>
      <c r="N98" s="264">
        <f t="shared" si="33"/>
        <v>0</v>
      </c>
      <c r="O98" s="264">
        <f t="shared" ref="O98:O99" si="40">N98+(N98*$J$8%)</f>
        <v>0</v>
      </c>
      <c r="P98" s="321">
        <f t="shared" si="30"/>
        <v>0</v>
      </c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163"/>
      <c r="BK98" s="163"/>
      <c r="BL98" s="163"/>
      <c r="BM98" s="163"/>
      <c r="BN98" s="163"/>
      <c r="BO98" s="163"/>
      <c r="BP98" s="163"/>
      <c r="BQ98" s="163"/>
      <c r="BR98" s="163"/>
      <c r="BS98" s="163"/>
      <c r="BT98" s="163"/>
      <c r="BU98" s="163"/>
      <c r="BV98" s="163"/>
      <c r="BW98" s="163"/>
      <c r="BX98" s="163"/>
      <c r="BY98" s="163"/>
      <c r="BZ98" s="163"/>
      <c r="CA98" s="163"/>
      <c r="CB98" s="163"/>
      <c r="CC98" s="163"/>
      <c r="CD98" s="163"/>
      <c r="CE98" s="163"/>
      <c r="CF98" s="163"/>
      <c r="CG98" s="163"/>
      <c r="CH98" s="163"/>
      <c r="CI98" s="163"/>
      <c r="CJ98" s="163"/>
      <c r="CK98" s="163"/>
      <c r="CL98" s="163"/>
      <c r="CM98" s="163"/>
      <c r="CN98" s="163"/>
      <c r="CO98" s="163"/>
      <c r="CP98" s="163"/>
      <c r="CQ98" s="163"/>
      <c r="CR98" s="163"/>
      <c r="CS98" s="163"/>
      <c r="CT98" s="163"/>
      <c r="CU98" s="163"/>
      <c r="CV98" s="163"/>
      <c r="CW98" s="163"/>
      <c r="CX98" s="163"/>
      <c r="CY98" s="163"/>
      <c r="CZ98" s="163"/>
      <c r="DA98" s="163"/>
      <c r="DB98" s="163"/>
      <c r="DC98" s="163"/>
      <c r="DD98" s="163"/>
      <c r="DE98" s="163"/>
      <c r="DF98" s="163"/>
      <c r="DG98" s="163"/>
      <c r="DH98" s="163"/>
      <c r="DI98" s="163"/>
      <c r="DJ98" s="163"/>
      <c r="DK98" s="163"/>
      <c r="DL98" s="163"/>
      <c r="DM98" s="163"/>
      <c r="DN98" s="163"/>
      <c r="DO98" s="163"/>
      <c r="DP98" s="163"/>
      <c r="DQ98" s="163"/>
      <c r="DR98" s="163"/>
      <c r="DS98" s="163"/>
      <c r="DT98" s="163"/>
      <c r="DU98" s="163"/>
      <c r="DV98" s="163"/>
      <c r="DW98" s="163"/>
      <c r="DX98" s="163"/>
      <c r="DY98" s="163"/>
      <c r="DZ98" s="163"/>
      <c r="EA98" s="163"/>
      <c r="EB98" s="163"/>
      <c r="EC98" s="163"/>
      <c r="ED98" s="163"/>
      <c r="EE98" s="163"/>
      <c r="EF98" s="163"/>
      <c r="EG98" s="163"/>
      <c r="EH98" s="163"/>
      <c r="EI98" s="163"/>
      <c r="EJ98" s="163"/>
      <c r="EK98" s="163"/>
      <c r="EL98" s="163"/>
      <c r="EM98" s="163"/>
      <c r="EN98" s="163"/>
      <c r="EO98" s="163"/>
      <c r="EP98" s="163"/>
      <c r="EQ98" s="163"/>
      <c r="ER98" s="163"/>
      <c r="ES98" s="163"/>
      <c r="ET98" s="163"/>
      <c r="EU98" s="163"/>
      <c r="EV98" s="163"/>
      <c r="EW98" s="163"/>
      <c r="EX98" s="163"/>
      <c r="EY98" s="163"/>
      <c r="EZ98" s="80"/>
      <c r="FA98" s="80"/>
      <c r="FB98" s="80"/>
      <c r="FC98" s="80"/>
      <c r="FD98" s="80"/>
      <c r="FE98" s="80"/>
      <c r="FF98" s="80"/>
      <c r="FG98" s="80"/>
      <c r="FH98" s="80"/>
      <c r="FI98" s="80"/>
      <c r="FJ98" s="80"/>
      <c r="FK98" s="80"/>
      <c r="FL98" s="117"/>
      <c r="FM98" s="81"/>
      <c r="FN98" s="81"/>
      <c r="FO98" s="81"/>
      <c r="FP98" s="81"/>
      <c r="FQ98" s="81"/>
      <c r="FR98" s="81"/>
      <c r="FS98" s="81"/>
      <c r="FT98" s="81"/>
      <c r="FU98" s="81"/>
      <c r="FV98" s="81"/>
      <c r="FW98" s="81"/>
      <c r="FX98" s="81"/>
      <c r="FY98" s="81"/>
      <c r="GA98" s="73"/>
    </row>
    <row r="99" spans="1:183">
      <c r="A99" s="265"/>
      <c r="B99" s="270"/>
      <c r="C99" s="270" t="s">
        <v>88</v>
      </c>
      <c r="D99" s="264">
        <v>0</v>
      </c>
      <c r="E99" s="264"/>
      <c r="F99" s="264"/>
      <c r="G99" s="264"/>
      <c r="H99" s="264">
        <f t="shared" si="36"/>
        <v>0</v>
      </c>
      <c r="I99" s="264">
        <f t="shared" si="37"/>
        <v>0</v>
      </c>
      <c r="J99" s="264">
        <f t="shared" ref="J99:J100" si="41">I99+(I99*$J$8%)</f>
        <v>0</v>
      </c>
      <c r="K99" s="264">
        <f t="shared" si="31"/>
        <v>0</v>
      </c>
      <c r="L99" s="264">
        <f t="shared" si="32"/>
        <v>0</v>
      </c>
      <c r="M99" s="264">
        <f t="shared" si="39"/>
        <v>0</v>
      </c>
      <c r="N99" s="264">
        <f t="shared" si="33"/>
        <v>0</v>
      </c>
      <c r="O99" s="264">
        <f t="shared" si="40"/>
        <v>0</v>
      </c>
      <c r="P99" s="321">
        <f t="shared" si="30"/>
        <v>0</v>
      </c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163"/>
      <c r="BK99" s="163"/>
      <c r="BL99" s="163"/>
      <c r="BM99" s="163"/>
      <c r="BN99" s="163"/>
      <c r="BO99" s="163"/>
      <c r="BP99" s="163"/>
      <c r="BQ99" s="163"/>
      <c r="BR99" s="163"/>
      <c r="BS99" s="163"/>
      <c r="BT99" s="163"/>
      <c r="BU99" s="163"/>
      <c r="BV99" s="163"/>
      <c r="BW99" s="163"/>
      <c r="BX99" s="163"/>
      <c r="BY99" s="163"/>
      <c r="BZ99" s="163"/>
      <c r="CA99" s="163"/>
      <c r="CB99" s="163"/>
      <c r="CC99" s="163"/>
      <c r="CD99" s="163"/>
      <c r="CE99" s="163"/>
      <c r="CF99" s="163"/>
      <c r="CG99" s="163"/>
      <c r="CH99" s="163"/>
      <c r="CI99" s="163"/>
      <c r="CJ99" s="163"/>
      <c r="CK99" s="163"/>
      <c r="CL99" s="163"/>
      <c r="CM99" s="163"/>
      <c r="CN99" s="163"/>
      <c r="CO99" s="163"/>
      <c r="CP99" s="163"/>
      <c r="CQ99" s="163"/>
      <c r="CR99" s="163"/>
      <c r="CS99" s="163"/>
      <c r="CT99" s="163"/>
      <c r="CU99" s="163"/>
      <c r="CV99" s="163"/>
      <c r="CW99" s="163"/>
      <c r="CX99" s="163"/>
      <c r="CY99" s="163"/>
      <c r="CZ99" s="163"/>
      <c r="DA99" s="163"/>
      <c r="DB99" s="163"/>
      <c r="DC99" s="163"/>
      <c r="DD99" s="163"/>
      <c r="DE99" s="163"/>
      <c r="DF99" s="163"/>
      <c r="DG99" s="163"/>
      <c r="DH99" s="163"/>
      <c r="DI99" s="163"/>
      <c r="DJ99" s="163"/>
      <c r="DK99" s="163"/>
      <c r="DL99" s="163"/>
      <c r="DM99" s="163"/>
      <c r="DN99" s="163"/>
      <c r="DO99" s="163"/>
      <c r="DP99" s="163"/>
      <c r="DQ99" s="163"/>
      <c r="DR99" s="163"/>
      <c r="DS99" s="163"/>
      <c r="DT99" s="163"/>
      <c r="DU99" s="163"/>
      <c r="DV99" s="163"/>
      <c r="DW99" s="163"/>
      <c r="DX99" s="163"/>
      <c r="DY99" s="163"/>
      <c r="DZ99" s="163"/>
      <c r="EA99" s="163"/>
      <c r="EB99" s="163"/>
      <c r="EC99" s="163"/>
      <c r="ED99" s="163"/>
      <c r="EE99" s="163"/>
      <c r="EF99" s="163"/>
      <c r="EG99" s="163"/>
      <c r="EH99" s="163"/>
      <c r="EI99" s="163"/>
      <c r="EJ99" s="163"/>
      <c r="EK99" s="163"/>
      <c r="EL99" s="163"/>
      <c r="EM99" s="163"/>
      <c r="EN99" s="163"/>
      <c r="EO99" s="163"/>
      <c r="EP99" s="163"/>
      <c r="EQ99" s="163"/>
      <c r="ER99" s="163"/>
      <c r="ES99" s="163"/>
      <c r="ET99" s="163"/>
      <c r="EU99" s="163"/>
      <c r="EV99" s="163"/>
      <c r="EW99" s="163"/>
      <c r="EX99" s="163"/>
      <c r="EY99" s="163"/>
      <c r="EZ99" s="80"/>
      <c r="FA99" s="80"/>
      <c r="FB99" s="80"/>
      <c r="FC99" s="80"/>
      <c r="FD99" s="80"/>
      <c r="FE99" s="80"/>
      <c r="FF99" s="80"/>
      <c r="FG99" s="80"/>
      <c r="FH99" s="80"/>
      <c r="FI99" s="80"/>
      <c r="FJ99" s="80"/>
      <c r="FK99" s="80"/>
      <c r="FL99" s="117"/>
      <c r="FM99" s="81"/>
      <c r="FN99" s="81"/>
      <c r="FO99" s="81"/>
      <c r="FP99" s="81"/>
      <c r="FQ99" s="81"/>
      <c r="FR99" s="81"/>
      <c r="FS99" s="81"/>
      <c r="FT99" s="81"/>
      <c r="FU99" s="81"/>
      <c r="FV99" s="81"/>
      <c r="FW99" s="81"/>
      <c r="FX99" s="81"/>
      <c r="FY99" s="81"/>
      <c r="GA99" s="73"/>
    </row>
    <row r="100" spans="1:183">
      <c r="A100" s="265"/>
      <c r="B100" s="270"/>
      <c r="C100" s="270" t="s">
        <v>89</v>
      </c>
      <c r="D100" s="264">
        <v>160512240</v>
      </c>
      <c r="E100" s="264"/>
      <c r="F100" s="264"/>
      <c r="G100" s="264"/>
      <c r="H100" s="264">
        <f t="shared" si="36"/>
        <v>0</v>
      </c>
      <c r="I100" s="264">
        <f t="shared" si="37"/>
        <v>0</v>
      </c>
      <c r="J100" s="264">
        <f t="shared" si="41"/>
        <v>0</v>
      </c>
      <c r="K100" s="264"/>
      <c r="L100" s="264"/>
      <c r="M100" s="264"/>
      <c r="N100" s="264"/>
      <c r="O100" s="264"/>
      <c r="P100" s="321">
        <f t="shared" si="30"/>
        <v>160512240</v>
      </c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163"/>
      <c r="BN100" s="163"/>
      <c r="BO100" s="163"/>
      <c r="BP100" s="163"/>
      <c r="BQ100" s="163"/>
      <c r="BR100" s="163"/>
      <c r="BS100" s="163"/>
      <c r="BT100" s="163"/>
      <c r="BU100" s="163"/>
      <c r="BV100" s="163"/>
      <c r="BW100" s="163"/>
      <c r="BX100" s="163"/>
      <c r="BY100" s="163"/>
      <c r="BZ100" s="163"/>
      <c r="CA100" s="163"/>
      <c r="CB100" s="163"/>
      <c r="CC100" s="163"/>
      <c r="CD100" s="163"/>
      <c r="CE100" s="163"/>
      <c r="CF100" s="163"/>
      <c r="CG100" s="163"/>
      <c r="CH100" s="163"/>
      <c r="CI100" s="163"/>
      <c r="CJ100" s="163"/>
      <c r="CK100" s="163"/>
      <c r="CL100" s="163"/>
      <c r="CM100" s="163"/>
      <c r="CN100" s="163"/>
      <c r="CO100" s="163"/>
      <c r="CP100" s="163"/>
      <c r="CQ100" s="163"/>
      <c r="CR100" s="163"/>
      <c r="CS100" s="163"/>
      <c r="CT100" s="163"/>
      <c r="CU100" s="163"/>
      <c r="CV100" s="163"/>
      <c r="CW100" s="163"/>
      <c r="CX100" s="163"/>
      <c r="CY100" s="163"/>
      <c r="CZ100" s="163"/>
      <c r="DA100" s="163"/>
      <c r="DB100" s="163"/>
      <c r="DC100" s="163"/>
      <c r="DD100" s="163"/>
      <c r="DE100" s="163"/>
      <c r="DF100" s="163"/>
      <c r="DG100" s="163"/>
      <c r="DH100" s="163"/>
      <c r="DI100" s="163"/>
      <c r="DJ100" s="163"/>
      <c r="DK100" s="163"/>
      <c r="DL100" s="163"/>
      <c r="DM100" s="163"/>
      <c r="DN100" s="163"/>
      <c r="DO100" s="163"/>
      <c r="DP100" s="163"/>
      <c r="DQ100" s="163"/>
      <c r="DR100" s="163"/>
      <c r="DS100" s="163"/>
      <c r="DT100" s="163"/>
      <c r="DU100" s="163"/>
      <c r="DV100" s="163"/>
      <c r="DW100" s="163"/>
      <c r="DX100" s="163"/>
      <c r="DY100" s="163"/>
      <c r="DZ100" s="163"/>
      <c r="EA100" s="163"/>
      <c r="EB100" s="163"/>
      <c r="EC100" s="163"/>
      <c r="ED100" s="163"/>
      <c r="EE100" s="163"/>
      <c r="EF100" s="163"/>
      <c r="EG100" s="163"/>
      <c r="EH100" s="163"/>
      <c r="EI100" s="163"/>
      <c r="EJ100" s="163"/>
      <c r="EK100" s="163"/>
      <c r="EL100" s="163"/>
      <c r="EM100" s="163"/>
      <c r="EN100" s="163"/>
      <c r="EO100" s="163"/>
      <c r="EP100" s="163"/>
      <c r="EQ100" s="163"/>
      <c r="ER100" s="163"/>
      <c r="ES100" s="163"/>
      <c r="ET100" s="163"/>
      <c r="EU100" s="163"/>
      <c r="EV100" s="163"/>
      <c r="EW100" s="163"/>
      <c r="EX100" s="163"/>
      <c r="EY100" s="163"/>
      <c r="EZ100" s="80"/>
      <c r="FA100" s="80"/>
      <c r="FB100" s="80"/>
      <c r="FC100" s="80"/>
      <c r="FD100" s="80"/>
      <c r="FE100" s="80"/>
      <c r="FF100" s="80"/>
      <c r="FG100" s="80"/>
      <c r="FH100" s="80"/>
      <c r="FI100" s="80"/>
      <c r="FJ100" s="80"/>
      <c r="FK100" s="81"/>
      <c r="FL100" s="117"/>
      <c r="FM100" s="81"/>
      <c r="FN100" s="81"/>
      <c r="FO100" s="81"/>
      <c r="FP100" s="81"/>
      <c r="FQ100" s="81"/>
      <c r="FR100" s="81"/>
      <c r="FS100" s="81"/>
      <c r="FT100" s="81"/>
      <c r="FU100" s="81"/>
      <c r="FV100" s="81"/>
      <c r="FW100" s="81"/>
      <c r="FX100" s="81"/>
      <c r="FY100" s="81"/>
      <c r="GA100" s="73"/>
    </row>
    <row r="101" spans="1:183">
      <c r="A101" s="265"/>
      <c r="B101" s="607" t="s">
        <v>90</v>
      </c>
      <c r="C101" s="607"/>
      <c r="D101" s="267">
        <f t="shared" ref="D101:J101" si="42">SUM(D27:D100)</f>
        <v>5729741721.372345</v>
      </c>
      <c r="E101" s="267">
        <f t="shared" si="42"/>
        <v>5661056661.5613594</v>
      </c>
      <c r="F101" s="267">
        <f t="shared" si="42"/>
        <v>5754720385.3541546</v>
      </c>
      <c r="G101" s="267">
        <f t="shared" si="42"/>
        <v>6672614565.3986588</v>
      </c>
      <c r="H101" s="267">
        <f t="shared" si="42"/>
        <v>6668123668.725421</v>
      </c>
      <c r="I101" s="267">
        <f t="shared" si="42"/>
        <v>7892399148.1288652</v>
      </c>
      <c r="J101" s="267">
        <f t="shared" si="42"/>
        <v>6778133161.3954926</v>
      </c>
      <c r="K101" s="267">
        <f>SUM(K27:K100)</f>
        <v>6889138415.1849709</v>
      </c>
      <c r="L101" s="267">
        <f t="shared" ref="L101:O101" si="43">SUM(L27:L100)</f>
        <v>6775913056.3197041</v>
      </c>
      <c r="M101" s="267">
        <f t="shared" si="43"/>
        <v>7006206772.0626917</v>
      </c>
      <c r="N101" s="267">
        <f t="shared" si="43"/>
        <v>6892640046.0598707</v>
      </c>
      <c r="O101" s="267">
        <f t="shared" si="43"/>
        <v>7596693593.3633499</v>
      </c>
      <c r="P101" s="323">
        <f>SUM(P27:P100)</f>
        <v>80317381194.926895</v>
      </c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53"/>
      <c r="BS101" s="153"/>
      <c r="BT101" s="153"/>
      <c r="BU101" s="153"/>
      <c r="BV101" s="153"/>
      <c r="BW101" s="153"/>
      <c r="BX101" s="153"/>
      <c r="BY101" s="153"/>
      <c r="BZ101" s="153"/>
      <c r="CA101" s="153"/>
      <c r="CB101" s="153"/>
      <c r="CC101" s="153"/>
      <c r="CD101" s="153"/>
      <c r="CE101" s="153"/>
      <c r="CF101" s="153"/>
      <c r="CG101" s="153"/>
      <c r="CH101" s="153"/>
      <c r="CI101" s="153"/>
      <c r="CJ101" s="153"/>
      <c r="CK101" s="153"/>
      <c r="CL101" s="153"/>
      <c r="CM101" s="153"/>
      <c r="CN101" s="153"/>
      <c r="CO101" s="153"/>
      <c r="CP101" s="153"/>
      <c r="CQ101" s="153"/>
      <c r="CR101" s="153"/>
      <c r="CS101" s="153"/>
      <c r="CT101" s="153"/>
      <c r="CU101" s="153"/>
      <c r="CV101" s="153"/>
      <c r="CW101" s="153"/>
      <c r="CX101" s="153"/>
      <c r="CY101" s="153"/>
      <c r="CZ101" s="153"/>
      <c r="DA101" s="153"/>
      <c r="DB101" s="153"/>
      <c r="DC101" s="153"/>
      <c r="DD101" s="153"/>
      <c r="DE101" s="153"/>
      <c r="DF101" s="153"/>
      <c r="DG101" s="153"/>
      <c r="DH101" s="153"/>
      <c r="DI101" s="153"/>
      <c r="DJ101" s="153"/>
      <c r="DK101" s="153"/>
      <c r="DL101" s="153"/>
      <c r="DM101" s="153"/>
      <c r="DN101" s="153"/>
      <c r="DO101" s="153"/>
      <c r="DP101" s="153"/>
      <c r="DQ101" s="153"/>
      <c r="DR101" s="153"/>
      <c r="DS101" s="153"/>
      <c r="DT101" s="153"/>
      <c r="DU101" s="153"/>
      <c r="DV101" s="153"/>
      <c r="DW101" s="153"/>
      <c r="DX101" s="153"/>
      <c r="DY101" s="153"/>
      <c r="DZ101" s="153"/>
      <c r="EA101" s="153"/>
      <c r="EB101" s="153"/>
      <c r="EC101" s="153"/>
      <c r="ED101" s="153"/>
      <c r="EE101" s="153"/>
      <c r="EF101" s="153"/>
      <c r="EG101" s="153"/>
      <c r="EH101" s="153"/>
      <c r="EI101" s="153"/>
      <c r="EJ101" s="153"/>
      <c r="EK101" s="153"/>
      <c r="EL101" s="153"/>
      <c r="EM101" s="153"/>
      <c r="EN101" s="153"/>
      <c r="EO101" s="153"/>
      <c r="EP101" s="153"/>
      <c r="EQ101" s="153"/>
      <c r="ER101" s="153"/>
      <c r="ES101" s="153"/>
      <c r="ET101" s="153"/>
      <c r="EU101" s="153"/>
      <c r="EV101" s="153"/>
      <c r="EW101" s="153"/>
      <c r="EX101" s="153"/>
      <c r="EY101" s="153"/>
      <c r="EZ101" s="82"/>
      <c r="FA101" s="82"/>
      <c r="FB101" s="82"/>
      <c r="FC101" s="82"/>
      <c r="FD101" s="82"/>
      <c r="FE101" s="82"/>
      <c r="FF101" s="82"/>
      <c r="FG101" s="82"/>
      <c r="FH101" s="82"/>
      <c r="FI101" s="82"/>
      <c r="FJ101" s="82"/>
      <c r="FK101" s="82"/>
      <c r="FL101" s="119">
        <v>3807445500</v>
      </c>
      <c r="FM101" s="82"/>
      <c r="FN101" s="82"/>
      <c r="FO101" s="82"/>
      <c r="FP101" s="82"/>
      <c r="FQ101" s="82"/>
      <c r="FR101" s="82"/>
      <c r="FS101" s="82"/>
      <c r="FT101" s="82"/>
      <c r="FU101" s="82"/>
      <c r="FV101" s="82"/>
      <c r="FW101" s="82"/>
      <c r="FX101" s="82"/>
      <c r="FY101" s="82"/>
      <c r="GA101" s="73">
        <v>3363.3003004999996</v>
      </c>
    </row>
    <row r="102" spans="1:183">
      <c r="A102" s="265"/>
      <c r="B102" s="270"/>
      <c r="C102" s="270" t="s">
        <v>112</v>
      </c>
      <c r="D102" s="264">
        <v>0</v>
      </c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321">
        <f t="shared" ref="P102:P116" si="44">SUM(D102:O102)</f>
        <v>0</v>
      </c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163"/>
      <c r="BN102" s="163"/>
      <c r="BO102" s="163"/>
      <c r="BP102" s="163"/>
      <c r="BQ102" s="163"/>
      <c r="BR102" s="163"/>
      <c r="BS102" s="163"/>
      <c r="BT102" s="163"/>
      <c r="BU102" s="163"/>
      <c r="BV102" s="163"/>
      <c r="BW102" s="163"/>
      <c r="BX102" s="163"/>
      <c r="BY102" s="163"/>
      <c r="BZ102" s="163"/>
      <c r="CA102" s="163"/>
      <c r="CB102" s="163"/>
      <c r="CC102" s="163"/>
      <c r="CD102" s="163"/>
      <c r="CE102" s="163"/>
      <c r="CF102" s="163"/>
      <c r="CG102" s="163"/>
      <c r="CH102" s="163"/>
      <c r="CI102" s="163"/>
      <c r="CJ102" s="163"/>
      <c r="CK102" s="163"/>
      <c r="CL102" s="163"/>
      <c r="CM102" s="163"/>
      <c r="CN102" s="163"/>
      <c r="CO102" s="163"/>
      <c r="CP102" s="163"/>
      <c r="CQ102" s="163"/>
      <c r="CR102" s="163"/>
      <c r="CS102" s="163"/>
      <c r="CT102" s="163"/>
      <c r="CU102" s="163"/>
      <c r="CV102" s="163"/>
      <c r="CW102" s="163"/>
      <c r="CX102" s="163"/>
      <c r="CY102" s="163"/>
      <c r="CZ102" s="163"/>
      <c r="DA102" s="163"/>
      <c r="DB102" s="163"/>
      <c r="DC102" s="163"/>
      <c r="DD102" s="163"/>
      <c r="DE102" s="163"/>
      <c r="DF102" s="163"/>
      <c r="DG102" s="163"/>
      <c r="DH102" s="163"/>
      <c r="DI102" s="163"/>
      <c r="DJ102" s="163"/>
      <c r="DK102" s="163"/>
      <c r="DL102" s="163"/>
      <c r="DM102" s="163"/>
      <c r="DN102" s="163"/>
      <c r="DO102" s="163"/>
      <c r="DP102" s="163"/>
      <c r="DQ102" s="163"/>
      <c r="DR102" s="163"/>
      <c r="DS102" s="163"/>
      <c r="DT102" s="163"/>
      <c r="DU102" s="163"/>
      <c r="DV102" s="163"/>
      <c r="DW102" s="163"/>
      <c r="DX102" s="163"/>
      <c r="DY102" s="163"/>
      <c r="DZ102" s="163"/>
      <c r="EA102" s="163"/>
      <c r="EB102" s="163"/>
      <c r="EC102" s="163"/>
      <c r="ED102" s="163"/>
      <c r="EE102" s="163"/>
      <c r="EF102" s="163"/>
      <c r="EG102" s="163"/>
      <c r="EH102" s="163"/>
      <c r="EI102" s="163"/>
      <c r="EJ102" s="163"/>
      <c r="EK102" s="163"/>
      <c r="EL102" s="163"/>
      <c r="EM102" s="163"/>
      <c r="EN102" s="163"/>
      <c r="EO102" s="163"/>
      <c r="EP102" s="163"/>
      <c r="EQ102" s="163"/>
      <c r="ER102" s="163"/>
      <c r="ES102" s="163"/>
      <c r="ET102" s="163"/>
      <c r="EU102" s="163"/>
      <c r="EV102" s="163"/>
      <c r="EW102" s="163"/>
      <c r="EX102" s="163"/>
      <c r="EY102" s="163"/>
      <c r="EZ102" s="80"/>
      <c r="FA102" s="80"/>
      <c r="FB102" s="80"/>
      <c r="FC102" s="80"/>
      <c r="FD102" s="80"/>
      <c r="FE102" s="80"/>
      <c r="FF102" s="80"/>
      <c r="FG102" s="80"/>
      <c r="FH102" s="80"/>
      <c r="FI102" s="80"/>
      <c r="FJ102" s="80"/>
      <c r="FK102" s="81"/>
      <c r="FL102" s="117">
        <v>117000000</v>
      </c>
      <c r="FM102" s="81"/>
      <c r="FN102" s="81"/>
      <c r="FO102" s="81"/>
      <c r="FP102" s="81"/>
      <c r="FQ102" s="81"/>
      <c r="FR102" s="81"/>
      <c r="FS102" s="81"/>
      <c r="FT102" s="81"/>
      <c r="FU102" s="81"/>
      <c r="FV102" s="81"/>
      <c r="FW102" s="81"/>
      <c r="FX102" s="81"/>
      <c r="FY102" s="81"/>
      <c r="GA102" s="73"/>
    </row>
    <row r="103" spans="1:183">
      <c r="A103" s="265"/>
      <c r="B103" s="270"/>
      <c r="C103" s="270" t="s">
        <v>230</v>
      </c>
      <c r="D103" s="264">
        <v>0</v>
      </c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321">
        <f t="shared" si="44"/>
        <v>0</v>
      </c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>
        <f>+AV106-16000000000</f>
        <v>1200000000</v>
      </c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163"/>
      <c r="BN103" s="163"/>
      <c r="BO103" s="163"/>
      <c r="BP103" s="163"/>
      <c r="BQ103" s="163"/>
      <c r="BR103" s="163"/>
      <c r="BS103" s="163"/>
      <c r="BT103" s="163"/>
      <c r="BU103" s="163"/>
      <c r="BV103" s="163"/>
      <c r="BW103" s="163"/>
      <c r="BX103" s="163"/>
      <c r="BY103" s="163"/>
      <c r="BZ103" s="163"/>
      <c r="CA103" s="163"/>
      <c r="CB103" s="163"/>
      <c r="CC103" s="163"/>
      <c r="CD103" s="163"/>
      <c r="CE103" s="163"/>
      <c r="CF103" s="163"/>
      <c r="CG103" s="163"/>
      <c r="CH103" s="163"/>
      <c r="CI103" s="163"/>
      <c r="CJ103" s="163"/>
      <c r="CK103" s="163"/>
      <c r="CL103" s="163"/>
      <c r="CM103" s="163"/>
      <c r="CN103" s="163"/>
      <c r="CO103" s="163"/>
      <c r="CP103" s="163"/>
      <c r="CQ103" s="163"/>
      <c r="CR103" s="163"/>
      <c r="CS103" s="163"/>
      <c r="CT103" s="163"/>
      <c r="CU103" s="163"/>
      <c r="CV103" s="163"/>
      <c r="CW103" s="163"/>
      <c r="CX103" s="163"/>
      <c r="CY103" s="163"/>
      <c r="CZ103" s="163"/>
      <c r="DA103" s="163"/>
      <c r="DB103" s="163"/>
      <c r="DC103" s="163"/>
      <c r="DD103" s="163"/>
      <c r="DE103" s="163"/>
      <c r="DF103" s="163"/>
      <c r="DG103" s="163"/>
      <c r="DH103" s="163"/>
      <c r="DI103" s="163"/>
      <c r="DJ103" s="163"/>
      <c r="DK103" s="163"/>
      <c r="DL103" s="163"/>
      <c r="DM103" s="163"/>
      <c r="DN103" s="163"/>
      <c r="DO103" s="163"/>
      <c r="DP103" s="163"/>
      <c r="DQ103" s="163"/>
      <c r="DR103" s="163"/>
      <c r="DS103" s="163"/>
      <c r="DT103" s="163"/>
      <c r="DU103" s="163"/>
      <c r="DV103" s="163"/>
      <c r="DW103" s="163"/>
      <c r="DX103" s="163"/>
      <c r="DY103" s="163"/>
      <c r="DZ103" s="163"/>
      <c r="EA103" s="163"/>
      <c r="EB103" s="163"/>
      <c r="EC103" s="163"/>
      <c r="ED103" s="163"/>
      <c r="EE103" s="163"/>
      <c r="EF103" s="163"/>
      <c r="EG103" s="163"/>
      <c r="EH103" s="163"/>
      <c r="EI103" s="163"/>
      <c r="EJ103" s="163"/>
      <c r="EK103" s="163"/>
      <c r="EL103" s="163"/>
      <c r="EM103" s="163"/>
      <c r="EN103" s="163"/>
      <c r="EO103" s="163"/>
      <c r="EP103" s="163"/>
      <c r="EQ103" s="163"/>
      <c r="ER103" s="163"/>
      <c r="ES103" s="163"/>
      <c r="ET103" s="163"/>
      <c r="EU103" s="163"/>
      <c r="EV103" s="163"/>
      <c r="EW103" s="163"/>
      <c r="EX103" s="163"/>
      <c r="EY103" s="163"/>
      <c r="EZ103" s="80"/>
      <c r="FA103" s="80"/>
      <c r="FB103" s="80"/>
      <c r="FC103" s="80"/>
      <c r="FD103" s="80"/>
      <c r="FE103" s="80"/>
      <c r="FF103" s="80"/>
      <c r="FG103" s="80"/>
      <c r="FH103" s="80"/>
      <c r="FI103" s="80"/>
      <c r="FJ103" s="80"/>
      <c r="FK103" s="81"/>
      <c r="FL103" s="117">
        <v>0</v>
      </c>
      <c r="FM103" s="81"/>
      <c r="FN103" s="81"/>
      <c r="FO103" s="81"/>
      <c r="FP103" s="81"/>
      <c r="FQ103" s="81"/>
      <c r="FR103" s="81"/>
      <c r="FS103" s="81"/>
      <c r="FT103" s="81"/>
      <c r="FU103" s="81"/>
      <c r="FV103" s="81"/>
      <c r="FW103" s="81"/>
      <c r="FX103" s="81"/>
      <c r="FY103" s="81"/>
      <c r="GA103" s="73">
        <v>30</v>
      </c>
    </row>
    <row r="104" spans="1:183">
      <c r="A104" s="265"/>
      <c r="B104" s="270"/>
      <c r="C104" s="270" t="s">
        <v>231</v>
      </c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321">
        <f t="shared" si="44"/>
        <v>0</v>
      </c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>
        <f>+'CF 2018'!AK20</f>
        <v>33000000000</v>
      </c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3"/>
      <c r="BN104" s="163"/>
      <c r="BO104" s="163"/>
      <c r="BP104" s="163"/>
      <c r="BQ104" s="163"/>
      <c r="BR104" s="163"/>
      <c r="BS104" s="163"/>
      <c r="BT104" s="163"/>
      <c r="BU104" s="163"/>
      <c r="BV104" s="163"/>
      <c r="BW104" s="163"/>
      <c r="BX104" s="163"/>
      <c r="BY104" s="163"/>
      <c r="BZ104" s="163"/>
      <c r="CA104" s="163"/>
      <c r="CB104" s="163"/>
      <c r="CC104" s="163"/>
      <c r="CD104" s="163"/>
      <c r="CE104" s="163"/>
      <c r="CF104" s="163"/>
      <c r="CG104" s="163"/>
      <c r="CH104" s="163"/>
      <c r="CI104" s="163"/>
      <c r="CJ104" s="163"/>
      <c r="CK104" s="163"/>
      <c r="CL104" s="163"/>
      <c r="CM104" s="163"/>
      <c r="CN104" s="163"/>
      <c r="CO104" s="163"/>
      <c r="CP104" s="163"/>
      <c r="CQ104" s="163"/>
      <c r="CR104" s="163"/>
      <c r="CS104" s="163"/>
      <c r="CT104" s="163"/>
      <c r="CU104" s="163"/>
      <c r="CV104" s="163"/>
      <c r="CW104" s="163"/>
      <c r="CX104" s="163"/>
      <c r="CY104" s="163"/>
      <c r="CZ104" s="163"/>
      <c r="DA104" s="163"/>
      <c r="DB104" s="163"/>
      <c r="DC104" s="163"/>
      <c r="DD104" s="163"/>
      <c r="DE104" s="163"/>
      <c r="DF104" s="163"/>
      <c r="DG104" s="163"/>
      <c r="DH104" s="163"/>
      <c r="DI104" s="163"/>
      <c r="DJ104" s="163"/>
      <c r="DK104" s="163"/>
      <c r="DL104" s="163"/>
      <c r="DM104" s="163"/>
      <c r="DN104" s="163"/>
      <c r="DO104" s="163"/>
      <c r="DP104" s="163"/>
      <c r="DQ104" s="163"/>
      <c r="DR104" s="163"/>
      <c r="DS104" s="163"/>
      <c r="DT104" s="163"/>
      <c r="DU104" s="163"/>
      <c r="DV104" s="163"/>
      <c r="DW104" s="163"/>
      <c r="DX104" s="163"/>
      <c r="DY104" s="163"/>
      <c r="DZ104" s="163"/>
      <c r="EA104" s="163"/>
      <c r="EB104" s="163"/>
      <c r="EC104" s="163"/>
      <c r="ED104" s="163"/>
      <c r="EE104" s="163"/>
      <c r="EF104" s="163"/>
      <c r="EG104" s="163"/>
      <c r="EH104" s="163"/>
      <c r="EI104" s="163"/>
      <c r="EJ104" s="163"/>
      <c r="EK104" s="163"/>
      <c r="EL104" s="163"/>
      <c r="EM104" s="163"/>
      <c r="EN104" s="163"/>
      <c r="EO104" s="163"/>
      <c r="EP104" s="163"/>
      <c r="EQ104" s="163"/>
      <c r="ER104" s="163"/>
      <c r="ES104" s="163"/>
      <c r="ET104" s="163"/>
      <c r="EU104" s="163"/>
      <c r="EV104" s="163"/>
      <c r="EW104" s="163"/>
      <c r="EX104" s="163"/>
      <c r="EY104" s="163"/>
      <c r="EZ104" s="80"/>
      <c r="FA104" s="80"/>
      <c r="FB104" s="80"/>
      <c r="FC104" s="80"/>
      <c r="FD104" s="80"/>
      <c r="FE104" s="80"/>
      <c r="FF104" s="80"/>
      <c r="FG104" s="80"/>
      <c r="FH104" s="80"/>
      <c r="FI104" s="80"/>
      <c r="FJ104" s="80"/>
      <c r="FK104" s="81"/>
      <c r="FL104" s="117"/>
      <c r="FM104" s="81"/>
      <c r="FN104" s="81"/>
      <c r="FO104" s="81"/>
      <c r="FP104" s="81"/>
      <c r="FQ104" s="81"/>
      <c r="FR104" s="81"/>
      <c r="FS104" s="81"/>
      <c r="FT104" s="81"/>
      <c r="FU104" s="81"/>
      <c r="FV104" s="81"/>
      <c r="FW104" s="81"/>
      <c r="FX104" s="81"/>
      <c r="FY104" s="81"/>
      <c r="GA104" s="73"/>
    </row>
    <row r="105" spans="1:183">
      <c r="A105" s="265"/>
      <c r="B105" s="270"/>
      <c r="C105" s="270" t="s">
        <v>222</v>
      </c>
      <c r="D105" s="264">
        <v>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321">
        <f t="shared" si="44"/>
        <v>0</v>
      </c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>
        <f>+AX104/(12*4)</f>
        <v>687500000</v>
      </c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3"/>
      <c r="BN105" s="163"/>
      <c r="BO105" s="163"/>
      <c r="BP105" s="163"/>
      <c r="BQ105" s="163"/>
      <c r="BR105" s="163"/>
      <c r="BS105" s="163"/>
      <c r="BT105" s="163"/>
      <c r="BU105" s="163"/>
      <c r="BV105" s="163"/>
      <c r="BW105" s="163"/>
      <c r="BX105" s="163"/>
      <c r="BY105" s="163"/>
      <c r="BZ105" s="163"/>
      <c r="CA105" s="163"/>
      <c r="CB105" s="163"/>
      <c r="CC105" s="163"/>
      <c r="CD105" s="163"/>
      <c r="CE105" s="163"/>
      <c r="CF105" s="163"/>
      <c r="CG105" s="163"/>
      <c r="CH105" s="163"/>
      <c r="CI105" s="163"/>
      <c r="CJ105" s="163"/>
      <c r="CK105" s="163"/>
      <c r="CL105" s="163"/>
      <c r="CM105" s="163"/>
      <c r="CN105" s="163"/>
      <c r="CO105" s="163"/>
      <c r="CP105" s="163"/>
      <c r="CQ105" s="163"/>
      <c r="CR105" s="163"/>
      <c r="CS105" s="163"/>
      <c r="CT105" s="163"/>
      <c r="CU105" s="163"/>
      <c r="CV105" s="163"/>
      <c r="CW105" s="163"/>
      <c r="CX105" s="163"/>
      <c r="CY105" s="163"/>
      <c r="CZ105" s="163"/>
      <c r="DA105" s="163"/>
      <c r="DB105" s="163"/>
      <c r="DC105" s="163"/>
      <c r="DD105" s="163"/>
      <c r="DE105" s="163"/>
      <c r="DF105" s="163"/>
      <c r="DG105" s="163"/>
      <c r="DH105" s="163"/>
      <c r="DI105" s="163"/>
      <c r="DJ105" s="163"/>
      <c r="DK105" s="163"/>
      <c r="DL105" s="163"/>
      <c r="DM105" s="163"/>
      <c r="DN105" s="163"/>
      <c r="DO105" s="163"/>
      <c r="DP105" s="163"/>
      <c r="DQ105" s="163"/>
      <c r="DR105" s="163"/>
      <c r="DS105" s="163"/>
      <c r="DT105" s="163"/>
      <c r="DU105" s="163"/>
      <c r="DV105" s="163"/>
      <c r="DW105" s="163"/>
      <c r="DX105" s="163"/>
      <c r="DY105" s="163"/>
      <c r="DZ105" s="163"/>
      <c r="EA105" s="163"/>
      <c r="EB105" s="163"/>
      <c r="EC105" s="163"/>
      <c r="ED105" s="163"/>
      <c r="EE105" s="163"/>
      <c r="EF105" s="163"/>
      <c r="EG105" s="163"/>
      <c r="EH105" s="163"/>
      <c r="EI105" s="163"/>
      <c r="EJ105" s="163"/>
      <c r="EK105" s="163"/>
      <c r="EL105" s="163"/>
      <c r="EM105" s="163"/>
      <c r="EN105" s="163"/>
      <c r="EO105" s="163"/>
      <c r="EP105" s="163"/>
      <c r="EQ105" s="163"/>
      <c r="ER105" s="163"/>
      <c r="ES105" s="163"/>
      <c r="ET105" s="163"/>
      <c r="EU105" s="163"/>
      <c r="EV105" s="163"/>
      <c r="EW105" s="163"/>
      <c r="EX105" s="163"/>
      <c r="EY105" s="163"/>
      <c r="EZ105" s="80"/>
      <c r="FA105" s="80"/>
      <c r="FB105" s="80"/>
      <c r="FC105" s="80"/>
      <c r="FD105" s="80"/>
      <c r="FE105" s="80"/>
      <c r="FF105" s="80"/>
      <c r="FG105" s="80"/>
      <c r="FH105" s="80"/>
      <c r="FI105" s="80"/>
      <c r="FJ105" s="80"/>
      <c r="FK105" s="81"/>
      <c r="FL105" s="117">
        <v>80000000</v>
      </c>
      <c r="FM105" s="81"/>
      <c r="FN105" s="81"/>
      <c r="FO105" s="81"/>
      <c r="FP105" s="81"/>
      <c r="FQ105" s="81"/>
      <c r="FR105" s="81"/>
      <c r="FS105" s="81"/>
      <c r="FT105" s="81"/>
      <c r="FU105" s="81"/>
      <c r="FV105" s="81"/>
      <c r="FW105" s="81"/>
      <c r="FX105" s="81"/>
      <c r="FY105" s="81"/>
      <c r="GA105" s="73"/>
    </row>
    <row r="106" spans="1:183">
      <c r="A106" s="265"/>
      <c r="B106" s="273"/>
      <c r="C106" s="274" t="s">
        <v>338</v>
      </c>
      <c r="D106" s="264">
        <v>0</v>
      </c>
      <c r="E106" s="264">
        <v>1500000000</v>
      </c>
      <c r="F106" s="264">
        <f>+E106</f>
        <v>1500000000</v>
      </c>
      <c r="G106" s="264">
        <f>+F106</f>
        <v>1500000000</v>
      </c>
      <c r="H106" s="264">
        <v>1000000000</v>
      </c>
      <c r="I106" s="264">
        <v>1000000000</v>
      </c>
      <c r="J106" s="264">
        <v>1000000000</v>
      </c>
      <c r="K106" s="264">
        <v>1000000000</v>
      </c>
      <c r="L106" s="264">
        <v>1000000000</v>
      </c>
      <c r="M106" s="264">
        <v>1000000000</v>
      </c>
      <c r="N106" s="264">
        <v>1300000000</v>
      </c>
      <c r="O106" s="264"/>
      <c r="P106" s="321">
        <f t="shared" si="44"/>
        <v>11800000000</v>
      </c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>
        <f>+P106+'CF 2018'!P105+'CF 2017'!P109</f>
        <v>17200000000</v>
      </c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3"/>
      <c r="BN106" s="163"/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3"/>
      <c r="BY106" s="163"/>
      <c r="BZ106" s="163"/>
      <c r="CA106" s="163"/>
      <c r="CB106" s="163"/>
      <c r="CC106" s="163"/>
      <c r="CD106" s="163"/>
      <c r="CE106" s="163"/>
      <c r="CF106" s="163"/>
      <c r="CG106" s="163"/>
      <c r="CH106" s="163"/>
      <c r="CI106" s="163"/>
      <c r="CJ106" s="163"/>
      <c r="CK106" s="163"/>
      <c r="CL106" s="163"/>
      <c r="CM106" s="163"/>
      <c r="CN106" s="163"/>
      <c r="CO106" s="163"/>
      <c r="CP106" s="163"/>
      <c r="CQ106" s="163"/>
      <c r="CR106" s="163"/>
      <c r="CS106" s="163"/>
      <c r="CT106" s="163"/>
      <c r="CU106" s="163"/>
      <c r="CV106" s="163"/>
      <c r="CW106" s="163"/>
      <c r="CX106" s="163"/>
      <c r="CY106" s="163"/>
      <c r="CZ106" s="163"/>
      <c r="DA106" s="163"/>
      <c r="DB106" s="163"/>
      <c r="DC106" s="163"/>
      <c r="DD106" s="163"/>
      <c r="DE106" s="163"/>
      <c r="DF106" s="163"/>
      <c r="DG106" s="163"/>
      <c r="DH106" s="163"/>
      <c r="DI106" s="163"/>
      <c r="DJ106" s="163"/>
      <c r="DK106" s="163"/>
      <c r="DL106" s="163"/>
      <c r="DM106" s="163"/>
      <c r="DN106" s="163"/>
      <c r="DO106" s="163"/>
      <c r="DP106" s="163"/>
      <c r="DQ106" s="163"/>
      <c r="DR106" s="163"/>
      <c r="DS106" s="163"/>
      <c r="DT106" s="163"/>
      <c r="DU106" s="163"/>
      <c r="DV106" s="163"/>
      <c r="DW106" s="163"/>
      <c r="DX106" s="163"/>
      <c r="DY106" s="163"/>
      <c r="DZ106" s="163"/>
      <c r="EA106" s="163"/>
      <c r="EB106" s="163"/>
      <c r="EC106" s="163"/>
      <c r="ED106" s="163"/>
      <c r="EE106" s="163"/>
      <c r="EF106" s="163"/>
      <c r="EG106" s="163"/>
      <c r="EH106" s="163"/>
      <c r="EI106" s="163"/>
      <c r="EJ106" s="163"/>
      <c r="EK106" s="163"/>
      <c r="EL106" s="163"/>
      <c r="EM106" s="163"/>
      <c r="EN106" s="163"/>
      <c r="EO106" s="163"/>
      <c r="EP106" s="163"/>
      <c r="EQ106" s="163"/>
      <c r="ER106" s="163"/>
      <c r="ES106" s="163"/>
      <c r="ET106" s="163"/>
      <c r="EU106" s="163"/>
      <c r="EV106" s="163"/>
      <c r="EW106" s="163"/>
      <c r="EX106" s="163"/>
      <c r="EY106" s="163"/>
      <c r="EZ106" s="80"/>
      <c r="FA106" s="80"/>
      <c r="FB106" s="80"/>
      <c r="FC106" s="80"/>
      <c r="FD106" s="80"/>
      <c r="FE106" s="80"/>
      <c r="FF106" s="80"/>
      <c r="FG106" s="80"/>
      <c r="FH106" s="80"/>
      <c r="FI106" s="80"/>
      <c r="FJ106" s="80"/>
      <c r="FK106" s="81"/>
      <c r="FL106" s="117"/>
      <c r="FM106" s="81"/>
      <c r="FN106" s="81"/>
      <c r="FO106" s="81"/>
      <c r="FP106" s="81"/>
      <c r="FQ106" s="81"/>
      <c r="FR106" s="81"/>
      <c r="FS106" s="81"/>
      <c r="FT106" s="81"/>
      <c r="FU106" s="81"/>
      <c r="FV106" s="81"/>
      <c r="FW106" s="81"/>
      <c r="FX106" s="81"/>
      <c r="FY106" s="81"/>
      <c r="GA106" s="73"/>
    </row>
    <row r="107" spans="1:183">
      <c r="A107" s="265"/>
      <c r="B107" s="273"/>
      <c r="C107" s="27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321">
        <f t="shared" si="44"/>
        <v>0</v>
      </c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163"/>
      <c r="BN107" s="163"/>
      <c r="BO107" s="163"/>
      <c r="BP107" s="163"/>
      <c r="BQ107" s="163"/>
      <c r="BR107" s="163"/>
      <c r="BS107" s="163"/>
      <c r="BT107" s="163"/>
      <c r="BU107" s="163"/>
      <c r="BV107" s="163"/>
      <c r="BW107" s="163"/>
      <c r="BX107" s="163"/>
      <c r="BY107" s="163"/>
      <c r="BZ107" s="163"/>
      <c r="CA107" s="163"/>
      <c r="CB107" s="163"/>
      <c r="CC107" s="163"/>
      <c r="CD107" s="163"/>
      <c r="CE107" s="163"/>
      <c r="CF107" s="163"/>
      <c r="CG107" s="163"/>
      <c r="CH107" s="163"/>
      <c r="CI107" s="163"/>
      <c r="CJ107" s="163"/>
      <c r="CK107" s="163"/>
      <c r="CL107" s="163"/>
      <c r="CM107" s="163"/>
      <c r="CN107" s="163"/>
      <c r="CO107" s="163"/>
      <c r="CP107" s="163"/>
      <c r="CQ107" s="163"/>
      <c r="CR107" s="163"/>
      <c r="CS107" s="163"/>
      <c r="CT107" s="163"/>
      <c r="CU107" s="163"/>
      <c r="CV107" s="163"/>
      <c r="CW107" s="163"/>
      <c r="CX107" s="163"/>
      <c r="CY107" s="163"/>
      <c r="CZ107" s="163"/>
      <c r="DA107" s="163"/>
      <c r="DB107" s="163"/>
      <c r="DC107" s="163"/>
      <c r="DD107" s="163"/>
      <c r="DE107" s="163"/>
      <c r="DF107" s="163"/>
      <c r="DG107" s="163"/>
      <c r="DH107" s="163"/>
      <c r="DI107" s="163"/>
      <c r="DJ107" s="163"/>
      <c r="DK107" s="163"/>
      <c r="DL107" s="163"/>
      <c r="DM107" s="163"/>
      <c r="DN107" s="163"/>
      <c r="DO107" s="163"/>
      <c r="DP107" s="163"/>
      <c r="DQ107" s="163"/>
      <c r="DR107" s="163"/>
      <c r="DS107" s="163"/>
      <c r="DT107" s="163"/>
      <c r="DU107" s="163"/>
      <c r="DV107" s="163"/>
      <c r="DW107" s="163"/>
      <c r="DX107" s="163"/>
      <c r="DY107" s="163"/>
      <c r="DZ107" s="163"/>
      <c r="EA107" s="163"/>
      <c r="EB107" s="163"/>
      <c r="EC107" s="163"/>
      <c r="ED107" s="163"/>
      <c r="EE107" s="163"/>
      <c r="EF107" s="163"/>
      <c r="EG107" s="163"/>
      <c r="EH107" s="163"/>
      <c r="EI107" s="163"/>
      <c r="EJ107" s="163"/>
      <c r="EK107" s="163"/>
      <c r="EL107" s="163"/>
      <c r="EM107" s="163"/>
      <c r="EN107" s="163"/>
      <c r="EO107" s="163"/>
      <c r="EP107" s="163"/>
      <c r="EQ107" s="163"/>
      <c r="ER107" s="163"/>
      <c r="ES107" s="163"/>
      <c r="ET107" s="163"/>
      <c r="EU107" s="163"/>
      <c r="EV107" s="163"/>
      <c r="EW107" s="163"/>
      <c r="EX107" s="163"/>
      <c r="EY107" s="163"/>
      <c r="EZ107" s="80"/>
      <c r="FA107" s="80"/>
      <c r="FB107" s="80"/>
      <c r="FC107" s="80"/>
      <c r="FD107" s="80"/>
      <c r="FE107" s="80"/>
      <c r="FF107" s="80"/>
      <c r="FG107" s="80"/>
      <c r="FH107" s="80"/>
      <c r="FI107" s="80"/>
      <c r="FJ107" s="80"/>
      <c r="FK107" s="81"/>
      <c r="FL107" s="117"/>
      <c r="FM107" s="81"/>
      <c r="FN107" s="81"/>
      <c r="FO107" s="81"/>
      <c r="FP107" s="81"/>
      <c r="FQ107" s="81"/>
      <c r="FR107" s="81"/>
      <c r="FS107" s="81"/>
      <c r="FT107" s="81"/>
      <c r="FU107" s="81"/>
      <c r="FV107" s="81"/>
      <c r="FW107" s="81"/>
      <c r="FX107" s="81"/>
      <c r="FY107" s="81"/>
    </row>
    <row r="108" spans="1:183">
      <c r="A108" s="265"/>
      <c r="B108" s="273"/>
      <c r="C108" s="27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321">
        <f t="shared" si="44"/>
        <v>0</v>
      </c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163"/>
      <c r="BN108" s="163"/>
      <c r="BO108" s="163"/>
      <c r="BP108" s="163"/>
      <c r="BQ108" s="163"/>
      <c r="BR108" s="163"/>
      <c r="BS108" s="163"/>
      <c r="BT108" s="163"/>
      <c r="BU108" s="163"/>
      <c r="BV108" s="163"/>
      <c r="BW108" s="163"/>
      <c r="BX108" s="163"/>
      <c r="BY108" s="163"/>
      <c r="BZ108" s="163"/>
      <c r="CA108" s="163"/>
      <c r="CB108" s="163"/>
      <c r="CC108" s="163"/>
      <c r="CD108" s="163"/>
      <c r="CE108" s="163"/>
      <c r="CF108" s="163"/>
      <c r="CG108" s="163"/>
      <c r="CH108" s="163"/>
      <c r="CI108" s="163"/>
      <c r="CJ108" s="163"/>
      <c r="CK108" s="163"/>
      <c r="CL108" s="163"/>
      <c r="CM108" s="163"/>
      <c r="CN108" s="163"/>
      <c r="CO108" s="163"/>
      <c r="CP108" s="163"/>
      <c r="CQ108" s="163"/>
      <c r="CR108" s="163"/>
      <c r="CS108" s="163"/>
      <c r="CT108" s="163"/>
      <c r="CU108" s="163"/>
      <c r="CV108" s="163"/>
      <c r="CW108" s="163"/>
      <c r="CX108" s="163"/>
      <c r="CY108" s="163"/>
      <c r="CZ108" s="163"/>
      <c r="DA108" s="163"/>
      <c r="DB108" s="163"/>
      <c r="DC108" s="163"/>
      <c r="DD108" s="163"/>
      <c r="DE108" s="163"/>
      <c r="DF108" s="163"/>
      <c r="DG108" s="163"/>
      <c r="DH108" s="163"/>
      <c r="DI108" s="163"/>
      <c r="DJ108" s="163"/>
      <c r="DK108" s="163"/>
      <c r="DL108" s="163"/>
      <c r="DM108" s="163"/>
      <c r="DN108" s="163"/>
      <c r="DO108" s="163"/>
      <c r="DP108" s="163"/>
      <c r="DQ108" s="163"/>
      <c r="DR108" s="163"/>
      <c r="DS108" s="163"/>
      <c r="DT108" s="163"/>
      <c r="DU108" s="163"/>
      <c r="DV108" s="163"/>
      <c r="DW108" s="163"/>
      <c r="DX108" s="163"/>
      <c r="DY108" s="163"/>
      <c r="DZ108" s="163"/>
      <c r="EA108" s="163"/>
      <c r="EB108" s="163"/>
      <c r="EC108" s="163"/>
      <c r="ED108" s="163"/>
      <c r="EE108" s="163"/>
      <c r="EF108" s="163"/>
      <c r="EG108" s="163"/>
      <c r="EH108" s="163"/>
      <c r="EI108" s="163"/>
      <c r="EJ108" s="163"/>
      <c r="EK108" s="163"/>
      <c r="EL108" s="163"/>
      <c r="EM108" s="163"/>
      <c r="EN108" s="163"/>
      <c r="EO108" s="163"/>
      <c r="EP108" s="163"/>
      <c r="EQ108" s="163"/>
      <c r="ER108" s="163"/>
      <c r="ES108" s="163"/>
      <c r="ET108" s="163"/>
      <c r="EU108" s="163"/>
      <c r="EV108" s="163"/>
      <c r="EW108" s="163"/>
      <c r="EX108" s="163"/>
      <c r="EY108" s="163"/>
      <c r="EZ108" s="80"/>
      <c r="FA108" s="80"/>
      <c r="FB108" s="80"/>
      <c r="FC108" s="80"/>
      <c r="FD108" s="80"/>
      <c r="FE108" s="80"/>
      <c r="FF108" s="80"/>
      <c r="FG108" s="80"/>
      <c r="FH108" s="80"/>
      <c r="FI108" s="80"/>
      <c r="FJ108" s="80"/>
      <c r="FK108" s="81"/>
      <c r="FL108" s="117"/>
      <c r="FM108" s="81"/>
      <c r="FN108" s="81"/>
      <c r="FO108" s="81"/>
      <c r="FP108" s="81"/>
      <c r="FQ108" s="81"/>
      <c r="FR108" s="81"/>
      <c r="FS108" s="81"/>
      <c r="FT108" s="81"/>
      <c r="FU108" s="81"/>
      <c r="FV108" s="81"/>
      <c r="FW108" s="81"/>
      <c r="FX108" s="81"/>
      <c r="FY108" s="81"/>
      <c r="GA108" s="73"/>
    </row>
    <row r="109" spans="1:183">
      <c r="A109" s="265"/>
      <c r="B109" s="273"/>
      <c r="C109" s="270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321">
        <f t="shared" si="44"/>
        <v>0</v>
      </c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163"/>
      <c r="BN109" s="163"/>
      <c r="BO109" s="163"/>
      <c r="BP109" s="163"/>
      <c r="BQ109" s="163"/>
      <c r="BR109" s="163"/>
      <c r="BS109" s="163"/>
      <c r="BT109" s="163"/>
      <c r="BU109" s="163"/>
      <c r="BV109" s="163"/>
      <c r="BW109" s="163"/>
      <c r="BX109" s="163"/>
      <c r="BY109" s="163"/>
      <c r="BZ109" s="163"/>
      <c r="CA109" s="163"/>
      <c r="CB109" s="163"/>
      <c r="CC109" s="163"/>
      <c r="CD109" s="163"/>
      <c r="CE109" s="163"/>
      <c r="CF109" s="163"/>
      <c r="CG109" s="163"/>
      <c r="CH109" s="163"/>
      <c r="CI109" s="163"/>
      <c r="CJ109" s="163"/>
      <c r="CK109" s="163"/>
      <c r="CL109" s="163"/>
      <c r="CM109" s="163"/>
      <c r="CN109" s="163"/>
      <c r="CO109" s="163"/>
      <c r="CP109" s="163"/>
      <c r="CQ109" s="163"/>
      <c r="CR109" s="163"/>
      <c r="CS109" s="163"/>
      <c r="CT109" s="163"/>
      <c r="CU109" s="163"/>
      <c r="CV109" s="163"/>
      <c r="CW109" s="163"/>
      <c r="CX109" s="163"/>
      <c r="CY109" s="163"/>
      <c r="CZ109" s="163"/>
      <c r="DA109" s="163"/>
      <c r="DB109" s="163"/>
      <c r="DC109" s="163"/>
      <c r="DD109" s="163"/>
      <c r="DE109" s="163"/>
      <c r="DF109" s="163"/>
      <c r="DG109" s="163"/>
      <c r="DH109" s="163"/>
      <c r="DI109" s="163"/>
      <c r="DJ109" s="163"/>
      <c r="DK109" s="163"/>
      <c r="DL109" s="163"/>
      <c r="DM109" s="163"/>
      <c r="DN109" s="163"/>
      <c r="DO109" s="163"/>
      <c r="DP109" s="163"/>
      <c r="DQ109" s="163"/>
      <c r="DR109" s="163"/>
      <c r="DS109" s="163"/>
      <c r="DT109" s="163"/>
      <c r="DU109" s="163"/>
      <c r="DV109" s="163"/>
      <c r="DW109" s="163"/>
      <c r="DX109" s="163"/>
      <c r="DY109" s="163"/>
      <c r="DZ109" s="163"/>
      <c r="EA109" s="163"/>
      <c r="EB109" s="163"/>
      <c r="EC109" s="163"/>
      <c r="ED109" s="163"/>
      <c r="EE109" s="163"/>
      <c r="EF109" s="163"/>
      <c r="EG109" s="163"/>
      <c r="EH109" s="163"/>
      <c r="EI109" s="163"/>
      <c r="EJ109" s="163"/>
      <c r="EK109" s="163"/>
      <c r="EL109" s="163"/>
      <c r="EM109" s="163"/>
      <c r="EN109" s="163"/>
      <c r="EO109" s="163"/>
      <c r="EP109" s="163"/>
      <c r="EQ109" s="163"/>
      <c r="ER109" s="163"/>
      <c r="ES109" s="163"/>
      <c r="ET109" s="163"/>
      <c r="EU109" s="163"/>
      <c r="EV109" s="163"/>
      <c r="EW109" s="163"/>
      <c r="EX109" s="163"/>
      <c r="EY109" s="163"/>
      <c r="EZ109" s="80"/>
      <c r="FA109" s="80"/>
      <c r="FB109" s="80"/>
      <c r="FC109" s="80"/>
      <c r="FD109" s="80"/>
      <c r="FE109" s="80"/>
      <c r="FF109" s="80"/>
      <c r="FG109" s="80"/>
      <c r="FH109" s="80"/>
      <c r="FI109" s="80"/>
      <c r="FJ109" s="80"/>
      <c r="FK109" s="80"/>
      <c r="FL109" s="118"/>
      <c r="FM109" s="80"/>
      <c r="FN109" s="80"/>
      <c r="FO109" s="80"/>
      <c r="FP109" s="80"/>
      <c r="FQ109" s="80"/>
      <c r="FR109" s="80"/>
      <c r="FS109" s="80"/>
      <c r="FT109" s="80"/>
      <c r="FU109" s="80"/>
      <c r="FV109" s="80"/>
      <c r="FW109" s="80"/>
      <c r="FX109" s="80"/>
      <c r="FY109" s="80"/>
      <c r="GA109" s="73"/>
    </row>
    <row r="110" spans="1:183">
      <c r="A110" s="265"/>
      <c r="B110" s="273"/>
      <c r="C110" s="270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321">
        <f t="shared" si="44"/>
        <v>0</v>
      </c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163"/>
      <c r="BK110" s="163"/>
      <c r="BL110" s="163"/>
      <c r="BM110" s="163"/>
      <c r="BN110" s="163"/>
      <c r="BO110" s="163"/>
      <c r="BP110" s="163"/>
      <c r="BQ110" s="163"/>
      <c r="BR110" s="163"/>
      <c r="BS110" s="163"/>
      <c r="BT110" s="163"/>
      <c r="BU110" s="163"/>
      <c r="BV110" s="163"/>
      <c r="BW110" s="163"/>
      <c r="BX110" s="163"/>
      <c r="BY110" s="163"/>
      <c r="BZ110" s="163"/>
      <c r="CA110" s="163"/>
      <c r="CB110" s="163"/>
      <c r="CC110" s="163"/>
      <c r="CD110" s="163"/>
      <c r="CE110" s="163"/>
      <c r="CF110" s="163"/>
      <c r="CG110" s="163"/>
      <c r="CH110" s="163"/>
      <c r="CI110" s="190"/>
      <c r="CJ110" s="190"/>
      <c r="CK110" s="190"/>
      <c r="CL110" s="190"/>
      <c r="CM110" s="190"/>
      <c r="CN110" s="190"/>
      <c r="CO110" s="190"/>
      <c r="CP110" s="190"/>
      <c r="CQ110" s="190"/>
      <c r="CR110" s="190"/>
      <c r="CS110" s="190"/>
      <c r="CT110" s="190"/>
      <c r="CU110" s="190"/>
      <c r="CV110" s="190"/>
      <c r="CW110" s="190"/>
      <c r="CX110" s="190"/>
      <c r="CY110" s="190"/>
      <c r="CZ110" s="190"/>
      <c r="DA110" s="190"/>
      <c r="DB110" s="190"/>
      <c r="DC110" s="190"/>
      <c r="DD110" s="190"/>
      <c r="DE110" s="190"/>
      <c r="DF110" s="190"/>
      <c r="DG110" s="190"/>
      <c r="DH110" s="190"/>
      <c r="DI110" s="190"/>
      <c r="DJ110" s="190"/>
      <c r="DK110" s="190"/>
      <c r="DL110" s="190"/>
      <c r="DM110" s="190"/>
      <c r="DN110" s="190"/>
      <c r="DO110" s="190"/>
      <c r="DP110" s="190"/>
      <c r="DQ110" s="190"/>
      <c r="DR110" s="190"/>
      <c r="DS110" s="190"/>
      <c r="DT110" s="190"/>
      <c r="DU110" s="190"/>
      <c r="DV110" s="163"/>
      <c r="DW110" s="163" t="e">
        <f>+DW111-8000000000</f>
        <v>#REF!</v>
      </c>
      <c r="DX110" s="163"/>
      <c r="DY110" s="163"/>
      <c r="DZ110" s="163"/>
      <c r="EA110" s="163"/>
      <c r="EB110" s="163"/>
      <c r="EC110" s="163"/>
      <c r="ED110" s="163"/>
      <c r="EE110" s="163"/>
      <c r="EF110" s="163"/>
      <c r="EG110" s="163"/>
      <c r="EH110" s="163"/>
      <c r="EI110" s="163"/>
      <c r="EJ110" s="163"/>
      <c r="EK110" s="163"/>
      <c r="EL110" s="163"/>
      <c r="EM110" s="163"/>
      <c r="EN110" s="163"/>
      <c r="EO110" s="163"/>
      <c r="EP110" s="163"/>
      <c r="EQ110" s="163"/>
      <c r="ER110" s="163"/>
      <c r="ES110" s="163"/>
      <c r="ET110" s="163"/>
      <c r="EU110" s="163"/>
      <c r="EV110" s="163"/>
      <c r="EW110" s="163"/>
      <c r="EX110" s="163"/>
      <c r="EY110" s="163"/>
      <c r="EZ110" s="80"/>
      <c r="FA110" s="80"/>
      <c r="FB110" s="80"/>
      <c r="FC110" s="80"/>
      <c r="FD110" s="80"/>
      <c r="FE110" s="80"/>
      <c r="FF110" s="80"/>
      <c r="FG110" s="80"/>
      <c r="FH110" s="80"/>
      <c r="FI110" s="80"/>
      <c r="FJ110" s="80"/>
      <c r="FK110" s="80"/>
      <c r="FL110" s="118"/>
      <c r="FM110" s="80"/>
      <c r="FN110" s="80"/>
      <c r="FO110" s="80"/>
      <c r="FP110" s="80"/>
      <c r="FQ110" s="80"/>
      <c r="FR110" s="80"/>
      <c r="FS110" s="80"/>
      <c r="FT110" s="80"/>
      <c r="FU110" s="80"/>
      <c r="FV110" s="80"/>
      <c r="FW110" s="80"/>
      <c r="FX110" s="80"/>
      <c r="FY110" s="80"/>
      <c r="GA110" s="73"/>
    </row>
    <row r="111" spans="1:183" s="182" customFormat="1" ht="33.75" customHeight="1">
      <c r="A111" s="265"/>
      <c r="B111" s="273"/>
      <c r="C111" s="272" t="str">
        <f>+'CF 2018'!C108</f>
        <v>Pinbuk ke Yayasan ( untuk angsuran pinjaman pihak ke 3 yang 8 M)</v>
      </c>
      <c r="D111" s="264">
        <v>150000000</v>
      </c>
      <c r="E111" s="264">
        <f>+D111</f>
        <v>150000000</v>
      </c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321">
        <f t="shared" si="44"/>
        <v>300000000</v>
      </c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>
        <f>+P111+'CF 2018'!AK108</f>
        <v>8000000000</v>
      </c>
      <c r="AW111" s="163"/>
      <c r="AX111" s="163"/>
      <c r="AY111" s="163"/>
      <c r="AZ111" s="163"/>
      <c r="BA111" s="163"/>
      <c r="BB111" s="163"/>
      <c r="BC111" s="163"/>
      <c r="BD111" s="163"/>
      <c r="BE111" s="163"/>
      <c r="BF111" s="163"/>
      <c r="BG111" s="163"/>
      <c r="BH111" s="163"/>
      <c r="BI111" s="163"/>
      <c r="BJ111" s="163"/>
      <c r="BK111" s="163"/>
      <c r="BL111" s="163"/>
      <c r="BM111" s="163"/>
      <c r="BN111" s="163"/>
      <c r="BO111" s="163"/>
      <c r="BP111" s="163"/>
      <c r="BQ111" s="163"/>
      <c r="BR111" s="163"/>
      <c r="BS111" s="163"/>
      <c r="BT111" s="163"/>
      <c r="BU111" s="163"/>
      <c r="BV111" s="163"/>
      <c r="BW111" s="163"/>
      <c r="BX111" s="163"/>
      <c r="BY111" s="163"/>
      <c r="BZ111" s="163"/>
      <c r="CA111" s="163"/>
      <c r="CB111" s="163"/>
      <c r="CC111" s="163"/>
      <c r="CD111" s="163"/>
      <c r="CE111" s="163"/>
      <c r="CF111" s="163"/>
      <c r="CG111" s="163"/>
      <c r="CH111" s="163"/>
      <c r="CI111" s="190"/>
      <c r="CJ111" s="190"/>
      <c r="CK111" s="190"/>
      <c r="CL111" s="190"/>
      <c r="CM111" s="190"/>
      <c r="CN111" s="190"/>
      <c r="CO111" s="190"/>
      <c r="CP111" s="190"/>
      <c r="CQ111" s="190"/>
      <c r="CR111" s="190"/>
      <c r="CS111" s="190"/>
      <c r="CT111" s="190"/>
      <c r="CU111" s="190"/>
      <c r="CV111" s="190"/>
      <c r="CW111" s="190"/>
      <c r="CX111" s="190"/>
      <c r="CY111" s="190"/>
      <c r="CZ111" s="190"/>
      <c r="DA111" s="190"/>
      <c r="DB111" s="190"/>
      <c r="DC111" s="190"/>
      <c r="DD111" s="190"/>
      <c r="DE111" s="190"/>
      <c r="DF111" s="190"/>
      <c r="DG111" s="190"/>
      <c r="DH111" s="190"/>
      <c r="DI111" s="190"/>
      <c r="DJ111" s="190"/>
      <c r="DK111" s="190"/>
      <c r="DL111" s="190"/>
      <c r="DM111" s="190"/>
      <c r="DN111" s="190"/>
      <c r="DO111" s="190"/>
      <c r="DP111" s="190"/>
      <c r="DQ111" s="190"/>
      <c r="DR111" s="190"/>
      <c r="DS111" s="190"/>
      <c r="DT111" s="190"/>
      <c r="DU111" s="190"/>
      <c r="DV111" s="190"/>
      <c r="DW111" s="190" t="e">
        <f>+P111+'CF 2018'!P106+'CF 2017'!#REF!</f>
        <v>#REF!</v>
      </c>
      <c r="DX111" s="190"/>
      <c r="DY111" s="190"/>
      <c r="DZ111" s="190"/>
      <c r="EA111" s="190"/>
      <c r="EB111" s="190"/>
      <c r="EC111" s="190"/>
      <c r="ED111" s="190"/>
      <c r="EE111" s="190"/>
      <c r="EF111" s="190"/>
      <c r="EG111" s="190"/>
      <c r="EH111" s="190"/>
      <c r="EI111" s="190"/>
      <c r="EJ111" s="190"/>
      <c r="EK111" s="190"/>
      <c r="EL111" s="190"/>
      <c r="EM111" s="190"/>
      <c r="EN111" s="190"/>
      <c r="EO111" s="190"/>
      <c r="EP111" s="190"/>
      <c r="EQ111" s="190"/>
      <c r="ER111" s="163"/>
      <c r="ES111" s="163"/>
      <c r="ET111" s="163"/>
      <c r="EU111" s="163"/>
      <c r="EV111" s="163"/>
      <c r="EW111" s="163"/>
      <c r="EX111" s="163"/>
      <c r="EY111" s="163"/>
      <c r="EZ111" s="80"/>
      <c r="FA111" s="80" t="e">
        <f>P111+'CF 2018'!P106+'CF 2017'!#REF!</f>
        <v>#REF!</v>
      </c>
      <c r="FB111" s="80"/>
      <c r="FC111" s="80"/>
      <c r="FD111" s="80"/>
      <c r="FE111" s="80"/>
      <c r="FF111" s="80"/>
      <c r="FG111" s="80"/>
      <c r="FH111" s="80"/>
      <c r="FI111" s="80"/>
      <c r="FJ111" s="80"/>
      <c r="FK111" s="181"/>
      <c r="FL111" s="188"/>
      <c r="FM111" s="181"/>
      <c r="FN111" s="181"/>
      <c r="FO111" s="181"/>
      <c r="FP111" s="181"/>
      <c r="FQ111" s="181"/>
      <c r="FR111" s="181"/>
      <c r="FS111" s="181"/>
      <c r="FT111" s="181"/>
      <c r="FU111" s="181"/>
      <c r="FV111" s="181"/>
      <c r="FW111" s="181"/>
      <c r="FX111" s="181"/>
      <c r="FY111" s="181"/>
      <c r="GA111" s="183"/>
    </row>
    <row r="112" spans="1:183" s="182" customFormat="1" ht="45">
      <c r="A112" s="265"/>
      <c r="B112" s="273"/>
      <c r="C112" s="272" t="s">
        <v>415</v>
      </c>
      <c r="D112" s="264"/>
      <c r="E112" s="264"/>
      <c r="F112" s="264">
        <v>250000000</v>
      </c>
      <c r="G112" s="264">
        <f t="shared" ref="G112:H112" si="45">+F112</f>
        <v>250000000</v>
      </c>
      <c r="H112" s="264">
        <f t="shared" si="45"/>
        <v>250000000</v>
      </c>
      <c r="I112" s="264">
        <f>H112</f>
        <v>250000000</v>
      </c>
      <c r="J112" s="264">
        <v>300000000</v>
      </c>
      <c r="K112" s="264">
        <v>300000000</v>
      </c>
      <c r="L112" s="264">
        <f t="shared" ref="L112:O112" si="46">K112</f>
        <v>300000000</v>
      </c>
      <c r="M112" s="264">
        <v>600000000</v>
      </c>
      <c r="N112" s="264">
        <f t="shared" si="46"/>
        <v>600000000</v>
      </c>
      <c r="O112" s="264">
        <f t="shared" si="46"/>
        <v>600000000</v>
      </c>
      <c r="P112" s="321">
        <f t="shared" si="44"/>
        <v>3700000000</v>
      </c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>
        <f>+AV111-8000000000</f>
        <v>0</v>
      </c>
      <c r="AW112" s="163"/>
      <c r="AX112" s="163">
        <f>25000000000</f>
        <v>25000000000</v>
      </c>
      <c r="AY112" s="163"/>
      <c r="AZ112" s="163"/>
      <c r="BA112" s="163"/>
      <c r="BB112" s="163"/>
      <c r="BC112" s="163"/>
      <c r="BD112" s="163"/>
      <c r="BE112" s="163"/>
      <c r="BF112" s="163"/>
      <c r="BG112" s="163"/>
      <c r="BH112" s="163"/>
      <c r="BI112" s="163"/>
      <c r="BJ112" s="163"/>
      <c r="BK112" s="163"/>
      <c r="BL112" s="163"/>
      <c r="BM112" s="163"/>
      <c r="BN112" s="163"/>
      <c r="BO112" s="163"/>
      <c r="BP112" s="163"/>
      <c r="BQ112" s="163"/>
      <c r="BR112" s="163"/>
      <c r="BS112" s="163"/>
      <c r="BT112" s="163"/>
      <c r="BU112" s="163"/>
      <c r="BV112" s="163"/>
      <c r="BW112" s="163"/>
      <c r="BX112" s="163"/>
      <c r="BY112" s="163"/>
      <c r="BZ112" s="163"/>
      <c r="CA112" s="163"/>
      <c r="CB112" s="163"/>
      <c r="CC112" s="163"/>
      <c r="CD112" s="163"/>
      <c r="CE112" s="163"/>
      <c r="CF112" s="163"/>
      <c r="CG112" s="163"/>
      <c r="CH112" s="163"/>
      <c r="CI112" s="190"/>
      <c r="CJ112" s="190"/>
      <c r="CK112" s="190"/>
      <c r="CL112" s="190"/>
      <c r="CM112" s="190"/>
      <c r="CN112" s="190"/>
      <c r="CO112" s="190"/>
      <c r="CP112" s="190"/>
      <c r="CQ112" s="190"/>
      <c r="CR112" s="190"/>
      <c r="CS112" s="190"/>
      <c r="CT112" s="190"/>
      <c r="CU112" s="190"/>
      <c r="CV112" s="190"/>
      <c r="CW112" s="190"/>
      <c r="CX112" s="190"/>
      <c r="CY112" s="190"/>
      <c r="CZ112" s="190"/>
      <c r="DA112" s="190"/>
      <c r="DB112" s="190"/>
      <c r="DC112" s="190"/>
      <c r="DD112" s="190"/>
      <c r="DE112" s="190"/>
      <c r="DF112" s="190"/>
      <c r="DG112" s="190"/>
      <c r="DH112" s="190"/>
      <c r="DI112" s="190"/>
      <c r="DJ112" s="190"/>
      <c r="DK112" s="190"/>
      <c r="DL112" s="190"/>
      <c r="DM112" s="190"/>
      <c r="DN112" s="190"/>
      <c r="DO112" s="190"/>
      <c r="DP112" s="190"/>
      <c r="DQ112" s="190"/>
      <c r="DR112" s="190"/>
      <c r="DS112" s="190"/>
      <c r="DT112" s="190"/>
      <c r="DU112" s="190"/>
      <c r="DV112" s="163"/>
      <c r="DW112" s="163">
        <f>+P112</f>
        <v>3700000000</v>
      </c>
      <c r="DX112" s="163" t="s">
        <v>336</v>
      </c>
      <c r="DY112" s="163"/>
      <c r="DZ112" s="163"/>
      <c r="EA112" s="163"/>
      <c r="EB112" s="163"/>
      <c r="EC112" s="163"/>
      <c r="ED112" s="163"/>
      <c r="EE112" s="163"/>
      <c r="EF112" s="163"/>
      <c r="EG112" s="163"/>
      <c r="EH112" s="163"/>
      <c r="EI112" s="163"/>
      <c r="EJ112" s="163"/>
      <c r="EK112" s="163"/>
      <c r="EL112" s="163"/>
      <c r="EM112" s="163"/>
      <c r="EN112" s="163"/>
      <c r="EO112" s="163"/>
      <c r="EP112" s="163"/>
      <c r="EQ112" s="163"/>
      <c r="ER112" s="163" t="s">
        <v>337</v>
      </c>
      <c r="ES112" s="163"/>
      <c r="ET112" s="163"/>
      <c r="EU112" s="163"/>
      <c r="EV112" s="163"/>
      <c r="EW112" s="163"/>
      <c r="EX112" s="163"/>
      <c r="EY112" s="163"/>
      <c r="EZ112" s="80"/>
      <c r="FA112" s="80"/>
      <c r="FB112" s="80"/>
      <c r="FC112" s="80"/>
      <c r="FD112" s="80"/>
      <c r="FE112" s="80"/>
      <c r="FF112" s="80"/>
      <c r="FG112" s="80"/>
      <c r="FH112" s="80"/>
      <c r="FI112" s="80"/>
      <c r="FJ112" s="80"/>
      <c r="FK112" s="181"/>
      <c r="FL112" s="188"/>
      <c r="FM112" s="181"/>
      <c r="FN112" s="181"/>
      <c r="FO112" s="181"/>
      <c r="FP112" s="181"/>
      <c r="FQ112" s="181"/>
      <c r="FR112" s="181"/>
      <c r="FS112" s="181"/>
      <c r="FT112" s="181"/>
      <c r="FU112" s="181"/>
      <c r="FV112" s="181"/>
      <c r="FW112" s="181"/>
      <c r="FX112" s="181"/>
      <c r="FY112" s="181"/>
      <c r="GA112" s="183"/>
    </row>
    <row r="113" spans="1:183" s="182" customFormat="1" ht="30">
      <c r="A113" s="265"/>
      <c r="B113" s="273"/>
      <c r="C113" s="272" t="s">
        <v>416</v>
      </c>
      <c r="D113" s="264"/>
      <c r="E113" s="264"/>
      <c r="F113" s="264"/>
      <c r="G113" s="264"/>
      <c r="H113" s="264">
        <v>250000000</v>
      </c>
      <c r="I113" s="264">
        <f t="shared" ref="I113:O113" si="47">+H113</f>
        <v>250000000</v>
      </c>
      <c r="J113" s="264">
        <f t="shared" si="47"/>
        <v>250000000</v>
      </c>
      <c r="K113" s="264">
        <f t="shared" si="47"/>
        <v>250000000</v>
      </c>
      <c r="L113" s="264">
        <f t="shared" si="47"/>
        <v>250000000</v>
      </c>
      <c r="M113" s="264">
        <f t="shared" si="47"/>
        <v>250000000</v>
      </c>
      <c r="N113" s="264">
        <f t="shared" si="47"/>
        <v>250000000</v>
      </c>
      <c r="O113" s="264">
        <f t="shared" si="47"/>
        <v>250000000</v>
      </c>
      <c r="P113" s="321">
        <f t="shared" si="44"/>
        <v>2000000000</v>
      </c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163"/>
      <c r="BE113" s="163"/>
      <c r="BF113" s="163"/>
      <c r="BG113" s="163"/>
      <c r="BH113" s="163"/>
      <c r="BI113" s="163"/>
      <c r="BJ113" s="163"/>
      <c r="BK113" s="163"/>
      <c r="BL113" s="163"/>
      <c r="BM113" s="163"/>
      <c r="BN113" s="163"/>
      <c r="BO113" s="163"/>
      <c r="BP113" s="163"/>
      <c r="BQ113" s="163"/>
      <c r="BR113" s="163"/>
      <c r="BS113" s="163"/>
      <c r="BT113" s="163"/>
      <c r="BU113" s="163"/>
      <c r="BV113" s="163"/>
      <c r="BW113" s="163"/>
      <c r="BX113" s="163"/>
      <c r="BY113" s="163"/>
      <c r="BZ113" s="163"/>
      <c r="CA113" s="163"/>
      <c r="CB113" s="163"/>
      <c r="CC113" s="163"/>
      <c r="CD113" s="163"/>
      <c r="CE113" s="163"/>
      <c r="CF113" s="163"/>
      <c r="CG113" s="163"/>
      <c r="CH113" s="163"/>
      <c r="CI113" s="190"/>
      <c r="CJ113" s="190"/>
      <c r="CK113" s="190"/>
      <c r="CL113" s="190"/>
      <c r="CM113" s="190"/>
      <c r="CN113" s="190"/>
      <c r="CO113" s="190"/>
      <c r="CP113" s="190"/>
      <c r="CQ113" s="190"/>
      <c r="CR113" s="190"/>
      <c r="CS113" s="190"/>
      <c r="CT113" s="190"/>
      <c r="CU113" s="190"/>
      <c r="CV113" s="190"/>
      <c r="CW113" s="190"/>
      <c r="CX113" s="190"/>
      <c r="CY113" s="190"/>
      <c r="CZ113" s="190"/>
      <c r="DA113" s="190"/>
      <c r="DB113" s="190"/>
      <c r="DC113" s="190"/>
      <c r="DD113" s="190"/>
      <c r="DE113" s="190"/>
      <c r="DF113" s="190"/>
      <c r="DG113" s="190"/>
      <c r="DH113" s="190"/>
      <c r="DI113" s="190"/>
      <c r="DJ113" s="190"/>
      <c r="DK113" s="190"/>
      <c r="DL113" s="190"/>
      <c r="DM113" s="190"/>
      <c r="DN113" s="190"/>
      <c r="DO113" s="190"/>
      <c r="DP113" s="190"/>
      <c r="DQ113" s="190"/>
      <c r="DR113" s="190"/>
      <c r="DS113" s="190"/>
      <c r="DT113" s="190"/>
      <c r="DU113" s="190"/>
      <c r="DV113" s="163"/>
      <c r="DW113" s="163"/>
      <c r="DX113" s="163"/>
      <c r="DY113" s="163"/>
      <c r="DZ113" s="163"/>
      <c r="EA113" s="163"/>
      <c r="EB113" s="163"/>
      <c r="EC113" s="163"/>
      <c r="ED113" s="163"/>
      <c r="EE113" s="163"/>
      <c r="EF113" s="163"/>
      <c r="EG113" s="163"/>
      <c r="EH113" s="163"/>
      <c r="EI113" s="163"/>
      <c r="EJ113" s="163"/>
      <c r="EK113" s="163"/>
      <c r="EL113" s="163"/>
      <c r="EM113" s="163"/>
      <c r="EN113" s="163"/>
      <c r="EO113" s="163"/>
      <c r="EP113" s="163"/>
      <c r="EQ113" s="163"/>
      <c r="ER113" s="163"/>
      <c r="ES113" s="163"/>
      <c r="ET113" s="163"/>
      <c r="EU113" s="163"/>
      <c r="EV113" s="163"/>
      <c r="EW113" s="163"/>
      <c r="EX113" s="163"/>
      <c r="EY113" s="163"/>
      <c r="EZ113" s="80"/>
      <c r="FA113" s="80"/>
      <c r="FB113" s="80"/>
      <c r="FC113" s="80"/>
      <c r="FD113" s="80"/>
      <c r="FE113" s="80"/>
      <c r="FF113" s="80"/>
      <c r="FG113" s="80"/>
      <c r="FH113" s="80"/>
      <c r="FI113" s="80"/>
      <c r="FJ113" s="80"/>
      <c r="FK113" s="181"/>
      <c r="FL113" s="188"/>
      <c r="FM113" s="181"/>
      <c r="FN113" s="181"/>
      <c r="FO113" s="181"/>
      <c r="FP113" s="181"/>
      <c r="FQ113" s="181"/>
      <c r="FR113" s="181"/>
      <c r="FS113" s="181"/>
      <c r="FT113" s="181"/>
      <c r="FU113" s="181"/>
      <c r="FV113" s="181"/>
      <c r="FW113" s="181"/>
      <c r="FX113" s="181"/>
      <c r="FY113" s="181"/>
      <c r="GA113" s="183"/>
    </row>
    <row r="114" spans="1:183" ht="60">
      <c r="A114" s="265"/>
      <c r="B114" s="273"/>
      <c r="C114" s="274" t="s">
        <v>418</v>
      </c>
      <c r="D114" s="264"/>
      <c r="E114" s="264"/>
      <c r="F114" s="264">
        <v>150000000</v>
      </c>
      <c r="G114" s="264">
        <v>150000000</v>
      </c>
      <c r="H114" s="320">
        <v>200000000</v>
      </c>
      <c r="I114" s="264">
        <v>100000000</v>
      </c>
      <c r="J114" s="264">
        <v>100000000</v>
      </c>
      <c r="K114" s="264">
        <v>200000000</v>
      </c>
      <c r="L114" s="264">
        <v>200000000</v>
      </c>
      <c r="M114" s="264">
        <v>300000000</v>
      </c>
      <c r="N114" s="347">
        <v>300000000</v>
      </c>
      <c r="O114" s="264">
        <v>300000000</v>
      </c>
      <c r="P114" s="321">
        <f t="shared" si="44"/>
        <v>2000000000</v>
      </c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>
        <f>AX112*12.5%</f>
        <v>3125000000</v>
      </c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163"/>
      <c r="BN114" s="163"/>
      <c r="BO114" s="163"/>
      <c r="BP114" s="163"/>
      <c r="BQ114" s="163"/>
      <c r="BR114" s="163"/>
      <c r="BS114" s="163"/>
      <c r="BT114" s="163"/>
      <c r="BU114" s="163"/>
      <c r="BV114" s="163"/>
      <c r="BW114" s="163"/>
      <c r="BX114" s="163"/>
      <c r="BY114" s="163"/>
      <c r="BZ114" s="163"/>
      <c r="CA114" s="163"/>
      <c r="CB114" s="163"/>
      <c r="CC114" s="163"/>
      <c r="CD114" s="163"/>
      <c r="CE114" s="163"/>
      <c r="CF114" s="163"/>
      <c r="CG114" s="163"/>
      <c r="CH114" s="163"/>
      <c r="CI114" s="163"/>
      <c r="CJ114" s="163"/>
      <c r="CK114" s="163"/>
      <c r="CL114" s="163"/>
      <c r="CM114" s="163"/>
      <c r="CN114" s="163"/>
      <c r="CO114" s="163"/>
      <c r="CP114" s="163"/>
      <c r="CQ114" s="163"/>
      <c r="CR114" s="163"/>
      <c r="CS114" s="163"/>
      <c r="CT114" s="163"/>
      <c r="CU114" s="163"/>
      <c r="CV114" s="163"/>
      <c r="CW114" s="163"/>
      <c r="CX114" s="163"/>
      <c r="CY114" s="163"/>
      <c r="CZ114" s="163"/>
      <c r="DA114" s="163"/>
      <c r="DB114" s="163"/>
      <c r="DC114" s="163"/>
      <c r="DD114" s="163"/>
      <c r="DE114" s="163"/>
      <c r="DF114" s="163"/>
      <c r="DG114" s="163"/>
      <c r="DH114" s="163"/>
      <c r="DI114" s="163"/>
      <c r="DJ114" s="163"/>
      <c r="DK114" s="163"/>
      <c r="DL114" s="163"/>
      <c r="DM114" s="163"/>
      <c r="DN114" s="163"/>
      <c r="DO114" s="163"/>
      <c r="DP114" s="163"/>
      <c r="DQ114" s="163"/>
      <c r="DR114" s="163"/>
      <c r="DS114" s="163"/>
      <c r="DT114" s="163"/>
      <c r="DU114" s="163"/>
      <c r="DV114" s="163"/>
      <c r="DW114" s="163"/>
      <c r="DX114" s="163"/>
      <c r="DY114" s="163"/>
      <c r="DZ114" s="163"/>
      <c r="EA114" s="163"/>
      <c r="EB114" s="163"/>
      <c r="EC114" s="163"/>
      <c r="ED114" s="163"/>
      <c r="EE114" s="163"/>
      <c r="EF114" s="163"/>
      <c r="EG114" s="163"/>
      <c r="EH114" s="163"/>
      <c r="EI114" s="163"/>
      <c r="EJ114" s="163"/>
      <c r="EK114" s="163"/>
      <c r="EL114" s="163"/>
      <c r="EM114" s="163"/>
      <c r="EN114" s="163"/>
      <c r="EO114" s="163"/>
      <c r="EP114" s="163"/>
      <c r="EQ114" s="163"/>
      <c r="ER114" s="163"/>
      <c r="ES114" s="163"/>
      <c r="ET114" s="163"/>
      <c r="EU114" s="163"/>
      <c r="EV114" s="163"/>
      <c r="EW114" s="163"/>
      <c r="EX114" s="163"/>
      <c r="EY114" s="163"/>
      <c r="EZ114" s="80"/>
      <c r="FA114" s="80"/>
      <c r="FB114" s="80"/>
      <c r="FC114" s="80"/>
      <c r="FD114" s="80"/>
      <c r="FE114" s="80"/>
      <c r="FF114" s="80"/>
      <c r="FG114" s="80"/>
      <c r="FH114" s="80"/>
      <c r="FI114" s="80"/>
      <c r="FJ114" s="80"/>
      <c r="FK114" s="80"/>
      <c r="FL114" s="118"/>
      <c r="FM114" s="80" t="e">
        <f>#REF!-650000000</f>
        <v>#REF!</v>
      </c>
      <c r="FN114" s="80"/>
      <c r="FO114" s="80"/>
      <c r="FP114" s="80"/>
      <c r="FQ114" s="80"/>
      <c r="FR114" s="80"/>
      <c r="FS114" s="80"/>
      <c r="FT114" s="80"/>
      <c r="FU114" s="80"/>
      <c r="FV114" s="80"/>
      <c r="FW114" s="80"/>
      <c r="FX114" s="80"/>
      <c r="FY114" s="80"/>
      <c r="GA114" s="73"/>
    </row>
    <row r="115" spans="1:183">
      <c r="A115" s="265"/>
      <c r="B115" s="273"/>
      <c r="C115" s="274"/>
      <c r="D115" s="264"/>
      <c r="E115" s="264">
        <f>+D115</f>
        <v>0</v>
      </c>
      <c r="F115" s="264">
        <f t="shared" ref="F115:G115" si="48">+E115</f>
        <v>0</v>
      </c>
      <c r="G115" s="264">
        <f t="shared" si="48"/>
        <v>0</v>
      </c>
      <c r="H115" s="320"/>
      <c r="I115" s="264"/>
      <c r="J115" s="264"/>
      <c r="K115" s="264"/>
      <c r="L115" s="264"/>
      <c r="M115" s="264"/>
      <c r="N115" s="347"/>
      <c r="O115" s="264"/>
      <c r="P115" s="321">
        <f t="shared" si="44"/>
        <v>0</v>
      </c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>
        <f>SUM(AX112:AX114)</f>
        <v>28125000000</v>
      </c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/>
      <c r="BO115" s="163"/>
      <c r="BP115" s="163"/>
      <c r="BQ115" s="163"/>
      <c r="BR115" s="163"/>
      <c r="BS115" s="163"/>
      <c r="BT115" s="163"/>
      <c r="BU115" s="163"/>
      <c r="BV115" s="163"/>
      <c r="BW115" s="163"/>
      <c r="BX115" s="163"/>
      <c r="BY115" s="163"/>
      <c r="BZ115" s="163"/>
      <c r="CA115" s="163"/>
      <c r="CB115" s="163"/>
      <c r="CC115" s="163"/>
      <c r="CD115" s="163"/>
      <c r="CE115" s="163"/>
      <c r="CF115" s="163"/>
      <c r="CG115" s="163"/>
      <c r="CH115" s="163"/>
      <c r="CI115" s="163"/>
      <c r="CJ115" s="163"/>
      <c r="CK115" s="163"/>
      <c r="CL115" s="163"/>
      <c r="CM115" s="163"/>
      <c r="CN115" s="163"/>
      <c r="CO115" s="163"/>
      <c r="CP115" s="163"/>
      <c r="CQ115" s="163"/>
      <c r="CR115" s="163"/>
      <c r="CS115" s="163"/>
      <c r="CT115" s="163"/>
      <c r="CU115" s="163"/>
      <c r="CV115" s="163"/>
      <c r="CW115" s="163"/>
      <c r="CX115" s="163"/>
      <c r="CY115" s="163"/>
      <c r="CZ115" s="163"/>
      <c r="DA115" s="163"/>
      <c r="DB115" s="163"/>
      <c r="DC115" s="163"/>
      <c r="DD115" s="163"/>
      <c r="DE115" s="163"/>
      <c r="DF115" s="163"/>
      <c r="DG115" s="163"/>
      <c r="DH115" s="163"/>
      <c r="DI115" s="163"/>
      <c r="DJ115" s="163"/>
      <c r="DK115" s="163"/>
      <c r="DL115" s="163"/>
      <c r="DM115" s="163"/>
      <c r="DN115" s="163"/>
      <c r="DO115" s="163"/>
      <c r="DP115" s="163"/>
      <c r="DQ115" s="163"/>
      <c r="DR115" s="163"/>
      <c r="DS115" s="163"/>
      <c r="DT115" s="163"/>
      <c r="DU115" s="163"/>
      <c r="DV115" s="163"/>
      <c r="DW115" s="163"/>
      <c r="DX115" s="163"/>
      <c r="DY115" s="163"/>
      <c r="DZ115" s="163"/>
      <c r="EA115" s="163"/>
      <c r="EB115" s="163"/>
      <c r="EC115" s="163"/>
      <c r="ED115" s="163"/>
      <c r="EE115" s="163"/>
      <c r="EF115" s="163"/>
      <c r="EG115" s="163"/>
      <c r="EH115" s="163"/>
      <c r="EI115" s="163"/>
      <c r="EJ115" s="163"/>
      <c r="EK115" s="163"/>
      <c r="EL115" s="163"/>
      <c r="EM115" s="163"/>
      <c r="EN115" s="163"/>
      <c r="EO115" s="163"/>
      <c r="EP115" s="163"/>
      <c r="EQ115" s="163"/>
      <c r="ER115" s="163"/>
      <c r="ES115" s="163"/>
      <c r="ET115" s="163"/>
      <c r="EU115" s="163"/>
      <c r="EV115" s="163"/>
      <c r="EW115" s="163"/>
      <c r="EX115" s="163"/>
      <c r="EY115" s="163"/>
      <c r="EZ115" s="80"/>
      <c r="FA115" s="80" t="e">
        <f>FA111-8000000000</f>
        <v>#REF!</v>
      </c>
      <c r="FB115" s="80"/>
      <c r="FC115" s="80"/>
      <c r="FD115" s="80"/>
      <c r="FE115" s="80"/>
      <c r="FF115" s="80"/>
      <c r="FG115" s="80"/>
      <c r="FH115" s="80"/>
      <c r="FI115" s="80"/>
      <c r="FJ115" s="80"/>
      <c r="FK115" s="80"/>
      <c r="FL115" s="118"/>
      <c r="FM115" s="80"/>
      <c r="FN115" s="80"/>
      <c r="FO115" s="80"/>
      <c r="FP115" s="80"/>
      <c r="FQ115" s="80"/>
      <c r="FR115" s="80"/>
      <c r="FS115" s="80"/>
      <c r="FT115" s="80"/>
      <c r="FU115" s="80"/>
      <c r="FV115" s="80"/>
      <c r="FW115" s="80"/>
      <c r="FX115" s="80"/>
      <c r="FY115" s="80"/>
      <c r="GA115" s="73"/>
    </row>
    <row r="116" spans="1:183" ht="30">
      <c r="A116" s="265"/>
      <c r="B116" s="273"/>
      <c r="C116" s="276" t="s">
        <v>144</v>
      </c>
      <c r="D116" s="264">
        <v>120000000</v>
      </c>
      <c r="E116" s="264">
        <f>D116</f>
        <v>120000000</v>
      </c>
      <c r="F116" s="264">
        <f t="shared" ref="F116:L116" si="49">E116</f>
        <v>120000000</v>
      </c>
      <c r="G116" s="264">
        <f t="shared" si="49"/>
        <v>120000000</v>
      </c>
      <c r="H116" s="320">
        <f t="shared" si="49"/>
        <v>120000000</v>
      </c>
      <c r="I116" s="264">
        <f t="shared" ref="I116" si="50">H116</f>
        <v>120000000</v>
      </c>
      <c r="J116" s="264">
        <f t="shared" ref="J116" si="51">I116</f>
        <v>120000000</v>
      </c>
      <c r="K116" s="264">
        <v>120000000</v>
      </c>
      <c r="L116" s="264">
        <f t="shared" si="49"/>
        <v>120000000</v>
      </c>
      <c r="M116" s="264">
        <f t="shared" ref="M116" si="52">L116</f>
        <v>120000000</v>
      </c>
      <c r="N116" s="347">
        <f t="shared" ref="N116" si="53">M116</f>
        <v>120000000</v>
      </c>
      <c r="O116" s="264">
        <f t="shared" ref="O116" si="54">N116</f>
        <v>120000000</v>
      </c>
      <c r="P116" s="321">
        <f t="shared" si="44"/>
        <v>1440000000</v>
      </c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163"/>
      <c r="BN116" s="163"/>
      <c r="BO116" s="163"/>
      <c r="BP116" s="163"/>
      <c r="BQ116" s="163"/>
      <c r="BR116" s="163"/>
      <c r="BS116" s="163"/>
      <c r="BT116" s="163"/>
      <c r="BU116" s="163"/>
      <c r="BV116" s="163"/>
      <c r="BW116" s="163"/>
      <c r="BX116" s="163"/>
      <c r="BY116" s="163"/>
      <c r="BZ116" s="163"/>
      <c r="CA116" s="163"/>
      <c r="CB116" s="163"/>
      <c r="CC116" s="163"/>
      <c r="CD116" s="163"/>
      <c r="CE116" s="163"/>
      <c r="CF116" s="163"/>
      <c r="CG116" s="163"/>
      <c r="CH116" s="163"/>
      <c r="CI116" s="163"/>
      <c r="CJ116" s="163"/>
      <c r="CK116" s="163"/>
      <c r="CL116" s="163"/>
      <c r="CM116" s="163"/>
      <c r="CN116" s="163"/>
      <c r="CO116" s="163"/>
      <c r="CP116" s="163"/>
      <c r="CQ116" s="163"/>
      <c r="CR116" s="163"/>
      <c r="CS116" s="163"/>
      <c r="CT116" s="163"/>
      <c r="CU116" s="163"/>
      <c r="CV116" s="163"/>
      <c r="CW116" s="163"/>
      <c r="CX116" s="163"/>
      <c r="CY116" s="163"/>
      <c r="CZ116" s="163"/>
      <c r="DA116" s="163"/>
      <c r="DB116" s="163"/>
      <c r="DC116" s="163"/>
      <c r="DD116" s="163"/>
      <c r="DE116" s="163"/>
      <c r="DF116" s="163"/>
      <c r="DG116" s="163"/>
      <c r="DH116" s="163"/>
      <c r="DI116" s="163"/>
      <c r="DJ116" s="163"/>
      <c r="DK116" s="163"/>
      <c r="DL116" s="163"/>
      <c r="DM116" s="163"/>
      <c r="DN116" s="163"/>
      <c r="DO116" s="163"/>
      <c r="DP116" s="163"/>
      <c r="DQ116" s="163"/>
      <c r="DR116" s="163"/>
      <c r="DS116" s="163"/>
      <c r="DT116" s="163"/>
      <c r="DU116" s="163"/>
      <c r="DV116" s="163"/>
      <c r="DW116" s="163"/>
      <c r="DX116" s="163"/>
      <c r="DY116" s="163"/>
      <c r="DZ116" s="163"/>
      <c r="EA116" s="163"/>
      <c r="EB116" s="163"/>
      <c r="EC116" s="163"/>
      <c r="ED116" s="163"/>
      <c r="EE116" s="163"/>
      <c r="EF116" s="163"/>
      <c r="EG116" s="163"/>
      <c r="EH116" s="163"/>
      <c r="EI116" s="163"/>
      <c r="EJ116" s="163"/>
      <c r="EK116" s="163"/>
      <c r="EL116" s="163"/>
      <c r="EM116" s="163"/>
      <c r="EN116" s="163"/>
      <c r="EO116" s="163"/>
      <c r="EP116" s="163"/>
      <c r="EQ116" s="163"/>
      <c r="ER116" s="163"/>
      <c r="ES116" s="163"/>
      <c r="ET116" s="163"/>
      <c r="EU116" s="163"/>
      <c r="EV116" s="163"/>
      <c r="EW116" s="163"/>
      <c r="EX116" s="163"/>
      <c r="EY116" s="163"/>
      <c r="EZ116" s="82"/>
      <c r="FA116" s="82"/>
      <c r="FB116" s="82"/>
      <c r="FC116" s="82"/>
      <c r="FD116" s="82"/>
      <c r="FE116" s="82"/>
      <c r="FF116" s="82"/>
      <c r="FG116" s="82"/>
      <c r="FH116" s="82"/>
      <c r="FI116" s="82"/>
      <c r="FJ116" s="82"/>
      <c r="FK116" s="82"/>
      <c r="FL116" s="119">
        <v>120000000</v>
      </c>
      <c r="FM116" s="82"/>
      <c r="FN116" s="82"/>
      <c r="FO116" s="82"/>
      <c r="FP116" s="82"/>
      <c r="FQ116" s="82"/>
      <c r="FR116" s="82"/>
      <c r="FS116" s="82"/>
      <c r="FT116" s="82"/>
      <c r="FU116" s="82"/>
      <c r="FV116" s="82"/>
      <c r="FW116" s="82"/>
      <c r="FX116" s="82"/>
      <c r="FY116" s="82"/>
      <c r="GA116" s="73"/>
    </row>
    <row r="117" spans="1:183">
      <c r="A117" s="608" t="s">
        <v>433</v>
      </c>
      <c r="B117" s="609"/>
      <c r="C117" s="609"/>
      <c r="D117" s="323">
        <f t="shared" ref="D117:O117" si="55">SUM(D101:D116)</f>
        <v>5999741721.372345</v>
      </c>
      <c r="E117" s="323">
        <f t="shared" si="55"/>
        <v>7431056661.5613594</v>
      </c>
      <c r="F117" s="323">
        <f t="shared" si="55"/>
        <v>7774720385.3541546</v>
      </c>
      <c r="G117" s="323">
        <f t="shared" si="55"/>
        <v>8692614565.3986588</v>
      </c>
      <c r="H117" s="322">
        <f t="shared" si="55"/>
        <v>8488123668.725421</v>
      </c>
      <c r="I117" s="267">
        <f t="shared" si="55"/>
        <v>9612399148.1288643</v>
      </c>
      <c r="J117" s="267">
        <f t="shared" si="55"/>
        <v>8548133161.3954926</v>
      </c>
      <c r="K117" s="267">
        <f t="shared" si="55"/>
        <v>8759138415.1849709</v>
      </c>
      <c r="L117" s="267">
        <f t="shared" si="55"/>
        <v>8645913056.3197041</v>
      </c>
      <c r="M117" s="267">
        <f t="shared" si="55"/>
        <v>9276206772.0626907</v>
      </c>
      <c r="N117" s="384">
        <f t="shared" si="55"/>
        <v>9462640046.0598717</v>
      </c>
      <c r="O117" s="323">
        <f t="shared" si="55"/>
        <v>8866693593.3633499</v>
      </c>
      <c r="P117" s="323">
        <f t="shared" ref="P117" si="56">SUM(P101:P116)</f>
        <v>101557381194.9269</v>
      </c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/>
      <c r="BS117" s="153"/>
      <c r="BT117" s="153"/>
      <c r="BU117" s="153"/>
      <c r="BV117" s="153"/>
      <c r="BW117" s="153"/>
      <c r="BX117" s="153"/>
      <c r="BY117" s="153"/>
      <c r="BZ117" s="153"/>
      <c r="CA117" s="153"/>
      <c r="CB117" s="153"/>
      <c r="CC117" s="153"/>
      <c r="CD117" s="153"/>
      <c r="CE117" s="153"/>
      <c r="CF117" s="153"/>
      <c r="CG117" s="153"/>
      <c r="CH117" s="153"/>
      <c r="CI117" s="153"/>
      <c r="CJ117" s="153"/>
      <c r="CK117" s="153"/>
      <c r="CL117" s="153"/>
      <c r="CM117" s="153"/>
      <c r="CN117" s="153"/>
      <c r="CO117" s="153"/>
      <c r="CP117" s="153"/>
      <c r="CQ117" s="153"/>
      <c r="CR117" s="153"/>
      <c r="CS117" s="153"/>
      <c r="CT117" s="153"/>
      <c r="CU117" s="153"/>
      <c r="CV117" s="153"/>
      <c r="CW117" s="153"/>
      <c r="CX117" s="153"/>
      <c r="CY117" s="153"/>
      <c r="CZ117" s="153"/>
      <c r="DA117" s="153"/>
      <c r="DB117" s="153"/>
      <c r="DC117" s="153"/>
      <c r="DD117" s="153"/>
      <c r="DE117" s="153"/>
      <c r="DF117" s="153"/>
      <c r="DG117" s="153"/>
      <c r="DH117" s="153"/>
      <c r="DI117" s="153"/>
      <c r="DJ117" s="153"/>
      <c r="DK117" s="153"/>
      <c r="DL117" s="153"/>
      <c r="DM117" s="153"/>
      <c r="DN117" s="153"/>
      <c r="DO117" s="153"/>
      <c r="DP117" s="153"/>
      <c r="DQ117" s="153"/>
      <c r="DR117" s="153"/>
      <c r="DS117" s="153"/>
      <c r="DT117" s="153"/>
      <c r="DU117" s="153"/>
      <c r="DV117" s="153"/>
      <c r="DW117" s="153"/>
      <c r="DX117" s="153"/>
      <c r="DY117" s="153"/>
      <c r="DZ117" s="153"/>
      <c r="EA117" s="153"/>
      <c r="EB117" s="153"/>
      <c r="EC117" s="153"/>
      <c r="ED117" s="153"/>
      <c r="EE117" s="153"/>
      <c r="EF117" s="153"/>
      <c r="EG117" s="153"/>
      <c r="EH117" s="153"/>
      <c r="EI117" s="153"/>
      <c r="EJ117" s="153"/>
      <c r="EK117" s="153"/>
      <c r="EL117" s="153"/>
      <c r="EM117" s="153"/>
      <c r="EN117" s="153"/>
      <c r="EO117" s="153"/>
      <c r="EP117" s="153"/>
      <c r="EQ117" s="153"/>
      <c r="ER117" s="153"/>
      <c r="ES117" s="153"/>
      <c r="ET117" s="153"/>
      <c r="EU117" s="153"/>
      <c r="EV117" s="153"/>
      <c r="EW117" s="153"/>
      <c r="EX117" s="153"/>
      <c r="EY117" s="153"/>
      <c r="EZ117" s="82"/>
      <c r="FA117" s="82"/>
      <c r="FB117" s="82">
        <f>'CF 2018'!P110+'CF 2017'!P117</f>
        <v>37296000000</v>
      </c>
      <c r="FC117" s="82"/>
      <c r="FD117" s="82"/>
      <c r="FE117" s="82"/>
      <c r="FF117" s="82"/>
      <c r="FG117" s="82"/>
      <c r="FH117" s="82"/>
      <c r="FI117" s="82"/>
      <c r="FJ117" s="82"/>
      <c r="FK117" s="82"/>
      <c r="FL117" s="119">
        <v>4497701504</v>
      </c>
      <c r="FM117" s="82"/>
      <c r="FN117" s="82"/>
      <c r="FO117" s="82"/>
      <c r="FP117" s="82"/>
      <c r="FQ117" s="82"/>
      <c r="FR117" s="82"/>
      <c r="FS117" s="82"/>
      <c r="FT117" s="82"/>
      <c r="FU117" s="82"/>
      <c r="FV117" s="82"/>
      <c r="FW117" s="82"/>
      <c r="FX117" s="82"/>
      <c r="FY117" s="82"/>
      <c r="GA117" s="73">
        <f>SUM(GA101:GA116)</f>
        <v>3393.3003004999996</v>
      </c>
    </row>
    <row r="118" spans="1:183">
      <c r="A118" s="265"/>
      <c r="B118" s="269"/>
      <c r="C118" s="270"/>
      <c r="D118" s="264"/>
      <c r="E118" s="264"/>
      <c r="F118" s="264"/>
      <c r="G118" s="264"/>
      <c r="H118" s="320"/>
      <c r="I118" s="264"/>
      <c r="J118" s="264"/>
      <c r="K118" s="264"/>
      <c r="L118" s="264"/>
      <c r="M118" s="264"/>
      <c r="N118" s="347"/>
      <c r="O118" s="264"/>
      <c r="P118" s="321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3"/>
      <c r="BN118" s="163"/>
      <c r="BO118" s="163"/>
      <c r="BP118" s="163"/>
      <c r="BQ118" s="163"/>
      <c r="BR118" s="163"/>
      <c r="BS118" s="163"/>
      <c r="BT118" s="163"/>
      <c r="BU118" s="163"/>
      <c r="BV118" s="163"/>
      <c r="BW118" s="163"/>
      <c r="BX118" s="163"/>
      <c r="BY118" s="163"/>
      <c r="BZ118" s="163"/>
      <c r="CA118" s="163"/>
      <c r="CB118" s="163"/>
      <c r="CC118" s="163"/>
      <c r="CD118" s="163"/>
      <c r="CE118" s="163"/>
      <c r="CF118" s="163"/>
      <c r="CG118" s="163"/>
      <c r="CH118" s="163"/>
      <c r="CI118" s="163"/>
      <c r="CJ118" s="163"/>
      <c r="CK118" s="163"/>
      <c r="CL118" s="163"/>
      <c r="CM118" s="163"/>
      <c r="CN118" s="163"/>
      <c r="CO118" s="163"/>
      <c r="CP118" s="163"/>
      <c r="CQ118" s="163"/>
      <c r="CR118" s="163"/>
      <c r="CS118" s="163"/>
      <c r="CT118" s="163"/>
      <c r="CU118" s="163"/>
      <c r="CV118" s="163"/>
      <c r="CW118" s="163"/>
      <c r="CX118" s="163"/>
      <c r="CY118" s="163"/>
      <c r="CZ118" s="163"/>
      <c r="DA118" s="163"/>
      <c r="DB118" s="163"/>
      <c r="DC118" s="163"/>
      <c r="DD118" s="163"/>
      <c r="DE118" s="163"/>
      <c r="DF118" s="163"/>
      <c r="DG118" s="163"/>
      <c r="DH118" s="163"/>
      <c r="DI118" s="163"/>
      <c r="DJ118" s="163"/>
      <c r="DK118" s="163"/>
      <c r="DL118" s="163"/>
      <c r="DM118" s="163"/>
      <c r="DN118" s="163"/>
      <c r="DO118" s="163"/>
      <c r="DP118" s="163"/>
      <c r="DQ118" s="163"/>
      <c r="DR118" s="163"/>
      <c r="DS118" s="163"/>
      <c r="DT118" s="163"/>
      <c r="DU118" s="163"/>
      <c r="DV118" s="153"/>
      <c r="DW118" s="153"/>
      <c r="DX118" s="153"/>
      <c r="DY118" s="153"/>
      <c r="DZ118" s="153"/>
      <c r="EA118" s="153"/>
      <c r="EB118" s="153"/>
      <c r="EC118" s="153"/>
      <c r="ED118" s="153"/>
      <c r="EE118" s="153"/>
      <c r="EF118" s="153"/>
      <c r="EG118" s="153"/>
      <c r="EH118" s="153"/>
      <c r="EI118" s="153"/>
      <c r="EJ118" s="153"/>
      <c r="EK118" s="153"/>
      <c r="EL118" s="153"/>
      <c r="EM118" s="153"/>
      <c r="EN118" s="153"/>
      <c r="EO118" s="153"/>
      <c r="EP118" s="153"/>
      <c r="EQ118" s="153"/>
      <c r="ER118" s="153"/>
      <c r="ES118" s="153"/>
      <c r="ET118" s="153"/>
      <c r="EU118" s="153"/>
      <c r="EV118" s="153"/>
      <c r="EW118" s="153"/>
      <c r="EX118" s="153"/>
      <c r="EY118" s="153"/>
      <c r="EZ118" s="80"/>
      <c r="FA118" s="80"/>
      <c r="FB118" s="80"/>
      <c r="FC118" s="80"/>
      <c r="FD118" s="80"/>
      <c r="FE118" s="80"/>
      <c r="FF118" s="80"/>
      <c r="FG118" s="80"/>
      <c r="FH118" s="80"/>
      <c r="FI118" s="80"/>
      <c r="FJ118" s="80"/>
      <c r="FK118" s="80"/>
      <c r="FL118" s="118"/>
      <c r="FM118" s="80"/>
      <c r="FN118" s="80"/>
      <c r="FO118" s="80"/>
      <c r="FP118" s="80"/>
      <c r="FQ118" s="80"/>
      <c r="FR118" s="80"/>
      <c r="FS118" s="80"/>
      <c r="FT118" s="80"/>
      <c r="FU118" s="80"/>
      <c r="FV118" s="80"/>
      <c r="FW118" s="80"/>
      <c r="FX118" s="80"/>
      <c r="FY118" s="80"/>
    </row>
    <row r="119" spans="1:183">
      <c r="A119" s="610" t="s">
        <v>434</v>
      </c>
      <c r="B119" s="611"/>
      <c r="C119" s="611"/>
      <c r="D119" s="278">
        <f>+D24-D117</f>
        <v>1811752537.2003708</v>
      </c>
      <c r="E119" s="278">
        <f t="shared" ref="E119:P119" si="57">+E24-E117</f>
        <v>1319924210.8177147</v>
      </c>
      <c r="F119" s="278">
        <f t="shared" si="57"/>
        <v>1823618825.9090405</v>
      </c>
      <c r="G119" s="278">
        <f t="shared" si="57"/>
        <v>1505974055.7938271</v>
      </c>
      <c r="H119" s="325">
        <f t="shared" si="57"/>
        <v>1496057207.9268389</v>
      </c>
      <c r="I119" s="278">
        <f t="shared" si="57"/>
        <v>366573700.27810287</v>
      </c>
      <c r="J119" s="278">
        <f t="shared" si="57"/>
        <v>374526863.52059937</v>
      </c>
      <c r="K119" s="278">
        <f t="shared" si="57"/>
        <v>287959263.87882996</v>
      </c>
      <c r="L119" s="278">
        <f t="shared" si="57"/>
        <v>419505186.97398567</v>
      </c>
      <c r="M119" s="278">
        <f t="shared" si="57"/>
        <v>304391108.41743279</v>
      </c>
      <c r="N119" s="348">
        <f t="shared" si="57"/>
        <v>293496071.98563957</v>
      </c>
      <c r="O119" s="278">
        <f t="shared" si="57"/>
        <v>1418329624.1860428</v>
      </c>
      <c r="P119" s="281">
        <f t="shared" si="57"/>
        <v>1418329624.1860352</v>
      </c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  <c r="BJ119" s="191"/>
      <c r="BK119" s="191"/>
      <c r="BL119" s="191"/>
      <c r="BM119" s="191"/>
      <c r="BN119" s="191"/>
      <c r="BO119" s="191"/>
      <c r="BP119" s="191"/>
      <c r="BQ119" s="191"/>
      <c r="BR119" s="191"/>
      <c r="BS119" s="191"/>
      <c r="BT119" s="191"/>
      <c r="BU119" s="191"/>
      <c r="BV119" s="191"/>
      <c r="BW119" s="191"/>
      <c r="BX119" s="191"/>
      <c r="BY119" s="191"/>
      <c r="BZ119" s="191"/>
      <c r="CA119" s="191"/>
      <c r="CB119" s="191"/>
      <c r="CC119" s="191"/>
      <c r="CD119" s="191"/>
      <c r="CE119" s="191"/>
      <c r="CF119" s="191"/>
      <c r="CG119" s="191"/>
      <c r="CH119" s="191"/>
      <c r="CI119" s="191"/>
      <c r="CJ119" s="191"/>
      <c r="CK119" s="191"/>
      <c r="CL119" s="191"/>
      <c r="CM119" s="191"/>
      <c r="CN119" s="191"/>
      <c r="CO119" s="191"/>
      <c r="CP119" s="191"/>
      <c r="CQ119" s="191"/>
      <c r="CR119" s="191"/>
      <c r="CS119" s="191"/>
      <c r="CT119" s="191"/>
      <c r="CU119" s="191"/>
      <c r="CV119" s="191"/>
      <c r="CW119" s="191"/>
      <c r="CX119" s="191"/>
      <c r="CY119" s="191"/>
      <c r="CZ119" s="191"/>
      <c r="DA119" s="191"/>
      <c r="DB119" s="191"/>
      <c r="DC119" s="191"/>
      <c r="DD119" s="191"/>
      <c r="DE119" s="191"/>
      <c r="DF119" s="191"/>
      <c r="DG119" s="191"/>
      <c r="DH119" s="191"/>
      <c r="DI119" s="191"/>
      <c r="DJ119" s="191"/>
      <c r="DK119" s="191"/>
      <c r="DL119" s="191"/>
      <c r="DM119" s="191"/>
      <c r="DN119" s="191"/>
      <c r="DO119" s="191"/>
      <c r="DP119" s="191"/>
      <c r="DQ119" s="191"/>
      <c r="DR119" s="191"/>
      <c r="DS119" s="191"/>
      <c r="DT119" s="191"/>
      <c r="DU119" s="191"/>
      <c r="DV119" s="191"/>
      <c r="DW119" s="191"/>
      <c r="DX119" s="191"/>
      <c r="DY119" s="191"/>
      <c r="DZ119" s="191"/>
      <c r="EA119" s="191"/>
      <c r="EB119" s="191"/>
      <c r="EC119" s="191"/>
      <c r="ED119" s="191"/>
      <c r="EE119" s="191"/>
      <c r="EF119" s="191"/>
      <c r="EG119" s="191"/>
      <c r="EH119" s="191"/>
      <c r="EI119" s="191"/>
      <c r="EJ119" s="191"/>
      <c r="EK119" s="191"/>
      <c r="EL119" s="191"/>
      <c r="EM119" s="191"/>
      <c r="EN119" s="191"/>
      <c r="EO119" s="191"/>
      <c r="EP119" s="191"/>
      <c r="EQ119" s="191"/>
      <c r="ER119" s="191"/>
      <c r="ES119" s="191"/>
      <c r="ET119" s="191"/>
      <c r="EU119" s="191"/>
      <c r="EV119" s="191"/>
      <c r="EW119" s="191"/>
      <c r="EX119" s="191"/>
      <c r="EY119" s="191"/>
      <c r="EZ119" s="122"/>
      <c r="FA119" s="122"/>
      <c r="FB119" s="122"/>
      <c r="FC119" s="122"/>
      <c r="FD119" s="122"/>
      <c r="FE119" s="122"/>
      <c r="FF119" s="122"/>
      <c r="FG119" s="122"/>
      <c r="FH119" s="122"/>
      <c r="FI119" s="122"/>
      <c r="FJ119" s="122"/>
      <c r="FK119" s="122"/>
      <c r="FL119" s="120">
        <v>-852293618.15999985</v>
      </c>
      <c r="FM119" s="76"/>
      <c r="FN119" s="76"/>
      <c r="FO119" s="76"/>
      <c r="FP119" s="76"/>
      <c r="FQ119" s="76"/>
      <c r="FR119" s="76"/>
      <c r="FS119" s="76"/>
      <c r="FT119" s="76"/>
      <c r="FU119" s="76"/>
      <c r="FV119" s="76"/>
      <c r="FW119" s="76"/>
      <c r="FX119" s="76"/>
      <c r="FY119" s="76"/>
      <c r="FZ119" s="76">
        <f>+FZ24-FZ117</f>
        <v>0</v>
      </c>
      <c r="GA119" s="76">
        <f>+GA24-GA117</f>
        <v>-3393.3003004999996</v>
      </c>
    </row>
    <row r="120" spans="1:183">
      <c r="A120" s="279"/>
      <c r="B120" s="279"/>
      <c r="C120" s="279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  <c r="BG120" s="153"/>
      <c r="BH120" s="153"/>
      <c r="BI120" s="153"/>
      <c r="BJ120" s="153"/>
      <c r="BK120" s="153"/>
      <c r="BL120" s="153"/>
      <c r="BM120" s="153"/>
      <c r="BN120" s="153"/>
      <c r="BO120" s="153"/>
      <c r="BP120" s="153"/>
      <c r="BQ120" s="153"/>
      <c r="BR120" s="153"/>
      <c r="BS120" s="153"/>
      <c r="BT120" s="153"/>
      <c r="BU120" s="153"/>
      <c r="BV120" s="153"/>
      <c r="BW120" s="153"/>
      <c r="BX120" s="153"/>
      <c r="BY120" s="153"/>
      <c r="BZ120" s="153"/>
      <c r="CA120" s="153"/>
      <c r="CB120" s="153"/>
      <c r="CC120" s="153"/>
      <c r="CD120" s="153"/>
      <c r="CE120" s="153"/>
      <c r="CF120" s="153"/>
      <c r="CG120" s="153"/>
      <c r="CH120" s="153"/>
      <c r="CI120" s="153"/>
      <c r="CJ120" s="153"/>
      <c r="CK120" s="153"/>
      <c r="CL120" s="153"/>
      <c r="CM120" s="153"/>
      <c r="CN120" s="153"/>
      <c r="CO120" s="153"/>
      <c r="CP120" s="153"/>
      <c r="CQ120" s="153"/>
      <c r="CR120" s="153"/>
      <c r="CS120" s="153"/>
      <c r="CT120" s="153"/>
      <c r="CU120" s="153"/>
      <c r="CV120" s="153"/>
      <c r="CW120" s="153"/>
      <c r="CX120" s="153"/>
      <c r="CY120" s="153"/>
      <c r="CZ120" s="153"/>
      <c r="DA120" s="153"/>
      <c r="DB120" s="153"/>
      <c r="DC120" s="153"/>
      <c r="DD120" s="153"/>
      <c r="DE120" s="153"/>
      <c r="DF120" s="153"/>
      <c r="DG120" s="153"/>
      <c r="DH120" s="153"/>
      <c r="DI120" s="153"/>
      <c r="DJ120" s="153"/>
      <c r="DK120" s="153"/>
      <c r="DL120" s="153"/>
      <c r="DM120" s="153"/>
      <c r="DN120" s="153"/>
      <c r="DO120" s="153"/>
      <c r="DP120" s="153"/>
      <c r="DQ120" s="153"/>
      <c r="DR120" s="153"/>
      <c r="DS120" s="153"/>
      <c r="DT120" s="153"/>
      <c r="DU120" s="153"/>
      <c r="DV120" s="153"/>
      <c r="DW120" s="153"/>
      <c r="DX120" s="153"/>
      <c r="DY120" s="153"/>
      <c r="DZ120" s="153"/>
      <c r="EA120" s="153"/>
      <c r="EB120" s="153"/>
      <c r="EC120" s="153"/>
      <c r="ED120" s="153"/>
      <c r="EE120" s="153"/>
      <c r="EF120" s="153"/>
      <c r="EG120" s="153"/>
      <c r="EH120" s="153"/>
      <c r="EI120" s="153"/>
      <c r="EJ120" s="153"/>
      <c r="EK120" s="153"/>
      <c r="EL120" s="153"/>
      <c r="EM120" s="153"/>
      <c r="EN120" s="153"/>
      <c r="EO120" s="153"/>
      <c r="EP120" s="153"/>
      <c r="EQ120" s="153"/>
      <c r="ER120" s="153"/>
      <c r="ES120" s="153"/>
      <c r="ET120" s="153"/>
      <c r="EU120" s="153"/>
      <c r="EV120" s="153"/>
      <c r="EW120" s="153"/>
      <c r="EX120" s="153"/>
      <c r="EY120" s="153"/>
      <c r="EZ120" s="82"/>
      <c r="FA120" s="82"/>
      <c r="FB120" s="82"/>
      <c r="FC120" s="82"/>
      <c r="FD120" s="82"/>
      <c r="FE120" s="82"/>
      <c r="FF120" s="82"/>
      <c r="FG120" s="82"/>
      <c r="FH120" s="82"/>
      <c r="FI120" s="82"/>
      <c r="FJ120" s="82"/>
      <c r="FK120" s="82"/>
      <c r="FL120" s="119"/>
      <c r="FM120" s="82"/>
      <c r="FN120" s="82"/>
      <c r="FO120" s="82"/>
      <c r="FP120" s="82"/>
      <c r="FQ120" s="82"/>
      <c r="FR120" s="82"/>
      <c r="FS120" s="82"/>
      <c r="FT120" s="82"/>
      <c r="FU120" s="82"/>
      <c r="FV120" s="82"/>
      <c r="FW120" s="82"/>
      <c r="FX120" s="82"/>
      <c r="FY120" s="82"/>
      <c r="FZ120" s="82"/>
      <c r="GA120" s="82"/>
    </row>
    <row r="121" spans="1:183">
      <c r="A121" s="279"/>
      <c r="B121" s="279"/>
      <c r="C121" s="279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53"/>
      <c r="CO121" s="153"/>
      <c r="CP121" s="153"/>
      <c r="CQ121" s="153"/>
      <c r="CR121" s="153"/>
      <c r="CS121" s="153"/>
      <c r="CT121" s="153"/>
      <c r="CU121" s="153"/>
      <c r="CV121" s="153"/>
      <c r="CW121" s="153"/>
      <c r="CX121" s="153"/>
      <c r="CY121" s="153"/>
      <c r="CZ121" s="153"/>
      <c r="DA121" s="153"/>
      <c r="DB121" s="153"/>
      <c r="DC121" s="153"/>
      <c r="DD121" s="153"/>
      <c r="DE121" s="153"/>
      <c r="DF121" s="153"/>
      <c r="DG121" s="153"/>
      <c r="DH121" s="153"/>
      <c r="DI121" s="153"/>
      <c r="DJ121" s="153"/>
      <c r="DK121" s="153"/>
      <c r="DL121" s="153"/>
      <c r="DM121" s="153"/>
      <c r="DN121" s="153"/>
      <c r="DO121" s="153"/>
      <c r="DP121" s="153"/>
      <c r="DQ121" s="153"/>
      <c r="DR121" s="153"/>
      <c r="DS121" s="153"/>
      <c r="DT121" s="153"/>
      <c r="DU121" s="153"/>
      <c r="DV121" s="153"/>
      <c r="DW121" s="153"/>
      <c r="DX121" s="153"/>
      <c r="DY121" s="153"/>
      <c r="DZ121" s="153"/>
      <c r="EA121" s="153"/>
      <c r="EB121" s="153"/>
      <c r="EC121" s="153"/>
      <c r="ED121" s="153"/>
      <c r="EE121" s="153"/>
      <c r="EF121" s="153"/>
      <c r="EG121" s="153"/>
      <c r="EH121" s="153"/>
      <c r="EI121" s="153"/>
      <c r="EJ121" s="153"/>
      <c r="EK121" s="153"/>
      <c r="EL121" s="153"/>
      <c r="EM121" s="153"/>
      <c r="EN121" s="153"/>
      <c r="EO121" s="153"/>
      <c r="EP121" s="153"/>
      <c r="EQ121" s="153"/>
      <c r="ER121" s="153"/>
      <c r="ES121" s="153"/>
      <c r="ET121" s="153"/>
      <c r="EU121" s="153"/>
      <c r="EV121" s="153"/>
      <c r="EW121" s="153"/>
      <c r="EX121" s="153"/>
      <c r="EY121" s="153"/>
      <c r="EZ121" s="82"/>
      <c r="FA121" s="82"/>
      <c r="FB121" s="82"/>
      <c r="FC121" s="82"/>
      <c r="FD121" s="82"/>
      <c r="FE121" s="82"/>
      <c r="FF121" s="82"/>
      <c r="FG121" s="82"/>
      <c r="FH121" s="82"/>
      <c r="FI121" s="82"/>
      <c r="FJ121" s="82"/>
      <c r="FK121" s="82"/>
      <c r="FL121" s="119"/>
      <c r="FM121" s="82"/>
      <c r="FN121" s="82"/>
      <c r="FO121" s="82"/>
      <c r="FP121" s="82"/>
      <c r="FQ121" s="82"/>
      <c r="FR121" s="82"/>
      <c r="FS121" s="82"/>
      <c r="FT121" s="82"/>
      <c r="FU121" s="82"/>
      <c r="FV121" s="82"/>
      <c r="FW121" s="82"/>
      <c r="FX121" s="82"/>
      <c r="FY121" s="82"/>
      <c r="FZ121" s="82"/>
      <c r="GA121" s="82"/>
    </row>
    <row r="122" spans="1:183">
      <c r="A122" s="279"/>
      <c r="B122" s="279"/>
      <c r="C122" s="279"/>
      <c r="D122" s="324"/>
      <c r="E122" s="324"/>
      <c r="F122" s="324"/>
      <c r="G122" s="324"/>
      <c r="H122" s="324"/>
      <c r="I122" s="324"/>
      <c r="J122" s="324"/>
      <c r="K122" s="324"/>
      <c r="L122" s="324"/>
      <c r="M122" s="324"/>
      <c r="N122" s="324"/>
      <c r="O122" s="324"/>
      <c r="P122" s="324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53"/>
      <c r="CO122" s="153"/>
      <c r="CP122" s="153"/>
      <c r="CQ122" s="153"/>
      <c r="CR122" s="153"/>
      <c r="CS122" s="153"/>
      <c r="CT122" s="153"/>
      <c r="CU122" s="153"/>
      <c r="CV122" s="153"/>
      <c r="CW122" s="153"/>
      <c r="CX122" s="153"/>
      <c r="CY122" s="153"/>
      <c r="CZ122" s="153"/>
      <c r="DA122" s="153"/>
      <c r="DB122" s="153"/>
      <c r="DC122" s="153"/>
      <c r="DD122" s="153"/>
      <c r="DE122" s="153"/>
      <c r="DF122" s="153"/>
      <c r="DG122" s="153"/>
      <c r="DH122" s="153"/>
      <c r="DI122" s="153"/>
      <c r="DJ122" s="153"/>
      <c r="DK122" s="153"/>
      <c r="DL122" s="153"/>
      <c r="DM122" s="153"/>
      <c r="DN122" s="153"/>
      <c r="DO122" s="153"/>
      <c r="DP122" s="153"/>
      <c r="DQ122" s="153"/>
      <c r="DR122" s="153"/>
      <c r="DS122" s="153"/>
      <c r="DT122" s="153"/>
      <c r="DU122" s="153"/>
      <c r="DV122" s="153"/>
      <c r="DW122" s="153"/>
      <c r="DX122" s="153"/>
      <c r="DY122" s="153"/>
      <c r="DZ122" s="153"/>
      <c r="EA122" s="153"/>
      <c r="EB122" s="153"/>
      <c r="EC122" s="153"/>
      <c r="ED122" s="153"/>
      <c r="EE122" s="153"/>
      <c r="EF122" s="153"/>
      <c r="EG122" s="153"/>
      <c r="EH122" s="153"/>
      <c r="EI122" s="153"/>
      <c r="EJ122" s="153"/>
      <c r="EK122" s="153"/>
      <c r="EL122" s="153"/>
      <c r="EM122" s="153"/>
      <c r="EN122" s="153"/>
      <c r="EO122" s="153"/>
      <c r="EP122" s="153"/>
      <c r="EQ122" s="153"/>
      <c r="ER122" s="153"/>
      <c r="ES122" s="153"/>
      <c r="ET122" s="153"/>
      <c r="EU122" s="153"/>
      <c r="EV122" s="153"/>
      <c r="EW122" s="153"/>
      <c r="EX122" s="153"/>
      <c r="EY122" s="153"/>
      <c r="EZ122" s="82"/>
      <c r="FA122" s="82"/>
      <c r="FB122" s="82"/>
      <c r="FC122" s="82"/>
      <c r="FD122" s="82"/>
      <c r="FE122" s="82"/>
      <c r="FF122" s="82"/>
      <c r="FG122" s="82"/>
      <c r="FH122" s="82"/>
      <c r="FI122" s="82"/>
      <c r="FJ122" s="82"/>
      <c r="FK122" s="82"/>
      <c r="FL122" s="119"/>
      <c r="FM122" s="82"/>
      <c r="FN122" s="82"/>
      <c r="FO122" s="82"/>
      <c r="FP122" s="82"/>
      <c r="FQ122" s="82"/>
      <c r="FR122" s="82"/>
      <c r="FS122" s="82"/>
      <c r="FT122" s="82"/>
      <c r="FU122" s="82"/>
      <c r="FV122" s="82"/>
      <c r="FW122" s="82"/>
      <c r="FX122" s="82"/>
      <c r="FY122" s="82"/>
      <c r="FZ122" s="82"/>
      <c r="GA122" s="82"/>
    </row>
    <row r="123" spans="1:183">
      <c r="A123" s="279"/>
      <c r="B123" s="279"/>
      <c r="C123" s="279"/>
      <c r="D123" s="324"/>
      <c r="E123" s="324"/>
      <c r="F123" s="324"/>
      <c r="G123" s="324"/>
      <c r="H123" s="324"/>
      <c r="I123" s="324"/>
      <c r="J123" s="324"/>
      <c r="K123" s="324"/>
      <c r="L123" s="324"/>
      <c r="M123" s="324"/>
      <c r="N123" s="324"/>
      <c r="O123" s="324"/>
      <c r="P123" s="324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53"/>
      <c r="CO123" s="153"/>
      <c r="CP123" s="153"/>
      <c r="CQ123" s="153"/>
      <c r="CR123" s="153"/>
      <c r="CS123" s="153"/>
      <c r="CT123" s="153"/>
      <c r="CU123" s="153"/>
      <c r="CV123" s="153"/>
      <c r="CW123" s="153"/>
      <c r="CX123" s="153"/>
      <c r="CY123" s="153"/>
      <c r="CZ123" s="153"/>
      <c r="DA123" s="153"/>
      <c r="DB123" s="153"/>
      <c r="DC123" s="153"/>
      <c r="DD123" s="153"/>
      <c r="DE123" s="153"/>
      <c r="DF123" s="153"/>
      <c r="DG123" s="153"/>
      <c r="DH123" s="153"/>
      <c r="DI123" s="153"/>
      <c r="DJ123" s="153"/>
      <c r="DK123" s="153"/>
      <c r="DL123" s="153"/>
      <c r="DM123" s="153"/>
      <c r="DN123" s="153"/>
      <c r="DO123" s="153"/>
      <c r="DP123" s="153"/>
      <c r="DQ123" s="153"/>
      <c r="DR123" s="153"/>
      <c r="DS123" s="153"/>
      <c r="DT123" s="153"/>
      <c r="DU123" s="153"/>
      <c r="DV123" s="153"/>
      <c r="DW123" s="153"/>
      <c r="DX123" s="153"/>
      <c r="DY123" s="153"/>
      <c r="DZ123" s="153"/>
      <c r="EA123" s="153"/>
      <c r="EB123" s="153"/>
      <c r="EC123" s="153"/>
      <c r="ED123" s="153"/>
      <c r="EE123" s="153"/>
      <c r="EF123" s="153"/>
      <c r="EG123" s="153"/>
      <c r="EH123" s="153"/>
      <c r="EI123" s="153"/>
      <c r="EJ123" s="153"/>
      <c r="EK123" s="153"/>
      <c r="EL123" s="153"/>
      <c r="EM123" s="153"/>
      <c r="EN123" s="153"/>
      <c r="EO123" s="153"/>
      <c r="EP123" s="153"/>
      <c r="EQ123" s="153"/>
      <c r="ER123" s="153"/>
      <c r="ES123" s="153"/>
      <c r="ET123" s="153"/>
      <c r="EU123" s="153"/>
      <c r="EV123" s="153"/>
      <c r="EW123" s="153"/>
      <c r="EX123" s="153"/>
      <c r="EY123" s="153"/>
      <c r="EZ123" s="82"/>
      <c r="FA123" s="82"/>
      <c r="FB123" s="82"/>
      <c r="FC123" s="82"/>
      <c r="FD123" s="82"/>
      <c r="FE123" s="82"/>
      <c r="FF123" s="82"/>
      <c r="FG123" s="82"/>
      <c r="FH123" s="82"/>
      <c r="FI123" s="82"/>
      <c r="FJ123" s="82"/>
      <c r="FK123" s="82"/>
      <c r="FL123" s="119"/>
      <c r="FM123" s="82"/>
      <c r="FN123" s="82"/>
      <c r="FO123" s="82"/>
      <c r="FP123" s="82"/>
      <c r="FQ123" s="82"/>
      <c r="FR123" s="82"/>
      <c r="FS123" s="82"/>
      <c r="FT123" s="82"/>
      <c r="FU123" s="82"/>
      <c r="FV123" s="82"/>
      <c r="FW123" s="82"/>
      <c r="FX123" s="82"/>
      <c r="FY123" s="82"/>
      <c r="FZ123" s="82"/>
      <c r="GA123" s="82"/>
    </row>
    <row r="124" spans="1:183">
      <c r="A124" s="279"/>
      <c r="B124" s="279"/>
      <c r="C124" s="279"/>
      <c r="D124" s="324"/>
      <c r="E124" s="324"/>
      <c r="F124" s="324"/>
      <c r="G124" s="324"/>
      <c r="H124" s="324"/>
      <c r="I124" s="324"/>
      <c r="J124" s="324"/>
      <c r="K124" s="324"/>
      <c r="L124" s="324"/>
      <c r="M124" s="324"/>
      <c r="N124" s="324"/>
      <c r="O124" s="324"/>
      <c r="P124" s="324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153"/>
      <c r="BN124" s="153"/>
      <c r="BO124" s="153"/>
      <c r="BP124" s="153"/>
      <c r="BQ124" s="153"/>
      <c r="BR124" s="153"/>
      <c r="BS124" s="153"/>
      <c r="BT124" s="153"/>
      <c r="BU124" s="153"/>
      <c r="BV124" s="153"/>
      <c r="BW124" s="153"/>
      <c r="BX124" s="153"/>
      <c r="BY124" s="153"/>
      <c r="BZ124" s="153"/>
      <c r="CA124" s="153"/>
      <c r="CB124" s="153"/>
      <c r="CC124" s="153"/>
      <c r="CD124" s="153"/>
      <c r="CE124" s="153"/>
      <c r="CF124" s="153"/>
      <c r="CG124" s="153"/>
      <c r="CH124" s="153"/>
      <c r="CI124" s="153"/>
      <c r="CJ124" s="153"/>
      <c r="CK124" s="153"/>
      <c r="CL124" s="153"/>
      <c r="CM124" s="153"/>
      <c r="CN124" s="153"/>
      <c r="CO124" s="153"/>
      <c r="CP124" s="153"/>
      <c r="CQ124" s="153"/>
      <c r="CR124" s="153"/>
      <c r="CS124" s="153"/>
      <c r="CT124" s="153"/>
      <c r="CU124" s="153"/>
      <c r="CV124" s="153"/>
      <c r="CW124" s="153"/>
      <c r="CX124" s="153"/>
      <c r="CY124" s="153"/>
      <c r="CZ124" s="153"/>
      <c r="DA124" s="153"/>
      <c r="DB124" s="153"/>
      <c r="DC124" s="153"/>
      <c r="DD124" s="153"/>
      <c r="DE124" s="153"/>
      <c r="DF124" s="153"/>
      <c r="DG124" s="153"/>
      <c r="DH124" s="153"/>
      <c r="DI124" s="153"/>
      <c r="DJ124" s="153"/>
      <c r="DK124" s="153"/>
      <c r="DL124" s="153"/>
      <c r="DM124" s="153"/>
      <c r="DN124" s="153"/>
      <c r="DO124" s="153"/>
      <c r="DP124" s="153"/>
      <c r="DQ124" s="153"/>
      <c r="DR124" s="153"/>
      <c r="DS124" s="153"/>
      <c r="DT124" s="153"/>
      <c r="DU124" s="153"/>
      <c r="DV124" s="153"/>
      <c r="DW124" s="153"/>
      <c r="DX124" s="153"/>
      <c r="DY124" s="153"/>
      <c r="DZ124" s="153"/>
      <c r="EA124" s="153"/>
      <c r="EB124" s="153"/>
      <c r="EC124" s="153"/>
      <c r="ED124" s="153"/>
      <c r="EE124" s="153"/>
      <c r="EF124" s="153"/>
      <c r="EG124" s="153"/>
      <c r="EH124" s="153"/>
      <c r="EI124" s="153"/>
      <c r="EJ124" s="153"/>
      <c r="EK124" s="153"/>
      <c r="EL124" s="153"/>
      <c r="EM124" s="153"/>
      <c r="EN124" s="153"/>
      <c r="EO124" s="153"/>
      <c r="EP124" s="153"/>
      <c r="EQ124" s="153"/>
      <c r="ER124" s="153"/>
      <c r="ES124" s="153"/>
      <c r="ET124" s="153"/>
      <c r="EU124" s="153"/>
      <c r="EV124" s="153"/>
      <c r="EW124" s="153"/>
      <c r="EX124" s="153"/>
      <c r="EY124" s="153"/>
      <c r="EZ124" s="82"/>
      <c r="FA124" s="82"/>
      <c r="FB124" s="82"/>
      <c r="FC124" s="82"/>
      <c r="FD124" s="82"/>
      <c r="FE124" s="82"/>
      <c r="FF124" s="82"/>
      <c r="FG124" s="82"/>
      <c r="FH124" s="82"/>
      <c r="FI124" s="82"/>
      <c r="FJ124" s="82"/>
      <c r="FK124" s="82"/>
      <c r="FL124" s="119"/>
      <c r="FM124" s="82"/>
      <c r="FN124" s="82"/>
      <c r="FO124" s="82"/>
      <c r="FP124" s="82"/>
      <c r="FQ124" s="82"/>
      <c r="FR124" s="82"/>
      <c r="FS124" s="82"/>
      <c r="FT124" s="82"/>
      <c r="FU124" s="82"/>
      <c r="FV124" s="82"/>
      <c r="FW124" s="82"/>
      <c r="FX124" s="82"/>
      <c r="FY124" s="82"/>
      <c r="FZ124" s="82"/>
      <c r="GA124" s="82"/>
    </row>
    <row r="125" spans="1:183">
      <c r="A125" s="279"/>
      <c r="B125" s="279"/>
      <c r="C125" s="279"/>
      <c r="D125" s="324"/>
      <c r="E125" s="324"/>
      <c r="F125" s="324"/>
      <c r="G125" s="324"/>
      <c r="H125" s="324"/>
      <c r="I125" s="324"/>
      <c r="J125" s="324"/>
      <c r="K125" s="324"/>
      <c r="L125" s="324"/>
      <c r="M125" s="324"/>
      <c r="N125" s="324"/>
      <c r="O125" s="324"/>
      <c r="P125" s="324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153"/>
      <c r="BN125" s="153"/>
      <c r="BO125" s="153"/>
      <c r="BP125" s="153"/>
      <c r="BQ125" s="153"/>
      <c r="BR125" s="153"/>
      <c r="BS125" s="153"/>
      <c r="BT125" s="153"/>
      <c r="BU125" s="153"/>
      <c r="BV125" s="153"/>
      <c r="BW125" s="153"/>
      <c r="BX125" s="153"/>
      <c r="BY125" s="153"/>
      <c r="BZ125" s="153"/>
      <c r="CA125" s="153"/>
      <c r="CB125" s="153"/>
      <c r="CC125" s="153"/>
      <c r="CD125" s="153"/>
      <c r="CE125" s="153"/>
      <c r="CF125" s="153"/>
      <c r="CG125" s="153"/>
      <c r="CH125" s="153"/>
      <c r="CI125" s="153"/>
      <c r="CJ125" s="153"/>
      <c r="CK125" s="153"/>
      <c r="CL125" s="153"/>
      <c r="CM125" s="153"/>
      <c r="CN125" s="153"/>
      <c r="CO125" s="153"/>
      <c r="CP125" s="153"/>
      <c r="CQ125" s="153"/>
      <c r="CR125" s="153"/>
      <c r="CS125" s="153"/>
      <c r="CT125" s="153"/>
      <c r="CU125" s="153"/>
      <c r="CV125" s="153"/>
      <c r="CW125" s="153"/>
      <c r="CX125" s="153"/>
      <c r="CY125" s="153"/>
      <c r="CZ125" s="153"/>
      <c r="DA125" s="153"/>
      <c r="DB125" s="153"/>
      <c r="DC125" s="153"/>
      <c r="DD125" s="153"/>
      <c r="DE125" s="153"/>
      <c r="DF125" s="153"/>
      <c r="DG125" s="153"/>
      <c r="DH125" s="153"/>
      <c r="DI125" s="153"/>
      <c r="DJ125" s="153"/>
      <c r="DK125" s="153"/>
      <c r="DL125" s="153"/>
      <c r="DM125" s="153"/>
      <c r="DN125" s="153"/>
      <c r="DO125" s="153"/>
      <c r="DP125" s="153"/>
      <c r="DQ125" s="153"/>
      <c r="DR125" s="153"/>
      <c r="DS125" s="153"/>
      <c r="DT125" s="153"/>
      <c r="DU125" s="153"/>
      <c r="DV125" s="153"/>
      <c r="DW125" s="153"/>
      <c r="DX125" s="153"/>
      <c r="DY125" s="153"/>
      <c r="DZ125" s="153"/>
      <c r="EA125" s="153"/>
      <c r="EB125" s="153"/>
      <c r="EC125" s="153"/>
      <c r="ED125" s="153"/>
      <c r="EE125" s="153"/>
      <c r="EF125" s="153"/>
      <c r="EG125" s="153"/>
      <c r="EH125" s="153"/>
      <c r="EI125" s="153"/>
      <c r="EJ125" s="153"/>
      <c r="EK125" s="153"/>
      <c r="EL125" s="153"/>
      <c r="EM125" s="153"/>
      <c r="EN125" s="153"/>
      <c r="EO125" s="153"/>
      <c r="EP125" s="153"/>
      <c r="EQ125" s="153"/>
      <c r="ER125" s="153"/>
      <c r="ES125" s="153"/>
      <c r="ET125" s="153"/>
      <c r="EU125" s="153"/>
      <c r="EV125" s="153"/>
      <c r="EW125" s="153"/>
      <c r="EX125" s="153"/>
      <c r="EY125" s="153"/>
      <c r="EZ125" s="82"/>
      <c r="FA125" s="82"/>
      <c r="FB125" s="82"/>
      <c r="FC125" s="82"/>
      <c r="FD125" s="82"/>
      <c r="FE125" s="82"/>
      <c r="FF125" s="82"/>
      <c r="FG125" s="82"/>
      <c r="FH125" s="82"/>
      <c r="FI125" s="82"/>
      <c r="FJ125" s="82"/>
      <c r="FK125" s="82"/>
      <c r="FL125" s="119"/>
      <c r="FM125" s="82"/>
      <c r="FN125" s="82"/>
      <c r="FO125" s="82"/>
      <c r="FP125" s="82"/>
      <c r="FQ125" s="82"/>
      <c r="FR125" s="82"/>
      <c r="FS125" s="82"/>
      <c r="FT125" s="82"/>
      <c r="FU125" s="82"/>
      <c r="FV125" s="82"/>
      <c r="FW125" s="82"/>
      <c r="FX125" s="82"/>
      <c r="FY125" s="82"/>
      <c r="FZ125" s="82"/>
      <c r="GA125" s="82"/>
    </row>
    <row r="126" spans="1:183">
      <c r="A126" s="279"/>
      <c r="B126" s="279"/>
      <c r="C126" s="279"/>
      <c r="D126" s="324"/>
      <c r="E126" s="324"/>
      <c r="F126" s="324"/>
      <c r="G126" s="324"/>
      <c r="H126" s="324"/>
      <c r="I126" s="324"/>
      <c r="J126" s="324"/>
      <c r="K126" s="324"/>
      <c r="L126" s="324"/>
      <c r="M126" s="324"/>
      <c r="N126" s="324"/>
      <c r="O126" s="324"/>
      <c r="P126" s="324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153"/>
      <c r="BN126" s="153"/>
      <c r="BO126" s="153"/>
      <c r="BP126" s="153"/>
      <c r="BQ126" s="153"/>
      <c r="BR126" s="153"/>
      <c r="BS126" s="153"/>
      <c r="BT126" s="153"/>
      <c r="BU126" s="153"/>
      <c r="BV126" s="153"/>
      <c r="BW126" s="153"/>
      <c r="BX126" s="153"/>
      <c r="BY126" s="153"/>
      <c r="BZ126" s="153"/>
      <c r="CA126" s="153"/>
      <c r="CB126" s="153"/>
      <c r="CC126" s="153"/>
      <c r="CD126" s="153"/>
      <c r="CE126" s="153"/>
      <c r="CF126" s="153"/>
      <c r="CG126" s="153"/>
      <c r="CH126" s="153"/>
      <c r="CI126" s="153"/>
      <c r="CJ126" s="153"/>
      <c r="CK126" s="153"/>
      <c r="CL126" s="153"/>
      <c r="CM126" s="153"/>
      <c r="CN126" s="153"/>
      <c r="CO126" s="153"/>
      <c r="CP126" s="153"/>
      <c r="CQ126" s="153"/>
      <c r="CR126" s="153"/>
      <c r="CS126" s="153"/>
      <c r="CT126" s="153"/>
      <c r="CU126" s="153"/>
      <c r="CV126" s="153"/>
      <c r="CW126" s="153"/>
      <c r="CX126" s="153"/>
      <c r="CY126" s="153"/>
      <c r="CZ126" s="153"/>
      <c r="DA126" s="153"/>
      <c r="DB126" s="153"/>
      <c r="DC126" s="153"/>
      <c r="DD126" s="153"/>
      <c r="DE126" s="153"/>
      <c r="DF126" s="153"/>
      <c r="DG126" s="153"/>
      <c r="DH126" s="153"/>
      <c r="DI126" s="153"/>
      <c r="DJ126" s="153"/>
      <c r="DK126" s="153"/>
      <c r="DL126" s="153"/>
      <c r="DM126" s="153"/>
      <c r="DN126" s="153"/>
      <c r="DO126" s="153"/>
      <c r="DP126" s="153"/>
      <c r="DQ126" s="153"/>
      <c r="DR126" s="153"/>
      <c r="DS126" s="153"/>
      <c r="DT126" s="153"/>
      <c r="DU126" s="153"/>
      <c r="DV126" s="153"/>
      <c r="DW126" s="153"/>
      <c r="DX126" s="153"/>
      <c r="DY126" s="153"/>
      <c r="DZ126" s="153"/>
      <c r="EA126" s="153"/>
      <c r="EB126" s="153"/>
      <c r="EC126" s="153"/>
      <c r="ED126" s="153"/>
      <c r="EE126" s="153"/>
      <c r="EF126" s="153"/>
      <c r="EG126" s="153"/>
      <c r="EH126" s="153"/>
      <c r="EI126" s="153"/>
      <c r="EJ126" s="153"/>
      <c r="EK126" s="153"/>
      <c r="EL126" s="153"/>
      <c r="EM126" s="153"/>
      <c r="EN126" s="153"/>
      <c r="EO126" s="153"/>
      <c r="EP126" s="153"/>
      <c r="EQ126" s="153"/>
      <c r="ER126" s="153"/>
      <c r="ES126" s="153"/>
      <c r="ET126" s="153"/>
      <c r="EU126" s="153"/>
      <c r="EV126" s="153"/>
      <c r="EW126" s="153"/>
      <c r="EX126" s="153"/>
      <c r="EY126" s="153"/>
      <c r="EZ126" s="82"/>
      <c r="FA126" s="82"/>
      <c r="FB126" s="82"/>
      <c r="FC126" s="82"/>
      <c r="FD126" s="82"/>
      <c r="FE126" s="82"/>
      <c r="FF126" s="82"/>
      <c r="FG126" s="82"/>
      <c r="FH126" s="82"/>
      <c r="FI126" s="82"/>
      <c r="FJ126" s="82"/>
      <c r="FK126" s="82"/>
      <c r="FL126" s="119"/>
      <c r="FM126" s="82"/>
      <c r="FN126" s="82"/>
      <c r="FO126" s="82"/>
      <c r="FP126" s="82"/>
      <c r="FQ126" s="82"/>
      <c r="FR126" s="82"/>
      <c r="FS126" s="82"/>
      <c r="FT126" s="82"/>
      <c r="FU126" s="82"/>
      <c r="FV126" s="82"/>
      <c r="FW126" s="82"/>
      <c r="FX126" s="82"/>
      <c r="FY126" s="82"/>
      <c r="FZ126" s="82"/>
      <c r="GA126" s="82"/>
    </row>
    <row r="127" spans="1:183">
      <c r="A127" s="279"/>
      <c r="B127" s="279"/>
      <c r="C127" s="279"/>
      <c r="D127" s="324"/>
      <c r="E127" s="324"/>
      <c r="F127" s="324"/>
      <c r="G127" s="324"/>
      <c r="H127" s="324"/>
      <c r="I127" s="324"/>
      <c r="J127" s="324"/>
      <c r="K127" s="324"/>
      <c r="L127" s="324"/>
      <c r="M127" s="324"/>
      <c r="N127" s="324"/>
      <c r="O127" s="324"/>
      <c r="P127" s="324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153"/>
      <c r="BN127" s="153"/>
      <c r="BO127" s="153"/>
      <c r="BP127" s="153"/>
      <c r="BQ127" s="153"/>
      <c r="BR127" s="153"/>
      <c r="BS127" s="153"/>
      <c r="BT127" s="153"/>
      <c r="BU127" s="153"/>
      <c r="BV127" s="153"/>
      <c r="BW127" s="153"/>
      <c r="BX127" s="153"/>
      <c r="BY127" s="153"/>
      <c r="BZ127" s="153"/>
      <c r="CA127" s="153"/>
      <c r="CB127" s="153"/>
      <c r="CC127" s="153"/>
      <c r="CD127" s="153"/>
      <c r="CE127" s="153"/>
      <c r="CF127" s="153"/>
      <c r="CG127" s="153"/>
      <c r="CH127" s="153"/>
      <c r="CI127" s="153"/>
      <c r="CJ127" s="153"/>
      <c r="CK127" s="153"/>
      <c r="CL127" s="153"/>
      <c r="CM127" s="153"/>
      <c r="CN127" s="153"/>
      <c r="CO127" s="153"/>
      <c r="CP127" s="153"/>
      <c r="CQ127" s="153"/>
      <c r="CR127" s="153"/>
      <c r="CS127" s="153"/>
      <c r="CT127" s="153"/>
      <c r="CU127" s="153"/>
      <c r="CV127" s="153"/>
      <c r="CW127" s="153"/>
      <c r="CX127" s="153"/>
      <c r="CY127" s="153"/>
      <c r="CZ127" s="153"/>
      <c r="DA127" s="153"/>
      <c r="DB127" s="153"/>
      <c r="DC127" s="153"/>
      <c r="DD127" s="153"/>
      <c r="DE127" s="153"/>
      <c r="DF127" s="153"/>
      <c r="DG127" s="153"/>
      <c r="DH127" s="153"/>
      <c r="DI127" s="153"/>
      <c r="DJ127" s="153"/>
      <c r="DK127" s="153"/>
      <c r="DL127" s="153"/>
      <c r="DM127" s="153"/>
      <c r="DN127" s="153"/>
      <c r="DO127" s="153"/>
      <c r="DP127" s="153"/>
      <c r="DQ127" s="153"/>
      <c r="DR127" s="153"/>
      <c r="DS127" s="153"/>
      <c r="DT127" s="153"/>
      <c r="DU127" s="153"/>
      <c r="DV127" s="153"/>
      <c r="DW127" s="153"/>
      <c r="DX127" s="153"/>
      <c r="DY127" s="153"/>
      <c r="DZ127" s="153"/>
      <c r="EA127" s="153"/>
      <c r="EB127" s="153"/>
      <c r="EC127" s="153"/>
      <c r="ED127" s="153"/>
      <c r="EE127" s="153"/>
      <c r="EF127" s="153"/>
      <c r="EG127" s="153"/>
      <c r="EH127" s="153"/>
      <c r="EI127" s="153"/>
      <c r="EJ127" s="153"/>
      <c r="EK127" s="153"/>
      <c r="EL127" s="153"/>
      <c r="EM127" s="153"/>
      <c r="EN127" s="153"/>
      <c r="EO127" s="153"/>
      <c r="EP127" s="153"/>
      <c r="EQ127" s="153"/>
      <c r="ER127" s="153"/>
      <c r="ES127" s="153"/>
      <c r="ET127" s="153"/>
      <c r="EU127" s="153"/>
      <c r="EV127" s="153"/>
      <c r="EW127" s="153"/>
      <c r="EX127" s="153"/>
      <c r="EY127" s="153"/>
      <c r="EZ127" s="82"/>
      <c r="FA127" s="82"/>
      <c r="FB127" s="82"/>
      <c r="FC127" s="82"/>
      <c r="FD127" s="82"/>
      <c r="FE127" s="82"/>
      <c r="FF127" s="82"/>
      <c r="FG127" s="82"/>
      <c r="FH127" s="82"/>
      <c r="FI127" s="82"/>
      <c r="FJ127" s="82"/>
      <c r="FK127" s="82"/>
      <c r="FL127" s="119"/>
      <c r="FM127" s="82"/>
      <c r="FN127" s="82"/>
      <c r="FO127" s="82"/>
      <c r="FP127" s="82"/>
      <c r="FQ127" s="82"/>
      <c r="FR127" s="82"/>
      <c r="FS127" s="82"/>
      <c r="FT127" s="82"/>
      <c r="FU127" s="82"/>
      <c r="FV127" s="82"/>
      <c r="FW127" s="82"/>
      <c r="FX127" s="82"/>
      <c r="FY127" s="82"/>
      <c r="FZ127" s="82"/>
      <c r="GA127" s="82"/>
    </row>
    <row r="128" spans="1:183">
      <c r="A128" s="279"/>
      <c r="B128" s="279"/>
      <c r="C128" s="279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153"/>
      <c r="BN128" s="153"/>
      <c r="BO128" s="153"/>
      <c r="BP128" s="153"/>
      <c r="BQ128" s="153"/>
      <c r="BR128" s="153"/>
      <c r="BS128" s="153"/>
      <c r="BT128" s="153"/>
      <c r="BU128" s="153"/>
      <c r="BV128" s="153"/>
      <c r="BW128" s="153"/>
      <c r="BX128" s="153"/>
      <c r="BY128" s="153"/>
      <c r="BZ128" s="153"/>
      <c r="CA128" s="153"/>
      <c r="CB128" s="153"/>
      <c r="CC128" s="153"/>
      <c r="CD128" s="153"/>
      <c r="CE128" s="153"/>
      <c r="CF128" s="153"/>
      <c r="CG128" s="153"/>
      <c r="CH128" s="153"/>
      <c r="CI128" s="153"/>
      <c r="CJ128" s="153"/>
      <c r="CK128" s="153"/>
      <c r="CL128" s="153"/>
      <c r="CM128" s="153"/>
      <c r="CN128" s="153"/>
      <c r="CO128" s="153"/>
      <c r="CP128" s="153"/>
      <c r="CQ128" s="153"/>
      <c r="CR128" s="153"/>
      <c r="CS128" s="153"/>
      <c r="CT128" s="153"/>
      <c r="CU128" s="153"/>
      <c r="CV128" s="153"/>
      <c r="CW128" s="153"/>
      <c r="CX128" s="153"/>
      <c r="CY128" s="153"/>
      <c r="CZ128" s="153"/>
      <c r="DA128" s="153"/>
      <c r="DB128" s="153"/>
      <c r="DC128" s="153"/>
      <c r="DD128" s="153"/>
      <c r="DE128" s="153"/>
      <c r="DF128" s="153"/>
      <c r="DG128" s="153"/>
      <c r="DH128" s="153"/>
      <c r="DI128" s="153"/>
      <c r="DJ128" s="153"/>
      <c r="DK128" s="153"/>
      <c r="DL128" s="153"/>
      <c r="DM128" s="153"/>
      <c r="DN128" s="153"/>
      <c r="DO128" s="153"/>
      <c r="DP128" s="153"/>
      <c r="DQ128" s="153"/>
      <c r="DR128" s="153"/>
      <c r="DS128" s="153"/>
      <c r="DT128" s="153"/>
      <c r="DU128" s="153"/>
      <c r="DV128" s="153"/>
      <c r="DW128" s="153"/>
      <c r="DX128" s="153"/>
      <c r="DY128" s="153"/>
      <c r="DZ128" s="153"/>
      <c r="EA128" s="153"/>
      <c r="EB128" s="153"/>
      <c r="EC128" s="153"/>
      <c r="ED128" s="153"/>
      <c r="EE128" s="153"/>
      <c r="EF128" s="153"/>
      <c r="EG128" s="153"/>
      <c r="EH128" s="153"/>
      <c r="EI128" s="153"/>
      <c r="EJ128" s="153"/>
      <c r="EK128" s="153"/>
      <c r="EL128" s="153"/>
      <c r="EM128" s="153"/>
      <c r="EN128" s="153"/>
      <c r="EO128" s="153"/>
      <c r="EP128" s="153"/>
      <c r="EQ128" s="153"/>
      <c r="ER128" s="153"/>
      <c r="ES128" s="153"/>
      <c r="ET128" s="153"/>
      <c r="EU128" s="153"/>
      <c r="EV128" s="153"/>
      <c r="EW128" s="153"/>
      <c r="EX128" s="153"/>
      <c r="EY128" s="153"/>
      <c r="EZ128" s="82"/>
      <c r="FA128" s="82"/>
      <c r="FB128" s="82"/>
      <c r="FC128" s="82"/>
      <c r="FD128" s="82"/>
      <c r="FE128" s="82"/>
      <c r="FF128" s="82"/>
      <c r="FG128" s="82"/>
      <c r="FH128" s="82"/>
      <c r="FI128" s="82"/>
      <c r="FJ128" s="82"/>
      <c r="FK128" s="82"/>
      <c r="FL128" s="119"/>
      <c r="FM128" s="82"/>
      <c r="FN128" s="82"/>
      <c r="FO128" s="82"/>
      <c r="FP128" s="82"/>
      <c r="FQ128" s="82"/>
      <c r="FR128" s="82"/>
      <c r="FS128" s="82"/>
      <c r="FT128" s="82"/>
      <c r="FU128" s="82"/>
      <c r="FV128" s="82"/>
      <c r="FW128" s="82"/>
      <c r="FX128" s="82"/>
      <c r="FY128" s="82"/>
      <c r="FZ128" s="82"/>
      <c r="GA128" s="82"/>
    </row>
    <row r="129" spans="1:183">
      <c r="A129" s="279"/>
      <c r="B129" s="279"/>
      <c r="C129" s="279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153"/>
      <c r="BN129" s="153"/>
      <c r="BO129" s="153"/>
      <c r="BP129" s="153"/>
      <c r="BQ129" s="153"/>
      <c r="BR129" s="153"/>
      <c r="BS129" s="153"/>
      <c r="BT129" s="153"/>
      <c r="BU129" s="153"/>
      <c r="BV129" s="153"/>
      <c r="BW129" s="153"/>
      <c r="BX129" s="153"/>
      <c r="BY129" s="153"/>
      <c r="BZ129" s="153"/>
      <c r="CA129" s="153"/>
      <c r="CB129" s="153"/>
      <c r="CC129" s="153"/>
      <c r="CD129" s="153"/>
      <c r="CE129" s="153"/>
      <c r="CF129" s="153"/>
      <c r="CG129" s="153"/>
      <c r="CH129" s="153"/>
      <c r="CI129" s="153"/>
      <c r="CJ129" s="153"/>
      <c r="CK129" s="153"/>
      <c r="CL129" s="153"/>
      <c r="CM129" s="153"/>
      <c r="CN129" s="153"/>
      <c r="CO129" s="153"/>
      <c r="CP129" s="153"/>
      <c r="CQ129" s="153"/>
      <c r="CR129" s="153"/>
      <c r="CS129" s="153"/>
      <c r="CT129" s="153"/>
      <c r="CU129" s="153"/>
      <c r="CV129" s="153"/>
      <c r="CW129" s="153"/>
      <c r="CX129" s="153"/>
      <c r="CY129" s="153"/>
      <c r="CZ129" s="153"/>
      <c r="DA129" s="153"/>
      <c r="DB129" s="153"/>
      <c r="DC129" s="153"/>
      <c r="DD129" s="153"/>
      <c r="DE129" s="153"/>
      <c r="DF129" s="153"/>
      <c r="DG129" s="153"/>
      <c r="DH129" s="153"/>
      <c r="DI129" s="153"/>
      <c r="DJ129" s="153"/>
      <c r="DK129" s="153"/>
      <c r="DL129" s="153"/>
      <c r="DM129" s="153"/>
      <c r="DN129" s="153"/>
      <c r="DO129" s="153"/>
      <c r="DP129" s="153"/>
      <c r="DQ129" s="153"/>
      <c r="DR129" s="153"/>
      <c r="DS129" s="153"/>
      <c r="DT129" s="153"/>
      <c r="DU129" s="153"/>
      <c r="DV129" s="153"/>
      <c r="DW129" s="153"/>
      <c r="DX129" s="153"/>
      <c r="DY129" s="153"/>
      <c r="DZ129" s="153"/>
      <c r="EA129" s="153"/>
      <c r="EB129" s="153"/>
      <c r="EC129" s="153"/>
      <c r="ED129" s="153"/>
      <c r="EE129" s="153"/>
      <c r="EF129" s="153"/>
      <c r="EG129" s="153"/>
      <c r="EH129" s="153"/>
      <c r="EI129" s="153"/>
      <c r="EJ129" s="153"/>
      <c r="EK129" s="153"/>
      <c r="EL129" s="153"/>
      <c r="EM129" s="153"/>
      <c r="EN129" s="153"/>
      <c r="EO129" s="153"/>
      <c r="EP129" s="153"/>
      <c r="EQ129" s="153"/>
      <c r="ER129" s="153"/>
      <c r="ES129" s="153"/>
      <c r="ET129" s="153"/>
      <c r="EU129" s="153"/>
      <c r="EV129" s="153"/>
      <c r="EW129" s="153"/>
      <c r="EX129" s="153"/>
      <c r="EY129" s="153"/>
      <c r="EZ129" s="82"/>
      <c r="FA129" s="82"/>
      <c r="FB129" s="82"/>
      <c r="FC129" s="82"/>
      <c r="FD129" s="82"/>
      <c r="FE129" s="82"/>
      <c r="FF129" s="82"/>
      <c r="FG129" s="82"/>
      <c r="FH129" s="82"/>
      <c r="FI129" s="82"/>
      <c r="FJ129" s="82"/>
      <c r="FK129" s="82"/>
      <c r="FL129" s="119"/>
      <c r="FM129" s="82"/>
      <c r="FN129" s="82"/>
      <c r="FO129" s="82"/>
      <c r="FP129" s="82"/>
      <c r="FQ129" s="82"/>
      <c r="FR129" s="82"/>
      <c r="FS129" s="82"/>
      <c r="FT129" s="82"/>
      <c r="FU129" s="82"/>
      <c r="FV129" s="82"/>
      <c r="FW129" s="82"/>
      <c r="FX129" s="82"/>
      <c r="FY129" s="82"/>
      <c r="FZ129" s="82"/>
      <c r="GA129" s="82"/>
    </row>
    <row r="130" spans="1:183">
      <c r="A130" s="279"/>
      <c r="B130" s="279"/>
      <c r="C130" s="279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153"/>
      <c r="BN130" s="153"/>
      <c r="BO130" s="153"/>
      <c r="BP130" s="153"/>
      <c r="BQ130" s="153"/>
      <c r="BR130" s="153"/>
      <c r="BS130" s="153"/>
      <c r="BT130" s="153"/>
      <c r="BU130" s="153"/>
      <c r="BV130" s="153"/>
      <c r="BW130" s="153"/>
      <c r="BX130" s="153"/>
      <c r="BY130" s="153"/>
      <c r="BZ130" s="153"/>
      <c r="CA130" s="153"/>
      <c r="CB130" s="153"/>
      <c r="CC130" s="153"/>
      <c r="CD130" s="153"/>
      <c r="CE130" s="153"/>
      <c r="CF130" s="153"/>
      <c r="CG130" s="153"/>
      <c r="CH130" s="153"/>
      <c r="CI130" s="153"/>
      <c r="CJ130" s="153"/>
      <c r="CK130" s="153"/>
      <c r="CL130" s="153"/>
      <c r="CM130" s="153"/>
      <c r="CN130" s="153"/>
      <c r="CO130" s="153"/>
      <c r="CP130" s="153"/>
      <c r="CQ130" s="153"/>
      <c r="CR130" s="153"/>
      <c r="CS130" s="153"/>
      <c r="CT130" s="153"/>
      <c r="CU130" s="153"/>
      <c r="CV130" s="153"/>
      <c r="CW130" s="153"/>
      <c r="CX130" s="153"/>
      <c r="CY130" s="153"/>
      <c r="CZ130" s="153"/>
      <c r="DA130" s="153"/>
      <c r="DB130" s="153"/>
      <c r="DC130" s="153"/>
      <c r="DD130" s="153"/>
      <c r="DE130" s="153"/>
      <c r="DF130" s="153"/>
      <c r="DG130" s="153"/>
      <c r="DH130" s="153"/>
      <c r="DI130" s="153"/>
      <c r="DJ130" s="153"/>
      <c r="DK130" s="153"/>
      <c r="DL130" s="153"/>
      <c r="DM130" s="153"/>
      <c r="DN130" s="153"/>
      <c r="DO130" s="153"/>
      <c r="DP130" s="153"/>
      <c r="DQ130" s="153"/>
      <c r="DR130" s="153"/>
      <c r="DS130" s="153"/>
      <c r="DT130" s="153"/>
      <c r="DU130" s="153"/>
      <c r="DV130" s="153"/>
      <c r="DW130" s="153"/>
      <c r="DX130" s="153"/>
      <c r="DY130" s="153"/>
      <c r="DZ130" s="153"/>
      <c r="EA130" s="153"/>
      <c r="EB130" s="153"/>
      <c r="EC130" s="153"/>
      <c r="ED130" s="153"/>
      <c r="EE130" s="153"/>
      <c r="EF130" s="153"/>
      <c r="EG130" s="153"/>
      <c r="EH130" s="153"/>
      <c r="EI130" s="153"/>
      <c r="EJ130" s="153"/>
      <c r="EK130" s="153"/>
      <c r="EL130" s="153"/>
      <c r="EM130" s="153"/>
      <c r="EN130" s="153"/>
      <c r="EO130" s="153"/>
      <c r="EP130" s="153"/>
      <c r="EQ130" s="153"/>
      <c r="ER130" s="153"/>
      <c r="ES130" s="153"/>
      <c r="ET130" s="153"/>
      <c r="EU130" s="153"/>
      <c r="EV130" s="153"/>
      <c r="EW130" s="153"/>
      <c r="EX130" s="153"/>
      <c r="EY130" s="153"/>
      <c r="EZ130" s="82"/>
      <c r="FA130" s="82"/>
      <c r="FB130" s="82"/>
      <c r="FC130" s="82"/>
      <c r="FD130" s="82"/>
      <c r="FE130" s="82"/>
      <c r="FF130" s="82"/>
      <c r="FG130" s="82"/>
      <c r="FH130" s="82"/>
      <c r="FI130" s="82"/>
      <c r="FJ130" s="82"/>
      <c r="FK130" s="82"/>
      <c r="FL130" s="119"/>
      <c r="FM130" s="82"/>
      <c r="FN130" s="82"/>
      <c r="FO130" s="82"/>
      <c r="FP130" s="82"/>
      <c r="FQ130" s="82"/>
      <c r="FR130" s="82"/>
      <c r="FS130" s="82"/>
      <c r="FT130" s="82"/>
      <c r="FU130" s="82"/>
      <c r="FV130" s="82"/>
      <c r="FW130" s="82"/>
      <c r="FX130" s="82"/>
      <c r="FY130" s="82"/>
      <c r="FZ130" s="82"/>
      <c r="GA130" s="82"/>
    </row>
    <row r="303" spans="2:159">
      <c r="P303" s="283">
        <v>1489922346.507782</v>
      </c>
      <c r="FA303" s="125">
        <f>+P119</f>
        <v>1418329624.1860352</v>
      </c>
      <c r="FC303" s="125">
        <v>25000000000</v>
      </c>
    </row>
    <row r="304" spans="2:159">
      <c r="B304" s="262" t="s">
        <v>352</v>
      </c>
    </row>
    <row r="305" spans="3:16">
      <c r="C305" s="262" t="str">
        <f>+'CF 2018'!C156</f>
        <v>Kenaikan Inflasi 5%</v>
      </c>
      <c r="P305" s="283">
        <f>P303-P119</f>
        <v>71592722.321746826</v>
      </c>
    </row>
    <row r="306" spans="3:16">
      <c r="C306" s="262" t="s">
        <v>353</v>
      </c>
    </row>
    <row r="307" spans="3:16">
      <c r="C307" s="262" t="s">
        <v>397</v>
      </c>
    </row>
    <row r="308" spans="3:16">
      <c r="C308" s="262" t="s">
        <v>354</v>
      </c>
    </row>
    <row r="309" spans="3:16">
      <c r="C309" s="262" t="s">
        <v>396</v>
      </c>
    </row>
    <row r="310" spans="3:16">
      <c r="C310" s="262" t="s">
        <v>398</v>
      </c>
    </row>
    <row r="311" spans="3:16">
      <c r="C311" s="262" t="s">
        <v>399</v>
      </c>
    </row>
    <row r="312" spans="3:16">
      <c r="C312" s="262" t="s">
        <v>400</v>
      </c>
    </row>
    <row r="354" spans="3:159">
      <c r="P354" s="283">
        <f>SUM(D119:O119)</f>
        <v>11422108656.888426</v>
      </c>
      <c r="FC354" s="125">
        <v>8000000000</v>
      </c>
    </row>
    <row r="355" spans="3:159">
      <c r="D355" s="283" t="s">
        <v>258</v>
      </c>
      <c r="E355" s="283" t="s">
        <v>259</v>
      </c>
      <c r="FC355" s="125">
        <f>SUM(FC303:FC354)</f>
        <v>33000000000</v>
      </c>
    </row>
    <row r="356" spans="3:159">
      <c r="C356" s="262" t="s">
        <v>260</v>
      </c>
      <c r="D356" s="283">
        <v>25708624138.779999</v>
      </c>
      <c r="E356" s="283">
        <v>4284770689.7966666</v>
      </c>
      <c r="F356" s="283" t="s">
        <v>261</v>
      </c>
      <c r="FA356" s="125" t="e">
        <f>'CF 2017'!#REF!+'CF 2018'!P106</f>
        <v>#REF!</v>
      </c>
    </row>
    <row r="357" spans="3:159">
      <c r="K357" s="283" t="s">
        <v>253</v>
      </c>
      <c r="FA357" s="125">
        <f>P111</f>
        <v>300000000</v>
      </c>
      <c r="FC357" s="125">
        <v>-8000000000</v>
      </c>
    </row>
    <row r="358" spans="3:159">
      <c r="E358" s="283">
        <f>+E356/105</f>
        <v>40807339.902825393</v>
      </c>
      <c r="F358" s="283" t="s">
        <v>262</v>
      </c>
      <c r="FA358" s="125" t="e">
        <f>SUM(FA356:FA357)</f>
        <v>#REF!</v>
      </c>
      <c r="FC358" s="125">
        <f>-P111</f>
        <v>-300000000</v>
      </c>
    </row>
    <row r="359" spans="3:159">
      <c r="E359" s="283">
        <f>+(E358*40)*20%</f>
        <v>326458719.22260314</v>
      </c>
      <c r="F359" s="283" t="s">
        <v>263</v>
      </c>
      <c r="FC359" s="125">
        <f>SUM(FC357:FC358)</f>
        <v>-8300000000</v>
      </c>
    </row>
    <row r="360" spans="3:159">
      <c r="FC360" s="125">
        <f>-'CF 2018'!P110-'CF 2017'!P117</f>
        <v>-37296000000</v>
      </c>
    </row>
    <row r="361" spans="3:159">
      <c r="FA361" s="125" t="e">
        <f>+FA358+FA303</f>
        <v>#REF!</v>
      </c>
      <c r="FC361" s="125">
        <f>SUM(FC357:FC360)</f>
        <v>-53896000000</v>
      </c>
    </row>
    <row r="364" spans="3:159">
      <c r="FC364" s="125">
        <f>+FC361+FC355</f>
        <v>-20896000000</v>
      </c>
    </row>
    <row r="367" spans="3:159">
      <c r="C367" s="262" t="s">
        <v>257</v>
      </c>
    </row>
    <row r="368" spans="3:159">
      <c r="C368" s="262" t="s">
        <v>13</v>
      </c>
      <c r="D368" s="283">
        <f>+FA14+(FA14*10%)</f>
        <v>1781358985.1541448</v>
      </c>
      <c r="E368" s="314">
        <f>+D368/$D$373</f>
        <v>0.28260223486976827</v>
      </c>
      <c r="F368" s="283">
        <f>'CAT 2019'!E38</f>
        <v>1814227037.8007414</v>
      </c>
    </row>
    <row r="369" spans="2:16">
      <c r="C369" s="262" t="s">
        <v>14</v>
      </c>
      <c r="D369" s="283">
        <f>+FA15+(FA15*10%)</f>
        <v>794043020.33406651</v>
      </c>
      <c r="E369" s="314">
        <f>+D369/$D$373</f>
        <v>0.12597030357119757</v>
      </c>
      <c r="F369" s="283">
        <f>'CAT 2019'!E39</f>
        <v>477815292.14832747</v>
      </c>
    </row>
    <row r="370" spans="2:16">
      <c r="D370" s="283">
        <f>+FA16+(FA16*10%)</f>
        <v>0</v>
      </c>
      <c r="E370" s="314">
        <f>+D370/$D$373</f>
        <v>0</v>
      </c>
      <c r="F370" s="283">
        <f>'CAT 2019'!E40</f>
        <v>0</v>
      </c>
    </row>
    <row r="371" spans="2:16">
      <c r="C371" s="262" t="s">
        <v>244</v>
      </c>
      <c r="D371" s="283">
        <f>+FA17+(FA17*10%)</f>
        <v>3248326358.5238433</v>
      </c>
      <c r="E371" s="314">
        <f>+D371/$D$373</f>
        <v>0.5153280703977694</v>
      </c>
      <c r="F371" s="283">
        <f>'CAT 2019'!E41</f>
        <v>4362895986.3187761</v>
      </c>
    </row>
    <row r="372" spans="2:16">
      <c r="C372" s="262" t="s">
        <v>245</v>
      </c>
      <c r="D372" s="283">
        <f>+FA18+(FA18*10%)</f>
        <v>479685994.95453131</v>
      </c>
      <c r="E372" s="314">
        <f>+D372/$D$373</f>
        <v>7.6099391161264782E-2</v>
      </c>
      <c r="F372" s="283">
        <f>'CAT 2019'!E42</f>
        <v>657292113.0474534</v>
      </c>
    </row>
    <row r="373" spans="2:16">
      <c r="D373" s="283">
        <f>SUM(D368:D372)</f>
        <v>6303414358.9665861</v>
      </c>
      <c r="E373" s="314">
        <f>SUM(E368:E372)</f>
        <v>1</v>
      </c>
      <c r="F373" s="283">
        <f>'CAT 2019'!E43</f>
        <v>7312230429.3152981</v>
      </c>
    </row>
    <row r="377" spans="2:16">
      <c r="B377" s="262" t="s">
        <v>13</v>
      </c>
      <c r="D377" s="283">
        <f>+'catatan 2019'!E33</f>
        <v>2068844789.460568</v>
      </c>
      <c r="E377" s="283">
        <f>+D377+(D377*E8%)</f>
        <v>2110221685.2497792</v>
      </c>
      <c r="F377" s="283">
        <f>+E377+(E377*F8%)</f>
        <v>2152426118.9547749</v>
      </c>
      <c r="G377" s="283">
        <f>+'catatan 2019'!E75</f>
        <v>2155230908.9306436</v>
      </c>
      <c r="H377" s="283">
        <f>+G377+(G377*H8%)</f>
        <v>2176783218.0199499</v>
      </c>
      <c r="I377" s="283">
        <f>+H377+(H377*I8%)</f>
        <v>2198551050.2001495</v>
      </c>
      <c r="J377" s="283">
        <f>+'catatan 2019'!E116</f>
        <v>2212821655.2440267</v>
      </c>
      <c r="K377" s="283">
        <f>+J377+(J377*K8%)</f>
        <v>2257078088.348907</v>
      </c>
      <c r="L377" s="283">
        <f>+K377+(K377*L8%)</f>
        <v>2302219650.1158853</v>
      </c>
      <c r="M377" s="283">
        <f>+'catatan 2019'!E158</f>
        <v>2518339231.317399</v>
      </c>
      <c r="N377" s="283">
        <f>+M377+(M377*N8%)</f>
        <v>2619072800.5700951</v>
      </c>
      <c r="O377" s="283">
        <f>+N377+(N377*O8%)</f>
        <v>2671454256.5814972</v>
      </c>
      <c r="P377" s="283">
        <v>20250826591.71981</v>
      </c>
    </row>
    <row r="378" spans="2:16">
      <c r="B378" s="262" t="s">
        <v>14</v>
      </c>
      <c r="D378" s="283">
        <f>+'catatan 2019'!E34</f>
        <v>565940224.16176283</v>
      </c>
      <c r="E378" s="283">
        <f>+D378+(D378*E8%)</f>
        <v>577259028.64499807</v>
      </c>
      <c r="F378" s="283">
        <f>+E378+(E378*F8%)</f>
        <v>588804209.21789801</v>
      </c>
      <c r="G378" s="283">
        <f>+'catatan 2019'!E76</f>
        <v>589571469.99828911</v>
      </c>
      <c r="H378" s="283">
        <f>+G378+(G378*H8%)</f>
        <v>595467184.69827199</v>
      </c>
      <c r="I378" s="283">
        <f>+H378+(H378*I8%)</f>
        <v>601421856.54525471</v>
      </c>
      <c r="J378" s="283">
        <f>+'catatan 2019'!E117</f>
        <v>605325633.88930666</v>
      </c>
      <c r="K378" s="283">
        <f>+J378+(J378*K8%)</f>
        <v>617432146.56709278</v>
      </c>
      <c r="L378" s="283">
        <f>+K378+(K378*L8%)</f>
        <v>629780789.49843466</v>
      </c>
      <c r="M378" s="283">
        <f>+'catatan 2019'!E159</f>
        <v>688901108.65143514</v>
      </c>
      <c r="N378" s="283">
        <f>+M378+(M378*N8%)</f>
        <v>716457152.99749255</v>
      </c>
      <c r="O378" s="283">
        <f>+N378+(N378*O8%)</f>
        <v>730786296.05744243</v>
      </c>
      <c r="P378" s="283">
        <v>5333486064.6203537</v>
      </c>
    </row>
    <row r="379" spans="2:16">
      <c r="B379" s="262" t="s">
        <v>252</v>
      </c>
      <c r="D379" s="283">
        <f>+'catatan 2019'!E35</f>
        <v>0</v>
      </c>
      <c r="E379" s="283">
        <f>+D379+(D379*E9%)</f>
        <v>0</v>
      </c>
      <c r="F379" s="283">
        <f>+E379+(E379*F9%)</f>
        <v>0</v>
      </c>
      <c r="G379" s="283">
        <f>+'catatan 2019'!E77</f>
        <v>0</v>
      </c>
      <c r="H379" s="283">
        <f>+G379+(G379*H9%)</f>
        <v>0</v>
      </c>
      <c r="I379" s="283">
        <f>+H379+(H379*I9%)</f>
        <v>0</v>
      </c>
      <c r="J379" s="283">
        <f>+'catatan 2019'!E118</f>
        <v>0</v>
      </c>
      <c r="K379" s="283">
        <f>+J379+(J379*K9%)</f>
        <v>0</v>
      </c>
      <c r="L379" s="283">
        <f>+K379+(K379*L9%)</f>
        <v>0</v>
      </c>
      <c r="M379" s="283">
        <f>+'catatan 2019'!E160</f>
        <v>0</v>
      </c>
      <c r="N379" s="283">
        <f>+M379+(M379*N9%)</f>
        <v>0</v>
      </c>
      <c r="O379" s="283">
        <f>+N379+(N379*O9%)</f>
        <v>0</v>
      </c>
      <c r="P379" s="283">
        <v>1200000000</v>
      </c>
    </row>
    <row r="380" spans="2:16">
      <c r="B380" s="262" t="s">
        <v>244</v>
      </c>
      <c r="D380" s="283">
        <f>+'catatan 2019'!E36</f>
        <v>4183923878.8314323</v>
      </c>
      <c r="E380" s="283">
        <f>+D380+(D380*E8%)</f>
        <v>4267602356.408061</v>
      </c>
      <c r="F380" s="283">
        <f>+E380+(E380*F8%)</f>
        <v>4352954403.5362225</v>
      </c>
      <c r="G380" s="283">
        <f>+'catatan 2019'!E78</f>
        <v>4358626664.6042957</v>
      </c>
      <c r="H380" s="283">
        <f>+G380+(G380*H8%)</f>
        <v>4402212931.2503386</v>
      </c>
      <c r="I380" s="283">
        <f>+H380+(H380*I8%)</f>
        <v>4446235060.5628424</v>
      </c>
      <c r="J380" s="283">
        <f>+'catatan 2019'!E119</f>
        <v>4475095188.4528704</v>
      </c>
      <c r="K380" s="283">
        <f>+J380+(J380*K8%)</f>
        <v>4564597092.2219276</v>
      </c>
      <c r="L380" s="283">
        <f>+K380+(K380*L8%)</f>
        <v>4655889034.0663662</v>
      </c>
      <c r="M380" s="283">
        <f>+'catatan 2019'!E161</f>
        <v>5092958011.4389172</v>
      </c>
      <c r="N380" s="283">
        <f>+M380+(M380*N8%)</f>
        <v>5296676331.8964739</v>
      </c>
      <c r="O380" s="283">
        <f>+N380+(N380*O8%)</f>
        <v>5402609858.5344038</v>
      </c>
      <c r="P380" s="283">
        <v>31950340441.115665</v>
      </c>
    </row>
    <row r="381" spans="2:16">
      <c r="B381" s="262" t="s">
        <v>245</v>
      </c>
      <c r="D381" s="283">
        <f>+'catatan 2019'!E37</f>
        <v>630329069.44618511</v>
      </c>
      <c r="E381" s="283">
        <f>+D381+(D381*E8%)</f>
        <v>642935650.83510876</v>
      </c>
      <c r="F381" s="283">
        <f>+E381+(E381*F8%)</f>
        <v>655794363.85181093</v>
      </c>
      <c r="G381" s="283">
        <f>+'catatan 2019'!E79</f>
        <v>656648918.3667208</v>
      </c>
      <c r="H381" s="283">
        <f>+G381+(G381*H8%)</f>
        <v>663215407.55038798</v>
      </c>
      <c r="I381" s="283">
        <f>+H381+(H381*I8%)</f>
        <v>669847561.6258918</v>
      </c>
      <c r="J381" s="283">
        <f>+'catatan 2019'!E120</f>
        <v>674195484.31374454</v>
      </c>
      <c r="K381" s="283">
        <f>+J381+(J381*K8%)</f>
        <v>687679394.00001943</v>
      </c>
      <c r="L381" s="283">
        <f>+K381+(K381*L8%)</f>
        <v>701432981.88001978</v>
      </c>
      <c r="M381" s="283">
        <f>+'catatan 2019'!E162</f>
        <v>767279610.49219751</v>
      </c>
      <c r="N381" s="283">
        <f>+M381+(M381*N8%)</f>
        <v>797970794.91188538</v>
      </c>
      <c r="O381" s="283">
        <f>+N381+(N381*O8%)</f>
        <v>813930210.81012309</v>
      </c>
      <c r="P381" s="283">
        <v>4803183287.2271242</v>
      </c>
    </row>
    <row r="382" spans="2:16">
      <c r="D382" s="283">
        <f>SUM(D377:D381)</f>
        <v>7449037961.8999481</v>
      </c>
      <c r="G382" s="283">
        <f>SUM(G377:G381)</f>
        <v>7760077961.8999491</v>
      </c>
      <c r="J382" s="283">
        <f>SUM(J377:J381)</f>
        <v>7967437961.8999481</v>
      </c>
      <c r="M382" s="283">
        <f>SUM(M376:M381)</f>
        <v>9067477961.8999481</v>
      </c>
    </row>
    <row r="384" spans="2:16">
      <c r="C384" s="262" t="s">
        <v>302</v>
      </c>
    </row>
    <row r="385" spans="7:7">
      <c r="G385" s="283">
        <v>1886476253.4832189</v>
      </c>
    </row>
    <row r="386" spans="7:7">
      <c r="G386" s="283">
        <v>496843660.36218607</v>
      </c>
    </row>
    <row r="387" spans="7:7">
      <c r="G387" s="283">
        <v>0</v>
      </c>
    </row>
    <row r="388" spans="7:7">
      <c r="G388" s="283">
        <v>4536642604.8775396</v>
      </c>
    </row>
    <row r="389" spans="7:7">
      <c r="G389" s="283">
        <v>683467910.59235394</v>
      </c>
    </row>
    <row r="508" spans="4:167">
      <c r="D508" s="588" t="s">
        <v>3</v>
      </c>
      <c r="E508" s="589"/>
      <c r="F508" s="589"/>
      <c r="G508" s="589"/>
      <c r="H508" s="589"/>
      <c r="I508" s="589"/>
      <c r="J508" s="589"/>
      <c r="K508" s="589"/>
      <c r="L508" s="589"/>
      <c r="M508" s="589"/>
      <c r="N508" s="589"/>
      <c r="O508" s="613"/>
      <c r="P508" s="316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  <c r="AB508" s="162"/>
      <c r="AC508" s="162"/>
      <c r="AD508" s="162"/>
      <c r="AE508" s="162"/>
      <c r="AF508" s="162"/>
      <c r="AG508" s="162"/>
      <c r="AH508" s="162"/>
      <c r="AI508" s="162"/>
      <c r="AJ508" s="162"/>
      <c r="AK508" s="162"/>
      <c r="AL508" s="162"/>
      <c r="AM508" s="162"/>
      <c r="AN508" s="162"/>
      <c r="AO508" s="162"/>
      <c r="AP508" s="162"/>
      <c r="AQ508" s="162"/>
      <c r="AR508" s="162"/>
      <c r="AS508" s="162"/>
      <c r="AT508" s="162"/>
      <c r="AU508" s="162"/>
      <c r="AV508" s="162"/>
      <c r="AW508" s="162"/>
      <c r="AX508" s="162"/>
      <c r="AY508" s="162"/>
      <c r="AZ508" s="162"/>
      <c r="BA508" s="162"/>
      <c r="BB508" s="162"/>
      <c r="BC508" s="162"/>
      <c r="BD508" s="162"/>
      <c r="BE508" s="162"/>
      <c r="BF508" s="162"/>
      <c r="BG508" s="162"/>
      <c r="BH508" s="162"/>
      <c r="BI508" s="162"/>
      <c r="BJ508" s="162"/>
      <c r="BK508" s="162"/>
      <c r="BL508" s="162"/>
      <c r="BM508" s="162"/>
      <c r="BN508" s="162"/>
      <c r="BO508" s="162"/>
      <c r="BP508" s="162"/>
      <c r="BQ508" s="162"/>
      <c r="BR508" s="162"/>
      <c r="BS508" s="162"/>
      <c r="BT508" s="162"/>
      <c r="BU508" s="162"/>
      <c r="BV508" s="162"/>
      <c r="BW508" s="162"/>
      <c r="BX508" s="162"/>
      <c r="BY508" s="162"/>
      <c r="BZ508" s="162"/>
      <c r="CA508" s="162"/>
      <c r="CB508" s="162"/>
      <c r="CC508" s="162"/>
      <c r="CD508" s="162"/>
      <c r="CE508" s="162"/>
      <c r="CF508" s="162"/>
      <c r="CG508" s="162"/>
      <c r="CH508" s="162"/>
      <c r="CI508" s="162"/>
      <c r="CJ508" s="162"/>
      <c r="CK508" s="162"/>
      <c r="CL508" s="162"/>
      <c r="CM508" s="162"/>
      <c r="CN508" s="162"/>
      <c r="CO508" s="162"/>
      <c r="CP508" s="162"/>
      <c r="CQ508" s="162"/>
      <c r="CR508" s="162"/>
      <c r="CS508" s="162"/>
      <c r="CT508" s="162"/>
      <c r="CU508" s="162"/>
      <c r="CV508" s="162"/>
      <c r="CW508" s="162"/>
      <c r="CX508" s="162"/>
      <c r="CY508" s="162"/>
      <c r="CZ508" s="162"/>
      <c r="DA508" s="162"/>
      <c r="DB508" s="162"/>
      <c r="DC508" s="162"/>
      <c r="DD508" s="162"/>
      <c r="DE508" s="162"/>
      <c r="DF508" s="162"/>
      <c r="DG508" s="162"/>
      <c r="DH508" s="162"/>
      <c r="DI508" s="162"/>
      <c r="DJ508" s="162"/>
      <c r="DK508" s="162"/>
      <c r="DL508" s="162"/>
      <c r="DM508" s="162"/>
      <c r="DN508" s="162"/>
      <c r="DO508" s="162"/>
      <c r="DP508" s="162"/>
      <c r="DQ508" s="162"/>
      <c r="DR508" s="162"/>
      <c r="DS508" s="162"/>
      <c r="DT508" s="162"/>
      <c r="DU508" s="162"/>
      <c r="DV508" s="162"/>
      <c r="DW508" s="162"/>
      <c r="DX508" s="162"/>
      <c r="DY508" s="162"/>
      <c r="DZ508" s="162"/>
      <c r="EA508" s="162"/>
      <c r="EB508" s="162"/>
      <c r="EC508" s="162"/>
      <c r="ED508" s="162"/>
      <c r="EE508" s="162"/>
      <c r="EF508" s="162"/>
      <c r="EG508" s="162"/>
      <c r="EH508" s="162"/>
      <c r="EI508" s="162"/>
      <c r="EJ508" s="162"/>
      <c r="EK508" s="162"/>
      <c r="EL508" s="162"/>
      <c r="EM508" s="162"/>
      <c r="EN508" s="162"/>
      <c r="EO508" s="162"/>
      <c r="EP508" s="162"/>
      <c r="EQ508" s="162"/>
      <c r="ER508" s="162"/>
      <c r="ES508" s="162"/>
      <c r="ET508" s="162"/>
      <c r="EU508" s="162"/>
      <c r="EV508" s="162"/>
      <c r="EW508" s="162"/>
      <c r="EX508" s="162"/>
      <c r="EY508" s="162"/>
      <c r="EZ508" s="78"/>
      <c r="FA508" s="78"/>
      <c r="FB508" s="78"/>
      <c r="FC508" s="78"/>
      <c r="FD508" s="78"/>
      <c r="FE508" s="78"/>
      <c r="FF508" s="78"/>
      <c r="FG508" s="78"/>
      <c r="FH508" s="78"/>
      <c r="FI508" s="78"/>
      <c r="FJ508" s="78"/>
      <c r="FK508" s="78"/>
    </row>
    <row r="509" spans="4:167">
      <c r="D509" s="619" t="s">
        <v>126</v>
      </c>
      <c r="E509" s="621"/>
      <c r="F509" s="621"/>
      <c r="G509" s="621"/>
      <c r="H509" s="621"/>
      <c r="I509" s="621"/>
      <c r="J509" s="621"/>
      <c r="K509" s="621"/>
      <c r="L509" s="621"/>
      <c r="M509" s="621"/>
      <c r="N509" s="621"/>
      <c r="O509" s="622"/>
      <c r="P509" s="380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  <c r="AC509" s="168"/>
      <c r="AD509" s="168"/>
      <c r="AE509" s="168"/>
      <c r="AF509" s="168"/>
      <c r="AG509" s="168"/>
      <c r="AH509" s="168"/>
      <c r="AI509" s="168"/>
      <c r="AJ509" s="168"/>
      <c r="AK509" s="168"/>
      <c r="AL509" s="168"/>
      <c r="AM509" s="168"/>
      <c r="AN509" s="168"/>
      <c r="AO509" s="168"/>
      <c r="AP509" s="168"/>
      <c r="AQ509" s="168"/>
      <c r="AR509" s="168"/>
      <c r="AS509" s="168"/>
      <c r="AT509" s="168"/>
      <c r="AU509" s="168"/>
      <c r="AV509" s="168"/>
      <c r="AW509" s="168"/>
      <c r="AX509" s="168"/>
      <c r="AY509" s="168"/>
      <c r="AZ509" s="168"/>
      <c r="BA509" s="168"/>
      <c r="BB509" s="168"/>
      <c r="BC509" s="168"/>
      <c r="BD509" s="168"/>
      <c r="BE509" s="168"/>
      <c r="BF509" s="168"/>
      <c r="BG509" s="168"/>
      <c r="BH509" s="168"/>
      <c r="BI509" s="168"/>
      <c r="BJ509" s="168"/>
      <c r="BK509" s="168"/>
      <c r="BL509" s="168"/>
      <c r="BM509" s="168"/>
      <c r="BN509" s="168"/>
      <c r="BO509" s="168"/>
      <c r="BP509" s="168"/>
      <c r="BQ509" s="168"/>
      <c r="BR509" s="168"/>
      <c r="BS509" s="168"/>
      <c r="BT509" s="168"/>
      <c r="BU509" s="168"/>
      <c r="BV509" s="168"/>
      <c r="BW509" s="168"/>
      <c r="BX509" s="168"/>
      <c r="BY509" s="168"/>
      <c r="BZ509" s="168"/>
      <c r="CA509" s="168"/>
      <c r="CB509" s="168"/>
      <c r="CC509" s="168"/>
      <c r="CD509" s="168"/>
      <c r="CE509" s="168"/>
      <c r="CF509" s="168"/>
      <c r="CG509" s="168"/>
      <c r="CH509" s="168"/>
      <c r="CI509" s="168"/>
      <c r="CJ509" s="168"/>
      <c r="CK509" s="168"/>
      <c r="CL509" s="168"/>
      <c r="CM509" s="168"/>
      <c r="CN509" s="168"/>
      <c r="CO509" s="168"/>
      <c r="CP509" s="168"/>
      <c r="CQ509" s="168"/>
      <c r="CR509" s="168"/>
      <c r="CS509" s="168"/>
      <c r="CT509" s="168"/>
      <c r="CU509" s="168"/>
      <c r="CV509" s="168"/>
      <c r="CW509" s="168"/>
      <c r="CX509" s="168"/>
      <c r="CY509" s="168"/>
      <c r="CZ509" s="168"/>
      <c r="DA509" s="168"/>
      <c r="DB509" s="168"/>
      <c r="DC509" s="168"/>
      <c r="DD509" s="168"/>
      <c r="DE509" s="168"/>
      <c r="DF509" s="168"/>
      <c r="DG509" s="168"/>
      <c r="DH509" s="168"/>
      <c r="DI509" s="168"/>
      <c r="DJ509" s="168"/>
      <c r="DK509" s="168"/>
      <c r="DL509" s="168"/>
      <c r="DM509" s="168"/>
      <c r="DN509" s="168"/>
      <c r="DO509" s="168"/>
      <c r="DP509" s="168"/>
      <c r="DQ509" s="168"/>
      <c r="DR509" s="168"/>
      <c r="DS509" s="168"/>
      <c r="DT509" s="168"/>
      <c r="DU509" s="168"/>
      <c r="DV509" s="168"/>
      <c r="DW509" s="168"/>
      <c r="DX509" s="168"/>
      <c r="DY509" s="168"/>
      <c r="DZ509" s="168"/>
      <c r="EA509" s="168"/>
      <c r="EB509" s="168"/>
      <c r="EC509" s="168"/>
      <c r="ED509" s="168"/>
      <c r="EE509" s="168"/>
      <c r="EF509" s="168"/>
      <c r="EG509" s="168"/>
      <c r="EH509" s="168"/>
      <c r="EI509" s="168"/>
      <c r="EJ509" s="168"/>
      <c r="EK509" s="168"/>
      <c r="EL509" s="168"/>
      <c r="EM509" s="168"/>
      <c r="EN509" s="168"/>
      <c r="EO509" s="168"/>
      <c r="EP509" s="168"/>
      <c r="EQ509" s="168"/>
      <c r="ER509" s="168"/>
      <c r="ES509" s="168"/>
      <c r="ET509" s="168"/>
      <c r="EU509" s="168"/>
      <c r="EV509" s="168"/>
      <c r="EW509" s="168"/>
      <c r="EX509" s="168"/>
      <c r="EY509" s="168"/>
      <c r="EZ509" s="127"/>
      <c r="FA509" s="127"/>
      <c r="FB509" s="127"/>
      <c r="FC509" s="127"/>
      <c r="FD509" s="127"/>
      <c r="FE509" s="127"/>
      <c r="FF509" s="127"/>
      <c r="FG509" s="127"/>
      <c r="FH509" s="127"/>
      <c r="FI509" s="127"/>
      <c r="FJ509" s="127"/>
      <c r="FK509" s="127"/>
    </row>
    <row r="510" spans="4:167">
      <c r="D510" s="317" t="s">
        <v>4</v>
      </c>
      <c r="E510" s="317" t="s">
        <v>5</v>
      </c>
      <c r="F510" s="317" t="s">
        <v>6</v>
      </c>
      <c r="G510" s="317" t="s">
        <v>7</v>
      </c>
      <c r="H510" s="317" t="s">
        <v>8</v>
      </c>
      <c r="I510" s="317" t="s">
        <v>9</v>
      </c>
      <c r="J510" s="317" t="s">
        <v>127</v>
      </c>
      <c r="K510" s="317" t="s">
        <v>129</v>
      </c>
      <c r="L510" s="317" t="s">
        <v>130</v>
      </c>
      <c r="M510" s="317" t="s">
        <v>131</v>
      </c>
      <c r="N510" s="317" t="s">
        <v>132</v>
      </c>
      <c r="O510" s="381" t="s">
        <v>143</v>
      </c>
      <c r="P510" s="282"/>
      <c r="Q510" s="163"/>
      <c r="R510" s="163"/>
      <c r="S510" s="163"/>
      <c r="T510" s="163"/>
      <c r="U510" s="163"/>
      <c r="V510" s="163"/>
      <c r="W510" s="163"/>
      <c r="X510" s="163"/>
      <c r="Y510" s="163"/>
      <c r="Z510" s="163"/>
      <c r="AA510" s="163"/>
      <c r="AB510" s="163"/>
      <c r="AC510" s="163"/>
      <c r="AD510" s="163"/>
      <c r="AE510" s="163"/>
      <c r="AF510" s="163"/>
      <c r="AG510" s="163"/>
      <c r="AH510" s="163"/>
      <c r="AI510" s="163"/>
      <c r="AJ510" s="163"/>
      <c r="AK510" s="163"/>
      <c r="AL510" s="163"/>
      <c r="AM510" s="163"/>
      <c r="AN510" s="163"/>
      <c r="AO510" s="163"/>
      <c r="AP510" s="163"/>
      <c r="AQ510" s="163"/>
      <c r="AR510" s="163"/>
      <c r="AS510" s="163"/>
      <c r="AT510" s="163"/>
      <c r="AU510" s="163"/>
      <c r="AV510" s="163"/>
      <c r="AW510" s="163"/>
      <c r="AX510" s="163"/>
      <c r="AY510" s="163"/>
      <c r="AZ510" s="163"/>
      <c r="BA510" s="163"/>
      <c r="BB510" s="163"/>
      <c r="BC510" s="163"/>
      <c r="BD510" s="163"/>
      <c r="BE510" s="163"/>
      <c r="BF510" s="163"/>
      <c r="BG510" s="163"/>
      <c r="BH510" s="163"/>
      <c r="BI510" s="163"/>
      <c r="BJ510" s="163"/>
      <c r="BK510" s="163"/>
      <c r="BL510" s="163"/>
      <c r="BM510" s="163"/>
      <c r="BN510" s="163"/>
      <c r="BO510" s="163"/>
      <c r="BP510" s="163"/>
      <c r="BQ510" s="163"/>
      <c r="BR510" s="163"/>
      <c r="BS510" s="163"/>
      <c r="BT510" s="163"/>
      <c r="BU510" s="163"/>
      <c r="BV510" s="163"/>
      <c r="BW510" s="163"/>
      <c r="BX510" s="163"/>
      <c r="BY510" s="163"/>
      <c r="BZ510" s="163"/>
      <c r="CA510" s="163"/>
      <c r="CB510" s="163"/>
      <c r="CC510" s="163"/>
      <c r="CD510" s="163"/>
      <c r="CE510" s="163"/>
      <c r="CF510" s="163"/>
      <c r="CG510" s="163"/>
      <c r="CH510" s="163"/>
      <c r="CI510" s="163"/>
      <c r="CJ510" s="163"/>
      <c r="CK510" s="163"/>
      <c r="CL510" s="163"/>
      <c r="CM510" s="163"/>
      <c r="CN510" s="163"/>
      <c r="CO510" s="163"/>
      <c r="CP510" s="163"/>
      <c r="CQ510" s="163"/>
      <c r="CR510" s="163"/>
      <c r="CS510" s="163"/>
      <c r="CT510" s="163"/>
      <c r="CU510" s="163"/>
      <c r="CV510" s="163"/>
      <c r="CW510" s="163"/>
      <c r="CX510" s="163"/>
      <c r="CY510" s="163"/>
      <c r="CZ510" s="163"/>
      <c r="DA510" s="163"/>
      <c r="DB510" s="163"/>
      <c r="DC510" s="163"/>
      <c r="DD510" s="163"/>
      <c r="DE510" s="163"/>
      <c r="DF510" s="163"/>
      <c r="DG510" s="163"/>
      <c r="DH510" s="163"/>
      <c r="DI510" s="163"/>
      <c r="DJ510" s="163"/>
      <c r="DK510" s="163"/>
      <c r="DL510" s="163"/>
      <c r="DM510" s="163"/>
      <c r="DN510" s="163"/>
      <c r="DO510" s="163"/>
      <c r="DP510" s="163"/>
      <c r="DQ510" s="163"/>
      <c r="DR510" s="163"/>
      <c r="DS510" s="163"/>
      <c r="DT510" s="163"/>
      <c r="DU510" s="163"/>
      <c r="DV510" s="163"/>
      <c r="DW510" s="163"/>
      <c r="DX510" s="163"/>
      <c r="DY510" s="163"/>
      <c r="DZ510" s="163"/>
      <c r="EA510" s="163"/>
      <c r="EB510" s="163"/>
      <c r="EC510" s="163"/>
      <c r="ED510" s="163"/>
      <c r="EE510" s="163"/>
      <c r="EF510" s="163"/>
      <c r="EG510" s="163"/>
      <c r="EH510" s="163"/>
      <c r="EI510" s="163"/>
      <c r="EJ510" s="163"/>
      <c r="EK510" s="163"/>
      <c r="EL510" s="163"/>
      <c r="EM510" s="163"/>
      <c r="EN510" s="163"/>
      <c r="EO510" s="163"/>
      <c r="EP510" s="163"/>
      <c r="EQ510" s="163"/>
      <c r="ER510" s="163"/>
      <c r="ES510" s="163"/>
      <c r="ET510" s="163"/>
      <c r="EU510" s="163"/>
      <c r="EV510" s="163"/>
      <c r="EW510" s="163"/>
      <c r="EX510" s="163"/>
      <c r="EY510" s="163"/>
      <c r="EZ510" s="80"/>
      <c r="FA510" s="80"/>
      <c r="FB510" s="80"/>
      <c r="FC510" s="80"/>
      <c r="FD510" s="80"/>
      <c r="FE510" s="80"/>
      <c r="FF510" s="80"/>
      <c r="FG510" s="80"/>
      <c r="FH510" s="80"/>
      <c r="FI510" s="80"/>
      <c r="FJ510" s="80"/>
      <c r="FK510" s="80"/>
    </row>
    <row r="511" spans="4:167">
      <c r="D511" s="319">
        <f>D512-'CF 2018'!O255</f>
        <v>0</v>
      </c>
      <c r="E511" s="366">
        <f>E512-D512</f>
        <v>85.62</v>
      </c>
      <c r="F511" s="366">
        <f t="shared" ref="F511" si="58">F512-E512</f>
        <v>3.8399999999999892</v>
      </c>
      <c r="G511" s="366">
        <f>G512-F512</f>
        <v>-1.0599999999999881</v>
      </c>
      <c r="H511" s="366">
        <f t="shared" ref="H511" si="59">H512-G512</f>
        <v>-3.1400000000000006</v>
      </c>
      <c r="I511" s="366">
        <f t="shared" ref="I511" si="60">I512-H512</f>
        <v>-10.969999999999999</v>
      </c>
      <c r="J511" s="366">
        <f t="shared" ref="J511" si="61">J512-I512</f>
        <v>1.6699999999999875</v>
      </c>
      <c r="K511" s="366">
        <f t="shared" ref="K511" si="62">K512-J512</f>
        <v>4.0400000000000063</v>
      </c>
      <c r="L511" s="366">
        <f t="shared" ref="L511" si="63">L512-K512</f>
        <v>0</v>
      </c>
      <c r="M511" s="366">
        <f t="shared" ref="M511" si="64">M512-L512</f>
        <v>0</v>
      </c>
      <c r="N511" s="366">
        <f t="shared" ref="N511" si="65">N512-M512</f>
        <v>0</v>
      </c>
      <c r="O511" s="366">
        <f t="shared" ref="O511" si="66">O512-N512</f>
        <v>0</v>
      </c>
      <c r="P511" s="372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  <c r="AH511" s="164"/>
      <c r="AI511" s="164"/>
      <c r="AJ511" s="164"/>
      <c r="AK511" s="164"/>
      <c r="AL511" s="164"/>
      <c r="AM511" s="164"/>
      <c r="AN511" s="164"/>
      <c r="AO511" s="164"/>
      <c r="AP511" s="164"/>
      <c r="AQ511" s="164"/>
      <c r="AR511" s="164"/>
      <c r="AS511" s="164"/>
      <c r="AT511" s="164"/>
      <c r="AU511" s="164"/>
      <c r="AV511" s="164"/>
      <c r="AW511" s="164"/>
      <c r="AX511" s="164"/>
      <c r="AY511" s="164"/>
      <c r="AZ511" s="164"/>
      <c r="BA511" s="164"/>
      <c r="BB511" s="164"/>
      <c r="BC511" s="164"/>
      <c r="BD511" s="164"/>
      <c r="BE511" s="164"/>
      <c r="BF511" s="164"/>
      <c r="BG511" s="164"/>
      <c r="BH511" s="164"/>
      <c r="BI511" s="164"/>
      <c r="BJ511" s="164"/>
      <c r="BK511" s="164"/>
      <c r="BL511" s="164"/>
      <c r="BM511" s="164"/>
      <c r="BN511" s="164"/>
      <c r="BO511" s="164"/>
      <c r="BP511" s="164"/>
      <c r="BQ511" s="164"/>
      <c r="BR511" s="164"/>
      <c r="BS511" s="164"/>
      <c r="BT511" s="164"/>
      <c r="BU511" s="164"/>
      <c r="BV511" s="164"/>
      <c r="BW511" s="164"/>
      <c r="BX511" s="164"/>
      <c r="BY511" s="164"/>
      <c r="BZ511" s="164"/>
      <c r="CA511" s="164"/>
      <c r="CB511" s="164"/>
      <c r="CC511" s="164"/>
      <c r="CD511" s="164"/>
      <c r="CE511" s="164"/>
      <c r="CF511" s="164"/>
      <c r="CG511" s="164"/>
      <c r="CH511" s="164"/>
      <c r="CI511" s="164"/>
      <c r="CJ511" s="164"/>
      <c r="CK511" s="164"/>
      <c r="CL511" s="164"/>
      <c r="CM511" s="164"/>
      <c r="CN511" s="164"/>
      <c r="CO511" s="164"/>
      <c r="CP511" s="164"/>
      <c r="CQ511" s="164"/>
      <c r="CR511" s="164"/>
      <c r="CS511" s="164"/>
      <c r="CT511" s="164"/>
      <c r="CU511" s="164"/>
      <c r="CV511" s="164"/>
      <c r="CW511" s="164"/>
      <c r="CX511" s="164"/>
      <c r="CY511" s="164"/>
      <c r="CZ511" s="164"/>
      <c r="DA511" s="164"/>
      <c r="DB511" s="164"/>
      <c r="DC511" s="164"/>
      <c r="DD511" s="164"/>
      <c r="DE511" s="164"/>
      <c r="DF511" s="164"/>
      <c r="DG511" s="164"/>
      <c r="DH511" s="164"/>
      <c r="DI511" s="164"/>
      <c r="DJ511" s="164"/>
      <c r="DK511" s="164"/>
      <c r="DL511" s="164"/>
      <c r="DM511" s="164"/>
      <c r="DN511" s="164"/>
      <c r="DO511" s="164"/>
      <c r="DP511" s="164"/>
      <c r="DQ511" s="164"/>
      <c r="DR511" s="164"/>
      <c r="DS511" s="164"/>
      <c r="DT511" s="164"/>
      <c r="DU511" s="164"/>
      <c r="DV511" s="164"/>
      <c r="DW511" s="164"/>
      <c r="DX511" s="164"/>
      <c r="DY511" s="164"/>
      <c r="DZ511" s="164"/>
      <c r="EA511" s="164"/>
      <c r="EB511" s="164"/>
      <c r="EC511" s="164"/>
      <c r="ED511" s="164"/>
      <c r="EE511" s="164"/>
      <c r="EF511" s="164"/>
      <c r="EG511" s="164"/>
      <c r="EH511" s="164"/>
      <c r="EI511" s="164"/>
      <c r="EJ511" s="164"/>
      <c r="EK511" s="164"/>
      <c r="EL511" s="164"/>
      <c r="EM511" s="164"/>
      <c r="EN511" s="164"/>
      <c r="EO511" s="164"/>
      <c r="EP511" s="164"/>
      <c r="EQ511" s="164"/>
      <c r="ER511" s="164"/>
      <c r="ES511" s="164"/>
      <c r="ET511" s="164"/>
      <c r="EU511" s="164"/>
      <c r="EV511" s="164"/>
      <c r="EW511" s="164"/>
      <c r="EX511" s="164"/>
      <c r="EY511" s="164"/>
      <c r="EZ511" s="123"/>
      <c r="FA511" s="123"/>
      <c r="FB511" s="123"/>
      <c r="FC511" s="123"/>
      <c r="FD511" s="123"/>
      <c r="FE511" s="123"/>
      <c r="FF511" s="123"/>
      <c r="FG511" s="123"/>
      <c r="FH511" s="123"/>
      <c r="FI511" s="123"/>
      <c r="FJ511" s="123"/>
      <c r="FK511" s="123"/>
    </row>
    <row r="512" spans="4:167">
      <c r="D512" s="275">
        <f>'CF 2018'!D255</f>
        <v>0</v>
      </c>
      <c r="E512" s="275">
        <v>85.62</v>
      </c>
      <c r="F512" s="275">
        <v>89.46</v>
      </c>
      <c r="G512" s="275">
        <v>88.4</v>
      </c>
      <c r="H512" s="275">
        <v>85.26</v>
      </c>
      <c r="I512" s="275">
        <v>74.290000000000006</v>
      </c>
      <c r="J512" s="275">
        <v>75.959999999999994</v>
      </c>
      <c r="K512" s="264">
        <v>80</v>
      </c>
      <c r="L512" s="264">
        <v>80</v>
      </c>
      <c r="M512" s="264">
        <v>80</v>
      </c>
      <c r="N512" s="264">
        <v>80</v>
      </c>
      <c r="O512" s="264">
        <v>80</v>
      </c>
      <c r="P512" s="282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  <c r="AC512" s="163"/>
      <c r="AD512" s="163"/>
      <c r="AE512" s="163"/>
      <c r="AF512" s="163"/>
      <c r="AG512" s="163"/>
      <c r="AH512" s="163"/>
      <c r="AI512" s="163"/>
      <c r="AJ512" s="163"/>
      <c r="AK512" s="163"/>
      <c r="AL512" s="163"/>
      <c r="AM512" s="163"/>
      <c r="AN512" s="163"/>
      <c r="AO512" s="163"/>
      <c r="AP512" s="163"/>
      <c r="AQ512" s="163"/>
      <c r="AR512" s="163"/>
      <c r="AS512" s="163"/>
      <c r="AT512" s="163"/>
      <c r="AU512" s="163"/>
      <c r="AV512" s="163"/>
      <c r="AW512" s="163"/>
      <c r="AX512" s="163"/>
      <c r="AY512" s="163"/>
      <c r="AZ512" s="163"/>
      <c r="BA512" s="163"/>
      <c r="BB512" s="163"/>
      <c r="BC512" s="163"/>
      <c r="BD512" s="163"/>
      <c r="BE512" s="163"/>
      <c r="BF512" s="163"/>
      <c r="BG512" s="163"/>
      <c r="BH512" s="163"/>
      <c r="BI512" s="163"/>
      <c r="BJ512" s="163"/>
      <c r="BK512" s="163"/>
      <c r="BL512" s="163"/>
      <c r="BM512" s="163"/>
      <c r="BN512" s="163"/>
      <c r="BO512" s="163"/>
      <c r="BP512" s="163"/>
      <c r="BQ512" s="163"/>
      <c r="BR512" s="163"/>
      <c r="BS512" s="163"/>
      <c r="BT512" s="163"/>
      <c r="BU512" s="163"/>
      <c r="BV512" s="163"/>
      <c r="BW512" s="163"/>
      <c r="BX512" s="163"/>
      <c r="BY512" s="163"/>
      <c r="BZ512" s="163"/>
      <c r="CA512" s="163"/>
      <c r="CB512" s="163"/>
      <c r="CC512" s="163"/>
      <c r="CD512" s="163"/>
      <c r="CE512" s="163"/>
      <c r="CF512" s="163"/>
      <c r="CG512" s="163"/>
      <c r="CH512" s="163"/>
      <c r="CI512" s="163"/>
      <c r="CJ512" s="163"/>
      <c r="CK512" s="163"/>
      <c r="CL512" s="163"/>
      <c r="CM512" s="163"/>
      <c r="CN512" s="163"/>
      <c r="CO512" s="163"/>
      <c r="CP512" s="163"/>
      <c r="CQ512" s="163"/>
      <c r="CR512" s="163"/>
      <c r="CS512" s="163"/>
      <c r="CT512" s="163"/>
      <c r="CU512" s="163"/>
      <c r="CV512" s="163"/>
      <c r="CW512" s="163"/>
      <c r="CX512" s="163"/>
      <c r="CY512" s="163"/>
      <c r="CZ512" s="163"/>
      <c r="DA512" s="163"/>
      <c r="DB512" s="163"/>
      <c r="DC512" s="163"/>
      <c r="DD512" s="163"/>
      <c r="DE512" s="163"/>
      <c r="DF512" s="163"/>
      <c r="DG512" s="163"/>
      <c r="DH512" s="163"/>
      <c r="DI512" s="163"/>
      <c r="DJ512" s="163"/>
      <c r="DK512" s="163"/>
      <c r="DL512" s="163"/>
      <c r="DM512" s="163"/>
      <c r="DN512" s="163"/>
      <c r="DO512" s="163"/>
      <c r="DP512" s="163"/>
      <c r="DQ512" s="163"/>
      <c r="DR512" s="163"/>
      <c r="DS512" s="163"/>
      <c r="DT512" s="163"/>
      <c r="DU512" s="163"/>
      <c r="DV512" s="163"/>
      <c r="DW512" s="163"/>
      <c r="DX512" s="163"/>
      <c r="DY512" s="163"/>
      <c r="DZ512" s="163"/>
      <c r="EA512" s="163"/>
      <c r="EB512" s="163"/>
      <c r="EC512" s="163"/>
      <c r="ED512" s="163"/>
      <c r="EE512" s="163"/>
      <c r="EF512" s="163"/>
      <c r="EG512" s="163"/>
      <c r="EH512" s="163"/>
      <c r="EI512" s="163"/>
      <c r="EJ512" s="163"/>
      <c r="EK512" s="163"/>
      <c r="EL512" s="163"/>
      <c r="EM512" s="163"/>
      <c r="EN512" s="163"/>
      <c r="EO512" s="163"/>
      <c r="EP512" s="163"/>
      <c r="EQ512" s="163"/>
      <c r="ER512" s="163"/>
      <c r="ES512" s="163"/>
      <c r="ET512" s="163"/>
      <c r="EU512" s="163"/>
      <c r="EV512" s="163"/>
      <c r="EW512" s="163"/>
      <c r="EX512" s="163"/>
      <c r="EY512" s="163"/>
      <c r="EZ512" s="80"/>
      <c r="FA512" s="80"/>
      <c r="FB512" s="80"/>
      <c r="FC512" s="80"/>
      <c r="FD512" s="80"/>
      <c r="FE512" s="80"/>
      <c r="FF512" s="80"/>
      <c r="FG512" s="80"/>
      <c r="FH512" s="80"/>
      <c r="FI512" s="80"/>
      <c r="FJ512" s="80"/>
      <c r="FK512" s="81"/>
    </row>
    <row r="513" spans="4:167">
      <c r="D513" s="275"/>
      <c r="E513" s="275"/>
      <c r="F513" s="275"/>
      <c r="G513" s="275"/>
      <c r="H513" s="275"/>
      <c r="I513" s="275"/>
      <c r="J513" s="275"/>
      <c r="K513" s="264"/>
      <c r="L513" s="264"/>
      <c r="M513" s="264"/>
      <c r="N513" s="264"/>
      <c r="O513" s="321"/>
      <c r="P513" s="282"/>
      <c r="Q513" s="163"/>
      <c r="R513" s="163"/>
      <c r="S513" s="163"/>
      <c r="T513" s="163"/>
      <c r="U513" s="163"/>
      <c r="V513" s="163"/>
      <c r="W513" s="163"/>
      <c r="X513" s="163"/>
      <c r="Y513" s="163"/>
      <c r="Z513" s="163"/>
      <c r="AA513" s="163"/>
      <c r="AB513" s="163"/>
      <c r="AC513" s="163"/>
      <c r="AD513" s="163"/>
      <c r="AE513" s="163"/>
      <c r="AF513" s="163"/>
      <c r="AG513" s="163"/>
      <c r="AH513" s="163"/>
      <c r="AI513" s="163"/>
      <c r="AJ513" s="163"/>
      <c r="AK513" s="163"/>
      <c r="AL513" s="163"/>
      <c r="AM513" s="163"/>
      <c r="AN513" s="163"/>
      <c r="AO513" s="163"/>
      <c r="AP513" s="163"/>
      <c r="AQ513" s="163"/>
      <c r="AR513" s="163"/>
      <c r="AS513" s="163"/>
      <c r="AT513" s="163"/>
      <c r="AU513" s="163"/>
      <c r="AV513" s="163"/>
      <c r="AW513" s="163"/>
      <c r="AX513" s="163"/>
      <c r="AY513" s="163"/>
      <c r="AZ513" s="163"/>
      <c r="BA513" s="163"/>
      <c r="BB513" s="163"/>
      <c r="BC513" s="163"/>
      <c r="BD513" s="163"/>
      <c r="BE513" s="163"/>
      <c r="BF513" s="163"/>
      <c r="BG513" s="163"/>
      <c r="BH513" s="163"/>
      <c r="BI513" s="163"/>
      <c r="BJ513" s="163"/>
      <c r="BK513" s="163"/>
      <c r="BL513" s="163"/>
      <c r="BM513" s="163"/>
      <c r="BN513" s="163"/>
      <c r="BO513" s="163"/>
      <c r="BP513" s="163"/>
      <c r="BQ513" s="163"/>
      <c r="BR513" s="163"/>
      <c r="BS513" s="163"/>
      <c r="BT513" s="163"/>
      <c r="BU513" s="163"/>
      <c r="BV513" s="163"/>
      <c r="BW513" s="163"/>
      <c r="BX513" s="163"/>
      <c r="BY513" s="163"/>
      <c r="BZ513" s="163"/>
      <c r="CA513" s="163"/>
      <c r="CB513" s="163"/>
      <c r="CC513" s="163"/>
      <c r="CD513" s="163"/>
      <c r="CE513" s="163"/>
      <c r="CF513" s="163"/>
      <c r="CG513" s="163"/>
      <c r="CH513" s="163"/>
      <c r="CI513" s="163"/>
      <c r="CJ513" s="163"/>
      <c r="CK513" s="163"/>
      <c r="CL513" s="163"/>
      <c r="CM513" s="163"/>
      <c r="CN513" s="163"/>
      <c r="CO513" s="163"/>
      <c r="CP513" s="163"/>
      <c r="CQ513" s="163"/>
      <c r="CR513" s="163"/>
      <c r="CS513" s="163"/>
      <c r="CT513" s="163"/>
      <c r="CU513" s="163"/>
      <c r="CV513" s="163"/>
      <c r="CW513" s="163"/>
      <c r="CX513" s="163"/>
      <c r="CY513" s="163"/>
      <c r="CZ513" s="163"/>
      <c r="DA513" s="163"/>
      <c r="DB513" s="163"/>
      <c r="DC513" s="163"/>
      <c r="DD513" s="163"/>
      <c r="DE513" s="163"/>
      <c r="DF513" s="163"/>
      <c r="DG513" s="163"/>
      <c r="DH513" s="163"/>
      <c r="DI513" s="163"/>
      <c r="DJ513" s="163"/>
      <c r="DK513" s="163"/>
      <c r="DL513" s="163"/>
      <c r="DM513" s="163"/>
      <c r="DN513" s="163"/>
      <c r="DO513" s="163"/>
      <c r="DP513" s="163"/>
      <c r="DQ513" s="163"/>
      <c r="DR513" s="163"/>
      <c r="DS513" s="163"/>
      <c r="DT513" s="163"/>
      <c r="DU513" s="163"/>
      <c r="DV513" s="163"/>
      <c r="DW513" s="163"/>
      <c r="DX513" s="163"/>
      <c r="DY513" s="163"/>
      <c r="DZ513" s="163"/>
      <c r="EA513" s="163"/>
      <c r="EB513" s="163"/>
      <c r="EC513" s="163"/>
      <c r="ED513" s="163"/>
      <c r="EE513" s="163"/>
      <c r="EF513" s="163"/>
      <c r="EG513" s="163"/>
      <c r="EH513" s="163"/>
      <c r="EI513" s="163"/>
      <c r="EJ513" s="163"/>
      <c r="EK513" s="163"/>
      <c r="EL513" s="163"/>
      <c r="EM513" s="163"/>
      <c r="EN513" s="163"/>
      <c r="EO513" s="163"/>
      <c r="EP513" s="163"/>
      <c r="EQ513" s="163"/>
      <c r="ER513" s="163"/>
      <c r="ES513" s="163"/>
      <c r="ET513" s="163"/>
      <c r="EU513" s="163"/>
      <c r="EV513" s="163"/>
      <c r="EW513" s="163"/>
      <c r="EX513" s="163"/>
      <c r="EY513" s="163"/>
      <c r="EZ513" s="80"/>
      <c r="FA513" s="80"/>
      <c r="FB513" s="80"/>
      <c r="FC513" s="80"/>
      <c r="FD513" s="80"/>
      <c r="FE513" s="80"/>
      <c r="FF513" s="80"/>
      <c r="FG513" s="80"/>
      <c r="FH513" s="80"/>
      <c r="FI513" s="80"/>
      <c r="FJ513" s="80"/>
      <c r="FK513" s="81"/>
    </row>
    <row r="514" spans="4:167">
      <c r="D514" s="264">
        <f>'CF 2018'!O354</f>
        <v>0</v>
      </c>
      <c r="E514" s="264">
        <f>D616</f>
        <v>0</v>
      </c>
      <c r="F514" s="264">
        <f t="shared" ref="F514" si="67">E616</f>
        <v>0</v>
      </c>
      <c r="G514" s="264">
        <f t="shared" ref="G514" si="68">F616</f>
        <v>0</v>
      </c>
      <c r="H514" s="264">
        <f t="shared" ref="H514" si="69">G616</f>
        <v>0</v>
      </c>
      <c r="I514" s="264">
        <f t="shared" ref="I514" si="70">H616</f>
        <v>0</v>
      </c>
      <c r="J514" s="264">
        <f t="shared" ref="J514" si="71">I616</f>
        <v>0</v>
      </c>
      <c r="K514" s="264">
        <f t="shared" ref="K514" si="72">J616</f>
        <v>0</v>
      </c>
      <c r="L514" s="264">
        <f t="shared" ref="L514" si="73">K616</f>
        <v>0</v>
      </c>
      <c r="M514" s="264">
        <f>L616</f>
        <v>0</v>
      </c>
      <c r="N514" s="264">
        <f t="shared" ref="N514" si="74">M616</f>
        <v>25</v>
      </c>
      <c r="O514" s="321">
        <f t="shared" ref="O514" si="75">N616</f>
        <v>75000000</v>
      </c>
      <c r="P514" s="282"/>
      <c r="Q514" s="163"/>
      <c r="R514" s="163"/>
      <c r="S514" s="163"/>
      <c r="T514" s="163"/>
      <c r="U514" s="163"/>
      <c r="V514" s="163"/>
      <c r="W514" s="163"/>
      <c r="X514" s="163"/>
      <c r="Y514" s="163"/>
      <c r="Z514" s="163"/>
      <c r="AA514" s="163"/>
      <c r="AB514" s="163"/>
      <c r="AC514" s="163"/>
      <c r="AD514" s="163"/>
      <c r="AE514" s="163"/>
      <c r="AF514" s="163"/>
      <c r="AG514" s="163"/>
      <c r="AH514" s="163"/>
      <c r="AI514" s="163"/>
      <c r="AJ514" s="163"/>
      <c r="AK514" s="163"/>
      <c r="AL514" s="163"/>
      <c r="AM514" s="163"/>
      <c r="AN514" s="163"/>
      <c r="AO514" s="163"/>
      <c r="AP514" s="163"/>
      <c r="AQ514" s="163"/>
      <c r="AR514" s="163"/>
      <c r="AS514" s="163"/>
      <c r="AT514" s="163"/>
      <c r="AU514" s="163"/>
      <c r="AV514" s="163"/>
      <c r="AW514" s="163"/>
      <c r="AX514" s="163"/>
      <c r="AY514" s="163"/>
      <c r="AZ514" s="163"/>
      <c r="BA514" s="163"/>
      <c r="BB514" s="163"/>
      <c r="BC514" s="163"/>
      <c r="BD514" s="163"/>
      <c r="BE514" s="163"/>
      <c r="BF514" s="163"/>
      <c r="BG514" s="163"/>
      <c r="BH514" s="163"/>
      <c r="BI514" s="163"/>
      <c r="BJ514" s="163"/>
      <c r="BK514" s="163"/>
      <c r="BL514" s="163"/>
      <c r="BM514" s="163"/>
      <c r="BN514" s="163"/>
      <c r="BO514" s="163"/>
      <c r="BP514" s="163"/>
      <c r="BQ514" s="163"/>
      <c r="BR514" s="163"/>
      <c r="BS514" s="163"/>
      <c r="BT514" s="163"/>
      <c r="BU514" s="163"/>
      <c r="BV514" s="163"/>
      <c r="BW514" s="163"/>
      <c r="BX514" s="163"/>
      <c r="BY514" s="163"/>
      <c r="BZ514" s="163"/>
      <c r="CA514" s="163"/>
      <c r="CB514" s="163"/>
      <c r="CC514" s="163"/>
      <c r="CD514" s="163"/>
      <c r="CE514" s="163"/>
      <c r="CF514" s="163"/>
      <c r="CG514" s="163"/>
      <c r="CH514" s="163"/>
      <c r="CI514" s="163"/>
      <c r="CJ514" s="163"/>
      <c r="CK514" s="163"/>
      <c r="CL514" s="163"/>
      <c r="CM514" s="163"/>
      <c r="CN514" s="163"/>
      <c r="CO514" s="163"/>
      <c r="CP514" s="163"/>
      <c r="CQ514" s="163"/>
      <c r="CR514" s="163"/>
      <c r="CS514" s="163"/>
      <c r="CT514" s="163"/>
      <c r="CU514" s="163"/>
      <c r="CV514" s="163"/>
      <c r="CW514" s="163"/>
      <c r="CX514" s="163"/>
      <c r="CY514" s="163"/>
      <c r="CZ514" s="163"/>
      <c r="DA514" s="163"/>
      <c r="DB514" s="163"/>
      <c r="DC514" s="163"/>
      <c r="DD514" s="163"/>
      <c r="DE514" s="163"/>
      <c r="DF514" s="163"/>
      <c r="DG514" s="163"/>
      <c r="DH514" s="163"/>
      <c r="DI514" s="163"/>
      <c r="DJ514" s="163"/>
      <c r="DK514" s="163"/>
      <c r="DL514" s="163"/>
      <c r="DM514" s="163"/>
      <c r="DN514" s="163"/>
      <c r="DO514" s="163"/>
      <c r="DP514" s="163"/>
      <c r="DQ514" s="163"/>
      <c r="DR514" s="163"/>
      <c r="DS514" s="163"/>
      <c r="DT514" s="163"/>
      <c r="DU514" s="163"/>
      <c r="DV514" s="163"/>
      <c r="DW514" s="163"/>
      <c r="DX514" s="163"/>
      <c r="DY514" s="163"/>
      <c r="DZ514" s="163"/>
      <c r="EA514" s="163"/>
      <c r="EB514" s="163"/>
      <c r="EC514" s="163"/>
      <c r="ED514" s="163"/>
      <c r="EE514" s="163"/>
      <c r="EF514" s="163"/>
      <c r="EG514" s="163"/>
      <c r="EH514" s="163"/>
      <c r="EI514" s="163"/>
      <c r="EJ514" s="163"/>
      <c r="EK514" s="163"/>
      <c r="EL514" s="163"/>
      <c r="EM514" s="163"/>
      <c r="EN514" s="163"/>
      <c r="EO514" s="163"/>
      <c r="EP514" s="163"/>
      <c r="EQ514" s="163"/>
      <c r="ER514" s="163"/>
      <c r="ES514" s="163"/>
      <c r="ET514" s="163"/>
      <c r="EU514" s="163"/>
      <c r="EV514" s="163"/>
      <c r="EW514" s="163"/>
      <c r="EX514" s="163"/>
      <c r="EY514" s="163"/>
      <c r="EZ514" s="80"/>
      <c r="FA514" s="80"/>
      <c r="FB514" s="80"/>
      <c r="FC514" s="80"/>
      <c r="FD514" s="80"/>
      <c r="FE514" s="80"/>
      <c r="FF514" s="80"/>
      <c r="FG514" s="80"/>
      <c r="FH514" s="80"/>
      <c r="FI514" s="80"/>
      <c r="FJ514" s="80"/>
      <c r="FK514" s="80"/>
    </row>
    <row r="515" spans="4:167">
      <c r="D515" s="264"/>
      <c r="E515" s="264"/>
      <c r="F515" s="264"/>
      <c r="G515" s="264"/>
      <c r="H515" s="264"/>
      <c r="I515" s="264"/>
      <c r="J515" s="264"/>
      <c r="K515" s="264"/>
      <c r="L515" s="264"/>
      <c r="M515" s="264"/>
      <c r="N515" s="264"/>
      <c r="O515" s="321"/>
      <c r="P515" s="282"/>
      <c r="Q515" s="163"/>
      <c r="R515" s="163"/>
      <c r="S515" s="163"/>
      <c r="T515" s="163"/>
      <c r="U515" s="163"/>
      <c r="V515" s="163"/>
      <c r="W515" s="163"/>
      <c r="X515" s="163"/>
      <c r="Y515" s="163"/>
      <c r="Z515" s="163"/>
      <c r="AA515" s="163"/>
      <c r="AB515" s="163"/>
      <c r="AC515" s="163"/>
      <c r="AD515" s="163"/>
      <c r="AE515" s="163"/>
      <c r="AF515" s="163"/>
      <c r="AG515" s="163"/>
      <c r="AH515" s="163"/>
      <c r="AI515" s="163"/>
      <c r="AJ515" s="163"/>
      <c r="AK515" s="163"/>
      <c r="AL515" s="163"/>
      <c r="AM515" s="163"/>
      <c r="AN515" s="163"/>
      <c r="AO515" s="163"/>
      <c r="AP515" s="163"/>
      <c r="AQ515" s="163"/>
      <c r="AR515" s="163"/>
      <c r="AS515" s="163"/>
      <c r="AT515" s="163"/>
      <c r="AU515" s="163"/>
      <c r="AV515" s="163"/>
      <c r="AW515" s="163"/>
      <c r="AX515" s="163"/>
      <c r="AY515" s="163"/>
      <c r="AZ515" s="163"/>
      <c r="BA515" s="163"/>
      <c r="BB515" s="163"/>
      <c r="BC515" s="163"/>
      <c r="BD515" s="163"/>
      <c r="BE515" s="163"/>
      <c r="BF515" s="163"/>
      <c r="BG515" s="163"/>
      <c r="BH515" s="163"/>
      <c r="BI515" s="163"/>
      <c r="BJ515" s="163"/>
      <c r="BK515" s="163"/>
      <c r="BL515" s="163"/>
      <c r="BM515" s="163"/>
      <c r="BN515" s="163"/>
      <c r="BO515" s="163"/>
      <c r="BP515" s="163"/>
      <c r="BQ515" s="163"/>
      <c r="BR515" s="163"/>
      <c r="BS515" s="163"/>
      <c r="BT515" s="163"/>
      <c r="BU515" s="163"/>
      <c r="BV515" s="163"/>
      <c r="BW515" s="163"/>
      <c r="BX515" s="163"/>
      <c r="BY515" s="163"/>
      <c r="BZ515" s="163"/>
      <c r="CA515" s="163"/>
      <c r="CB515" s="163"/>
      <c r="CC515" s="163"/>
      <c r="CD515" s="163"/>
      <c r="CE515" s="163"/>
      <c r="CF515" s="163"/>
      <c r="CG515" s="163"/>
      <c r="CH515" s="163"/>
      <c r="CI515" s="163"/>
      <c r="CJ515" s="163"/>
      <c r="CK515" s="163"/>
      <c r="CL515" s="163"/>
      <c r="CM515" s="163"/>
      <c r="CN515" s="163"/>
      <c r="CO515" s="163"/>
      <c r="CP515" s="163"/>
      <c r="CQ515" s="163"/>
      <c r="CR515" s="163"/>
      <c r="CS515" s="163"/>
      <c r="CT515" s="163"/>
      <c r="CU515" s="163"/>
      <c r="CV515" s="163"/>
      <c r="CW515" s="163"/>
      <c r="CX515" s="163"/>
      <c r="CY515" s="163"/>
      <c r="CZ515" s="163"/>
      <c r="DA515" s="163"/>
      <c r="DB515" s="163"/>
      <c r="DC515" s="163"/>
      <c r="DD515" s="163"/>
      <c r="DE515" s="163"/>
      <c r="DF515" s="163"/>
      <c r="DG515" s="163"/>
      <c r="DH515" s="163"/>
      <c r="DI515" s="163"/>
      <c r="DJ515" s="163"/>
      <c r="DK515" s="163"/>
      <c r="DL515" s="163"/>
      <c r="DM515" s="163"/>
      <c r="DN515" s="163"/>
      <c r="DO515" s="163"/>
      <c r="DP515" s="163"/>
      <c r="DQ515" s="163"/>
      <c r="DR515" s="163"/>
      <c r="DS515" s="163"/>
      <c r="DT515" s="163"/>
      <c r="DU515" s="163"/>
      <c r="DV515" s="163"/>
      <c r="DW515" s="163"/>
      <c r="DX515" s="163"/>
      <c r="DY515" s="163"/>
      <c r="DZ515" s="163"/>
      <c r="EA515" s="163"/>
      <c r="EB515" s="163"/>
      <c r="EC515" s="163"/>
      <c r="ED515" s="163"/>
      <c r="EE515" s="163"/>
      <c r="EF515" s="163"/>
      <c r="EG515" s="163"/>
      <c r="EH515" s="163"/>
      <c r="EI515" s="163"/>
      <c r="EJ515" s="163"/>
      <c r="EK515" s="163"/>
      <c r="EL515" s="163"/>
      <c r="EM515" s="163"/>
      <c r="EN515" s="163"/>
      <c r="EO515" s="163"/>
      <c r="EP515" s="163"/>
      <c r="EQ515" s="163"/>
      <c r="ER515" s="163"/>
      <c r="ES515" s="163"/>
      <c r="ET515" s="163"/>
      <c r="EU515" s="163"/>
      <c r="EV515" s="163"/>
      <c r="EW515" s="163"/>
      <c r="EX515" s="163"/>
      <c r="EY515" s="163"/>
      <c r="EZ515" s="80"/>
      <c r="FA515" s="80"/>
      <c r="FB515" s="80"/>
      <c r="FC515" s="80"/>
      <c r="FD515" s="80"/>
      <c r="FE515" s="80"/>
      <c r="FF515" s="80"/>
      <c r="FG515" s="80"/>
      <c r="FH515" s="80"/>
      <c r="FI515" s="80"/>
      <c r="FJ515" s="80"/>
      <c r="FK515" s="81"/>
    </row>
    <row r="516" spans="4:167">
      <c r="D516" s="264"/>
      <c r="E516" s="264"/>
      <c r="F516" s="264"/>
      <c r="G516" s="264"/>
      <c r="H516" s="264"/>
      <c r="I516" s="264"/>
      <c r="J516" s="264"/>
      <c r="K516" s="264"/>
      <c r="L516" s="264"/>
      <c r="M516" s="264"/>
      <c r="N516" s="264"/>
      <c r="O516" s="321"/>
      <c r="P516" s="282"/>
      <c r="Q516" s="163"/>
      <c r="R516" s="163"/>
      <c r="S516" s="163"/>
      <c r="T516" s="163"/>
      <c r="U516" s="163"/>
      <c r="V516" s="163"/>
      <c r="W516" s="163"/>
      <c r="X516" s="163"/>
      <c r="Y516" s="163"/>
      <c r="Z516" s="163"/>
      <c r="AA516" s="163"/>
      <c r="AB516" s="163"/>
      <c r="AC516" s="163"/>
      <c r="AD516" s="163"/>
      <c r="AE516" s="163"/>
      <c r="AF516" s="163"/>
      <c r="AG516" s="163"/>
      <c r="AH516" s="163"/>
      <c r="AI516" s="163"/>
      <c r="AJ516" s="163"/>
      <c r="AK516" s="163"/>
      <c r="AL516" s="163"/>
      <c r="AM516" s="163"/>
      <c r="AN516" s="163"/>
      <c r="AO516" s="163"/>
      <c r="AP516" s="163"/>
      <c r="AQ516" s="163"/>
      <c r="AR516" s="163"/>
      <c r="AS516" s="163"/>
      <c r="AT516" s="163"/>
      <c r="AU516" s="163"/>
      <c r="AV516" s="163"/>
      <c r="AW516" s="163"/>
      <c r="AX516" s="163"/>
      <c r="AY516" s="163"/>
      <c r="AZ516" s="163"/>
      <c r="BA516" s="163"/>
      <c r="BB516" s="163"/>
      <c r="BC516" s="163"/>
      <c r="BD516" s="163"/>
      <c r="BE516" s="163"/>
      <c r="BF516" s="163"/>
      <c r="BG516" s="163"/>
      <c r="BH516" s="163"/>
      <c r="BI516" s="163"/>
      <c r="BJ516" s="163"/>
      <c r="BK516" s="163"/>
      <c r="BL516" s="163"/>
      <c r="BM516" s="163"/>
      <c r="BN516" s="163"/>
      <c r="BO516" s="163"/>
      <c r="BP516" s="163"/>
      <c r="BQ516" s="163"/>
      <c r="BR516" s="163"/>
      <c r="BS516" s="163"/>
      <c r="BT516" s="163"/>
      <c r="BU516" s="163"/>
      <c r="BV516" s="163"/>
      <c r="BW516" s="163"/>
      <c r="BX516" s="163"/>
      <c r="BY516" s="163"/>
      <c r="BZ516" s="163"/>
      <c r="CA516" s="163"/>
      <c r="CB516" s="163"/>
      <c r="CC516" s="163"/>
      <c r="CD516" s="163"/>
      <c r="CE516" s="163"/>
      <c r="CF516" s="163"/>
      <c r="CG516" s="163"/>
      <c r="CH516" s="163"/>
      <c r="CI516" s="163"/>
      <c r="CJ516" s="163"/>
      <c r="CK516" s="163"/>
      <c r="CL516" s="163"/>
      <c r="CM516" s="163"/>
      <c r="CN516" s="163"/>
      <c r="CO516" s="163"/>
      <c r="CP516" s="163"/>
      <c r="CQ516" s="163"/>
      <c r="CR516" s="163"/>
      <c r="CS516" s="163"/>
      <c r="CT516" s="163"/>
      <c r="CU516" s="163"/>
      <c r="CV516" s="163"/>
      <c r="CW516" s="163"/>
      <c r="CX516" s="163"/>
      <c r="CY516" s="163"/>
      <c r="CZ516" s="163"/>
      <c r="DA516" s="163"/>
      <c r="DB516" s="163"/>
      <c r="DC516" s="163"/>
      <c r="DD516" s="163"/>
      <c r="DE516" s="163"/>
      <c r="DF516" s="163"/>
      <c r="DG516" s="163"/>
      <c r="DH516" s="163"/>
      <c r="DI516" s="163"/>
      <c r="DJ516" s="163"/>
      <c r="DK516" s="163"/>
      <c r="DL516" s="163"/>
      <c r="DM516" s="163"/>
      <c r="DN516" s="163"/>
      <c r="DO516" s="163"/>
      <c r="DP516" s="163"/>
      <c r="DQ516" s="163"/>
      <c r="DR516" s="163"/>
      <c r="DS516" s="163"/>
      <c r="DT516" s="163"/>
      <c r="DU516" s="163"/>
      <c r="DV516" s="163"/>
      <c r="DW516" s="163"/>
      <c r="DX516" s="163"/>
      <c r="DY516" s="163"/>
      <c r="DZ516" s="163"/>
      <c r="EA516" s="163"/>
      <c r="EB516" s="163"/>
      <c r="EC516" s="163"/>
      <c r="ED516" s="163"/>
      <c r="EE516" s="163"/>
      <c r="EF516" s="163"/>
      <c r="EG516" s="163"/>
      <c r="EH516" s="163"/>
      <c r="EI516" s="163"/>
      <c r="EJ516" s="163"/>
      <c r="EK516" s="163"/>
      <c r="EL516" s="163"/>
      <c r="EM516" s="163"/>
      <c r="EN516" s="163"/>
      <c r="EO516" s="163"/>
      <c r="EP516" s="163"/>
      <c r="EQ516" s="163"/>
      <c r="ER516" s="163"/>
      <c r="ES516" s="163"/>
      <c r="ET516" s="163"/>
      <c r="EU516" s="163"/>
      <c r="EV516" s="163"/>
      <c r="EW516" s="163"/>
      <c r="EX516" s="163"/>
      <c r="EY516" s="163"/>
      <c r="EZ516" s="80"/>
      <c r="FA516" s="80"/>
      <c r="FB516" s="80"/>
      <c r="FC516" s="80"/>
      <c r="FD516" s="80"/>
      <c r="FE516" s="80"/>
      <c r="FF516" s="80"/>
      <c r="FG516" s="80"/>
      <c r="FH516" s="80"/>
      <c r="FI516" s="80"/>
      <c r="FJ516" s="80"/>
      <c r="FK516" s="81"/>
    </row>
    <row r="517" spans="4:167">
      <c r="D517" s="264">
        <f>1428832148.25441*1.1</f>
        <v>1571715363.0798512</v>
      </c>
      <c r="E517" s="264">
        <f>D517+(D517*$E$8%)</f>
        <v>1603149670.3414481</v>
      </c>
      <c r="F517" s="264">
        <f>E517+(E517*$F$8%)</f>
        <v>1635212663.7482769</v>
      </c>
      <c r="G517" s="264">
        <f>F517+(F517*$G$8%)</f>
        <v>1569804157.1983459</v>
      </c>
      <c r="H517" s="264">
        <f>G517+(G517*$H$8%)</f>
        <v>1585502198.7703295</v>
      </c>
      <c r="I517" s="264">
        <f>H517+(H517*$I$8%)</f>
        <v>1601357220.7580328</v>
      </c>
      <c r="J517" s="264">
        <f>I517+(I517*$J$8%)</f>
        <v>1569330076.3428721</v>
      </c>
      <c r="K517" s="264">
        <f>J517+(J517*$K$8%)</f>
        <v>1600716677.8697295</v>
      </c>
      <c r="L517" s="264">
        <f t="shared" ref="L517:L520" si="76">K517+(K517*$J$8%)</f>
        <v>1568702344.312335</v>
      </c>
      <c r="M517" s="264">
        <f t="shared" ref="M517:M520" si="77">L517+(L517*$J$8%)</f>
        <v>1537328297.4260883</v>
      </c>
      <c r="N517" s="264">
        <f t="shared" ref="N517:N520" si="78">M517+(M517*$J$8%)</f>
        <v>1506581731.4775665</v>
      </c>
      <c r="O517" s="264">
        <f t="shared" ref="O517:O520" si="79">N517+(N517*$J$8%)</f>
        <v>1476450096.8480151</v>
      </c>
      <c r="P517" s="282"/>
      <c r="Q517" s="163"/>
      <c r="R517" s="163"/>
      <c r="S517" s="163"/>
      <c r="T517" s="163"/>
      <c r="U517" s="163"/>
      <c r="V517" s="163"/>
      <c r="W517" s="163"/>
      <c r="X517" s="163"/>
      <c r="Y517" s="163"/>
      <c r="Z517" s="163"/>
      <c r="AA517" s="163"/>
      <c r="AB517" s="163"/>
      <c r="AC517" s="163"/>
      <c r="AD517" s="163"/>
      <c r="AE517" s="163"/>
      <c r="AF517" s="163"/>
      <c r="AG517" s="163"/>
      <c r="AH517" s="163"/>
      <c r="AI517" s="163"/>
      <c r="AJ517" s="163"/>
      <c r="AK517" s="163"/>
      <c r="AL517" s="163"/>
      <c r="AM517" s="163"/>
      <c r="AN517" s="163"/>
      <c r="AO517" s="163"/>
      <c r="AP517" s="163"/>
      <c r="AQ517" s="163"/>
      <c r="AR517" s="163"/>
      <c r="AS517" s="163"/>
      <c r="AT517" s="163"/>
      <c r="AU517" s="163"/>
      <c r="AV517" s="163"/>
      <c r="AW517" s="163"/>
      <c r="AX517" s="163"/>
      <c r="AY517" s="163"/>
      <c r="AZ517" s="163"/>
      <c r="BA517" s="163"/>
      <c r="BB517" s="163"/>
      <c r="BC517" s="163"/>
      <c r="BD517" s="163"/>
      <c r="BE517" s="163"/>
      <c r="BF517" s="163"/>
      <c r="BG517" s="163"/>
      <c r="BH517" s="163"/>
      <c r="BI517" s="163"/>
      <c r="BJ517" s="163"/>
      <c r="BK517" s="163"/>
      <c r="BL517" s="163"/>
      <c r="BM517" s="163"/>
      <c r="BN517" s="163"/>
      <c r="BO517" s="163"/>
      <c r="BP517" s="163"/>
      <c r="BQ517" s="163"/>
      <c r="BR517" s="163"/>
      <c r="BS517" s="163"/>
      <c r="BT517" s="163"/>
      <c r="BU517" s="163"/>
      <c r="BV517" s="163"/>
      <c r="BW517" s="163"/>
      <c r="BX517" s="163"/>
      <c r="BY517" s="163"/>
      <c r="BZ517" s="163"/>
      <c r="CA517" s="163"/>
      <c r="CB517" s="163"/>
      <c r="CC517" s="163"/>
      <c r="CD517" s="163"/>
      <c r="CE517" s="163"/>
      <c r="CF517" s="163"/>
      <c r="CG517" s="163"/>
      <c r="CH517" s="163"/>
      <c r="CI517" s="163"/>
      <c r="CJ517" s="163"/>
      <c r="CK517" s="163"/>
      <c r="CL517" s="163"/>
      <c r="CM517" s="163"/>
      <c r="CN517" s="163"/>
      <c r="CO517" s="163"/>
      <c r="CP517" s="163"/>
      <c r="CQ517" s="163"/>
      <c r="CR517" s="163"/>
      <c r="CS517" s="163"/>
      <c r="CT517" s="163"/>
      <c r="CU517" s="163"/>
      <c r="CV517" s="163"/>
      <c r="CW517" s="163"/>
      <c r="CX517" s="163"/>
      <c r="CY517" s="163"/>
      <c r="CZ517" s="163"/>
      <c r="DA517" s="163"/>
      <c r="DB517" s="163"/>
      <c r="DC517" s="163"/>
      <c r="DD517" s="163"/>
      <c r="DE517" s="163"/>
      <c r="DF517" s="163"/>
      <c r="DG517" s="163"/>
      <c r="DH517" s="163"/>
      <c r="DI517" s="163"/>
      <c r="DJ517" s="163"/>
      <c r="DK517" s="163"/>
      <c r="DL517" s="163"/>
      <c r="DM517" s="163"/>
      <c r="DN517" s="163"/>
      <c r="DO517" s="163"/>
      <c r="DP517" s="163"/>
      <c r="DQ517" s="163"/>
      <c r="DR517" s="163"/>
      <c r="DS517" s="163"/>
      <c r="DT517" s="163"/>
      <c r="DU517" s="163"/>
      <c r="DV517" s="163"/>
      <c r="DW517" s="163"/>
      <c r="DX517" s="163"/>
      <c r="DY517" s="163"/>
      <c r="DZ517" s="163"/>
      <c r="EA517" s="163"/>
      <c r="EB517" s="163"/>
      <c r="EC517" s="163"/>
      <c r="ED517" s="163"/>
      <c r="EE517" s="163"/>
      <c r="EF517" s="163"/>
      <c r="EG517" s="163"/>
      <c r="EH517" s="163"/>
      <c r="EI517" s="163"/>
      <c r="EJ517" s="163"/>
      <c r="EK517" s="163"/>
      <c r="EL517" s="163"/>
      <c r="EM517" s="163"/>
      <c r="EN517" s="163"/>
      <c r="EO517" s="163"/>
      <c r="EP517" s="163"/>
      <c r="EQ517" s="163"/>
      <c r="ER517" s="163"/>
      <c r="ES517" s="163"/>
      <c r="ET517" s="163"/>
      <c r="EU517" s="163"/>
      <c r="EV517" s="163"/>
      <c r="EW517" s="163"/>
      <c r="EX517" s="163"/>
      <c r="EY517" s="163"/>
      <c r="EZ517" s="80"/>
      <c r="FA517" s="80"/>
      <c r="FB517" s="80"/>
      <c r="FC517" s="80"/>
      <c r="FD517" s="80"/>
      <c r="FE517" s="80"/>
      <c r="FF517" s="80"/>
      <c r="FG517" s="80"/>
      <c r="FH517" s="80"/>
      <c r="FI517" s="80"/>
      <c r="FJ517" s="80"/>
      <c r="FK517" s="80"/>
    </row>
    <row r="518" spans="4:167">
      <c r="D518" s="264">
        <f>376313347.846868*1.1</f>
        <v>413944682.63155478</v>
      </c>
      <c r="E518" s="264">
        <f t="shared" ref="E518:E520" si="80">D518+(D518*$E$8%)</f>
        <v>422223576.28418589</v>
      </c>
      <c r="F518" s="264">
        <f t="shared" ref="F518:F520" si="81">E518+(E518*$F$8%)</f>
        <v>430668047.80986959</v>
      </c>
      <c r="G518" s="264">
        <f t="shared" ref="G518:G520" si="82">F518+(F518*$G$8%)</f>
        <v>413441325.89747483</v>
      </c>
      <c r="H518" s="264">
        <f t="shared" ref="H518:H520" si="83">G518+(G518*$H$8%)</f>
        <v>417575739.15644956</v>
      </c>
      <c r="I518" s="264">
        <f t="shared" ref="I518:I520" si="84">H518+(H518*$I$8%)</f>
        <v>421751496.54801404</v>
      </c>
      <c r="J518" s="264">
        <f t="shared" ref="J518:J520" si="85">I518+(I518*$J$8%)</f>
        <v>413316466.61705375</v>
      </c>
      <c r="K518" s="264">
        <f t="shared" ref="K518:K520" si="86">J518+(J518*$K$8%)</f>
        <v>421582795.94939482</v>
      </c>
      <c r="L518" s="264">
        <f t="shared" si="76"/>
        <v>413151140.03040695</v>
      </c>
      <c r="M518" s="264">
        <f t="shared" si="77"/>
        <v>404888117.22979879</v>
      </c>
      <c r="N518" s="264">
        <f t="shared" si="78"/>
        <v>396790354.88520283</v>
      </c>
      <c r="O518" s="264">
        <f t="shared" si="79"/>
        <v>388854547.78749877</v>
      </c>
      <c r="P518" s="282"/>
      <c r="Q518" s="163"/>
      <c r="R518" s="163"/>
      <c r="S518" s="163"/>
      <c r="T518" s="163"/>
      <c r="U518" s="163"/>
      <c r="V518" s="163"/>
      <c r="W518" s="163"/>
      <c r="X518" s="163"/>
      <c r="Y518" s="163"/>
      <c r="Z518" s="163"/>
      <c r="AA518" s="163"/>
      <c r="AB518" s="163"/>
      <c r="AC518" s="163"/>
      <c r="AD518" s="163"/>
      <c r="AE518" s="163"/>
      <c r="AF518" s="163"/>
      <c r="AG518" s="163"/>
      <c r="AH518" s="163"/>
      <c r="AI518" s="163"/>
      <c r="AJ518" s="163"/>
      <c r="AK518" s="163"/>
      <c r="AL518" s="163"/>
      <c r="AM518" s="163"/>
      <c r="AN518" s="163"/>
      <c r="AO518" s="163"/>
      <c r="AP518" s="163"/>
      <c r="AQ518" s="163"/>
      <c r="AR518" s="163"/>
      <c r="AS518" s="163"/>
      <c r="AT518" s="163"/>
      <c r="AU518" s="163"/>
      <c r="AV518" s="163"/>
      <c r="AW518" s="163"/>
      <c r="AX518" s="163"/>
      <c r="AY518" s="163"/>
      <c r="AZ518" s="163"/>
      <c r="BA518" s="163"/>
      <c r="BB518" s="163"/>
      <c r="BC518" s="163"/>
      <c r="BD518" s="163"/>
      <c r="BE518" s="163"/>
      <c r="BF518" s="163"/>
      <c r="BG518" s="163"/>
      <c r="BH518" s="163"/>
      <c r="BI518" s="163"/>
      <c r="BJ518" s="163"/>
      <c r="BK518" s="163"/>
      <c r="BL518" s="163"/>
      <c r="BM518" s="163"/>
      <c r="BN518" s="163"/>
      <c r="BO518" s="163"/>
      <c r="BP518" s="163"/>
      <c r="BQ518" s="163"/>
      <c r="BR518" s="163"/>
      <c r="BS518" s="163"/>
      <c r="BT518" s="163"/>
      <c r="BU518" s="163"/>
      <c r="BV518" s="163"/>
      <c r="BW518" s="163"/>
      <c r="BX518" s="163"/>
      <c r="BY518" s="163"/>
      <c r="BZ518" s="163"/>
      <c r="CA518" s="163"/>
      <c r="CB518" s="163"/>
      <c r="CC518" s="163"/>
      <c r="CD518" s="163"/>
      <c r="CE518" s="163"/>
      <c r="CF518" s="163"/>
      <c r="CG518" s="163"/>
      <c r="CH518" s="163"/>
      <c r="CI518" s="163"/>
      <c r="CJ518" s="163"/>
      <c r="CK518" s="163"/>
      <c r="CL518" s="163"/>
      <c r="CM518" s="163"/>
      <c r="CN518" s="163"/>
      <c r="CO518" s="163"/>
      <c r="CP518" s="163"/>
      <c r="CQ518" s="163"/>
      <c r="CR518" s="163"/>
      <c r="CS518" s="163"/>
      <c r="CT518" s="163"/>
      <c r="CU518" s="163"/>
      <c r="CV518" s="163"/>
      <c r="CW518" s="163"/>
      <c r="CX518" s="163"/>
      <c r="CY518" s="163"/>
      <c r="CZ518" s="163"/>
      <c r="DA518" s="163"/>
      <c r="DB518" s="163"/>
      <c r="DC518" s="163"/>
      <c r="DD518" s="163"/>
      <c r="DE518" s="163"/>
      <c r="DF518" s="163"/>
      <c r="DG518" s="163"/>
      <c r="DH518" s="163"/>
      <c r="DI518" s="163"/>
      <c r="DJ518" s="163"/>
      <c r="DK518" s="163"/>
      <c r="DL518" s="163"/>
      <c r="DM518" s="163"/>
      <c r="DN518" s="163"/>
      <c r="DO518" s="163"/>
      <c r="DP518" s="163"/>
      <c r="DQ518" s="163"/>
      <c r="DR518" s="163"/>
      <c r="DS518" s="163"/>
      <c r="DT518" s="163"/>
      <c r="DU518" s="163"/>
      <c r="DV518" s="163"/>
      <c r="DW518" s="163"/>
      <c r="DX518" s="163"/>
      <c r="DY518" s="163"/>
      <c r="DZ518" s="163"/>
      <c r="EA518" s="163"/>
      <c r="EB518" s="163"/>
      <c r="EC518" s="163"/>
      <c r="ED518" s="163"/>
      <c r="EE518" s="163"/>
      <c r="EF518" s="163"/>
      <c r="EG518" s="163"/>
      <c r="EH518" s="163"/>
      <c r="EI518" s="163"/>
      <c r="EJ518" s="163"/>
      <c r="EK518" s="163"/>
      <c r="EL518" s="163"/>
      <c r="EM518" s="163"/>
      <c r="EN518" s="163"/>
      <c r="EO518" s="163"/>
      <c r="EP518" s="163"/>
      <c r="EQ518" s="163"/>
      <c r="ER518" s="163"/>
      <c r="ES518" s="163"/>
      <c r="ET518" s="163"/>
      <c r="EU518" s="163"/>
      <c r="EV518" s="163"/>
      <c r="EW518" s="163"/>
      <c r="EX518" s="163"/>
      <c r="EY518" s="163"/>
      <c r="EZ518" s="80"/>
      <c r="FA518" s="80"/>
      <c r="FB518" s="80"/>
      <c r="FC518" s="80"/>
      <c r="FD518" s="80"/>
      <c r="FE518" s="80"/>
      <c r="FF518" s="80"/>
      <c r="FG518" s="80"/>
      <c r="FH518" s="80"/>
      <c r="FI518" s="80"/>
      <c r="FJ518" s="80"/>
      <c r="FK518" s="80"/>
    </row>
    <row r="519" spans="4:167">
      <c r="D519" s="264">
        <f>2383451340.75156*1.1</f>
        <v>2621796474.8267164</v>
      </c>
      <c r="E519" s="264">
        <f t="shared" si="80"/>
        <v>2674232404.3232508</v>
      </c>
      <c r="F519" s="264">
        <f t="shared" si="81"/>
        <v>2727717052.4097157</v>
      </c>
      <c r="G519" s="264">
        <f t="shared" si="82"/>
        <v>2618608370.3133268</v>
      </c>
      <c r="H519" s="264">
        <f t="shared" si="83"/>
        <v>2644794454.0164599</v>
      </c>
      <c r="I519" s="264">
        <f t="shared" si="84"/>
        <v>2671242398.5566244</v>
      </c>
      <c r="J519" s="264">
        <f t="shared" si="85"/>
        <v>2617817550.5854921</v>
      </c>
      <c r="K519" s="264">
        <f t="shared" si="86"/>
        <v>2670173901.5972018</v>
      </c>
      <c r="L519" s="264">
        <f t="shared" si="76"/>
        <v>2616770423.565258</v>
      </c>
      <c r="M519" s="264">
        <f t="shared" si="77"/>
        <v>2564435015.0939527</v>
      </c>
      <c r="N519" s="264">
        <f t="shared" si="78"/>
        <v>2513146314.7920737</v>
      </c>
      <c r="O519" s="264">
        <f t="shared" si="79"/>
        <v>2462883388.496232</v>
      </c>
      <c r="P519" s="282"/>
      <c r="Q519" s="163"/>
      <c r="R519" s="163"/>
      <c r="S519" s="163"/>
      <c r="T519" s="163"/>
      <c r="U519" s="163"/>
      <c r="V519" s="163"/>
      <c r="W519" s="163"/>
      <c r="X519" s="163"/>
      <c r="Y519" s="163"/>
      <c r="Z519" s="163"/>
      <c r="AA519" s="163"/>
      <c r="AB519" s="163"/>
      <c r="AC519" s="163"/>
      <c r="AD519" s="163"/>
      <c r="AE519" s="163"/>
      <c r="AF519" s="163"/>
      <c r="AG519" s="163"/>
      <c r="AH519" s="163"/>
      <c r="AI519" s="163"/>
      <c r="AJ519" s="163"/>
      <c r="AK519" s="163"/>
      <c r="AL519" s="163"/>
      <c r="AM519" s="163"/>
      <c r="AN519" s="163"/>
      <c r="AO519" s="163"/>
      <c r="AP519" s="163"/>
      <c r="AQ519" s="163"/>
      <c r="AR519" s="163"/>
      <c r="AS519" s="163"/>
      <c r="AT519" s="163"/>
      <c r="AU519" s="163"/>
      <c r="AV519" s="163"/>
      <c r="AW519" s="163"/>
      <c r="AX519" s="163"/>
      <c r="AY519" s="163"/>
      <c r="AZ519" s="163"/>
      <c r="BA519" s="163"/>
      <c r="BB519" s="163"/>
      <c r="BC519" s="163"/>
      <c r="BD519" s="163"/>
      <c r="BE519" s="163"/>
      <c r="BF519" s="163"/>
      <c r="BG519" s="163"/>
      <c r="BH519" s="163"/>
      <c r="BI519" s="163"/>
      <c r="BJ519" s="163"/>
      <c r="BK519" s="163"/>
      <c r="BL519" s="163"/>
      <c r="BM519" s="163"/>
      <c r="BN519" s="163"/>
      <c r="BO519" s="163"/>
      <c r="BP519" s="163"/>
      <c r="BQ519" s="163"/>
      <c r="BR519" s="163"/>
      <c r="BS519" s="163"/>
      <c r="BT519" s="163"/>
      <c r="BU519" s="163"/>
      <c r="BV519" s="163"/>
      <c r="BW519" s="163"/>
      <c r="BX519" s="163"/>
      <c r="BY519" s="163"/>
      <c r="BZ519" s="163"/>
      <c r="CA519" s="163"/>
      <c r="CB519" s="163"/>
      <c r="CC519" s="163"/>
      <c r="CD519" s="163"/>
      <c r="CE519" s="163"/>
      <c r="CF519" s="163"/>
      <c r="CG519" s="163"/>
      <c r="CH519" s="163"/>
      <c r="CI519" s="163"/>
      <c r="CJ519" s="163"/>
      <c r="CK519" s="163"/>
      <c r="CL519" s="163"/>
      <c r="CM519" s="163"/>
      <c r="CN519" s="163"/>
      <c r="CO519" s="163"/>
      <c r="CP519" s="163"/>
      <c r="CQ519" s="163"/>
      <c r="CR519" s="163"/>
      <c r="CS519" s="163"/>
      <c r="CT519" s="163"/>
      <c r="CU519" s="163"/>
      <c r="CV519" s="163"/>
      <c r="CW519" s="163"/>
      <c r="CX519" s="163"/>
      <c r="CY519" s="163"/>
      <c r="CZ519" s="163"/>
      <c r="DA519" s="163"/>
      <c r="DB519" s="163"/>
      <c r="DC519" s="163"/>
      <c r="DD519" s="163"/>
      <c r="DE519" s="163"/>
      <c r="DF519" s="163"/>
      <c r="DG519" s="163"/>
      <c r="DH519" s="163"/>
      <c r="DI519" s="163"/>
      <c r="DJ519" s="163"/>
      <c r="DK519" s="163"/>
      <c r="DL519" s="163"/>
      <c r="DM519" s="163"/>
      <c r="DN519" s="163"/>
      <c r="DO519" s="163"/>
      <c r="DP519" s="163"/>
      <c r="DQ519" s="163"/>
      <c r="DR519" s="163"/>
      <c r="DS519" s="163"/>
      <c r="DT519" s="163"/>
      <c r="DU519" s="163"/>
      <c r="DV519" s="163"/>
      <c r="DW519" s="163"/>
      <c r="DX519" s="163"/>
      <c r="DY519" s="163"/>
      <c r="DZ519" s="163"/>
      <c r="EA519" s="163"/>
      <c r="EB519" s="163"/>
      <c r="EC519" s="163"/>
      <c r="ED519" s="163"/>
      <c r="EE519" s="163"/>
      <c r="EF519" s="163"/>
      <c r="EG519" s="163"/>
      <c r="EH519" s="163"/>
      <c r="EI519" s="163"/>
      <c r="EJ519" s="163"/>
      <c r="EK519" s="163"/>
      <c r="EL519" s="163"/>
      <c r="EM519" s="163"/>
      <c r="EN519" s="163"/>
      <c r="EO519" s="163"/>
      <c r="EP519" s="163"/>
      <c r="EQ519" s="163"/>
      <c r="ER519" s="163"/>
      <c r="ES519" s="163"/>
      <c r="ET519" s="163"/>
      <c r="EU519" s="163"/>
      <c r="EV519" s="163"/>
      <c r="EW519" s="163"/>
      <c r="EX519" s="163"/>
      <c r="EY519" s="163"/>
      <c r="EZ519" s="80"/>
      <c r="FA519" s="80"/>
      <c r="FB519" s="80"/>
      <c r="FC519" s="80"/>
      <c r="FD519" s="80"/>
      <c r="FE519" s="80"/>
      <c r="FF519" s="80"/>
      <c r="FG519" s="80"/>
      <c r="FH519" s="80"/>
      <c r="FI519" s="80"/>
      <c r="FJ519" s="80"/>
      <c r="FK519" s="80"/>
    </row>
    <row r="520" spans="4:167">
      <c r="D520" s="264">
        <f>344397203.13637*1.1</f>
        <v>378836923.45000702</v>
      </c>
      <c r="E520" s="264">
        <f t="shared" si="80"/>
        <v>386413661.91900718</v>
      </c>
      <c r="F520" s="264">
        <f t="shared" si="81"/>
        <v>394141935.15738732</v>
      </c>
      <c r="G520" s="264">
        <f t="shared" si="82"/>
        <v>378376257.75109184</v>
      </c>
      <c r="H520" s="264">
        <f t="shared" si="83"/>
        <v>382160020.32860273</v>
      </c>
      <c r="I520" s="264">
        <f t="shared" si="84"/>
        <v>385981620.53188878</v>
      </c>
      <c r="J520" s="264">
        <f t="shared" si="85"/>
        <v>378261988.12125099</v>
      </c>
      <c r="K520" s="264">
        <f t="shared" si="86"/>
        <v>385827227.88367599</v>
      </c>
      <c r="L520" s="264">
        <f t="shared" si="76"/>
        <v>378110683.32600248</v>
      </c>
      <c r="M520" s="264">
        <f t="shared" si="77"/>
        <v>370548469.65948242</v>
      </c>
      <c r="N520" s="264">
        <f t="shared" si="78"/>
        <v>363137500.26629275</v>
      </c>
      <c r="O520" s="264">
        <f t="shared" si="79"/>
        <v>355874750.2609669</v>
      </c>
      <c r="P520" s="282"/>
      <c r="Q520" s="163"/>
      <c r="R520" s="163"/>
      <c r="S520" s="163"/>
      <c r="T520" s="163"/>
      <c r="U520" s="163"/>
      <c r="V520" s="163"/>
      <c r="W520" s="163"/>
      <c r="X520" s="163"/>
      <c r="Y520" s="163"/>
      <c r="Z520" s="163"/>
      <c r="AA520" s="163"/>
      <c r="AB520" s="163"/>
      <c r="AC520" s="163"/>
      <c r="AD520" s="163"/>
      <c r="AE520" s="163"/>
      <c r="AF520" s="163"/>
      <c r="AG520" s="163"/>
      <c r="AH520" s="163"/>
      <c r="AI520" s="163"/>
      <c r="AJ520" s="163"/>
      <c r="AK520" s="163"/>
      <c r="AL520" s="163"/>
      <c r="AM520" s="163"/>
      <c r="AN520" s="163"/>
      <c r="AO520" s="163"/>
      <c r="AP520" s="163"/>
      <c r="AQ520" s="163"/>
      <c r="AR520" s="163"/>
      <c r="AS520" s="163"/>
      <c r="AT520" s="163"/>
      <c r="AU520" s="163"/>
      <c r="AV520" s="163"/>
      <c r="AW520" s="163"/>
      <c r="AX520" s="163"/>
      <c r="AY520" s="163"/>
      <c r="AZ520" s="163"/>
      <c r="BA520" s="163"/>
      <c r="BB520" s="163"/>
      <c r="BC520" s="163"/>
      <c r="BD520" s="163"/>
      <c r="BE520" s="163"/>
      <c r="BF520" s="163"/>
      <c r="BG520" s="163"/>
      <c r="BH520" s="163"/>
      <c r="BI520" s="163"/>
      <c r="BJ520" s="163"/>
      <c r="BK520" s="163"/>
      <c r="BL520" s="163"/>
      <c r="BM520" s="163"/>
      <c r="BN520" s="163"/>
      <c r="BO520" s="163"/>
      <c r="BP520" s="163"/>
      <c r="BQ520" s="163"/>
      <c r="BR520" s="163"/>
      <c r="BS520" s="163"/>
      <c r="BT520" s="163"/>
      <c r="BU520" s="163"/>
      <c r="BV520" s="163"/>
      <c r="BW520" s="163"/>
      <c r="BX520" s="163"/>
      <c r="BY520" s="163"/>
      <c r="BZ520" s="163"/>
      <c r="CA520" s="163"/>
      <c r="CB520" s="163"/>
      <c r="CC520" s="163"/>
      <c r="CD520" s="163"/>
      <c r="CE520" s="163"/>
      <c r="CF520" s="163"/>
      <c r="CG520" s="163"/>
      <c r="CH520" s="163"/>
      <c r="CI520" s="163"/>
      <c r="CJ520" s="163"/>
      <c r="CK520" s="163"/>
      <c r="CL520" s="163"/>
      <c r="CM520" s="163"/>
      <c r="CN520" s="163"/>
      <c r="CO520" s="163"/>
      <c r="CP520" s="163"/>
      <c r="CQ520" s="163"/>
      <c r="CR520" s="163"/>
      <c r="CS520" s="163"/>
      <c r="CT520" s="163"/>
      <c r="CU520" s="163"/>
      <c r="CV520" s="163"/>
      <c r="CW520" s="163"/>
      <c r="CX520" s="163"/>
      <c r="CY520" s="163"/>
      <c r="CZ520" s="163"/>
      <c r="DA520" s="163"/>
      <c r="DB520" s="163"/>
      <c r="DC520" s="163"/>
      <c r="DD520" s="163"/>
      <c r="DE520" s="163"/>
      <c r="DF520" s="163"/>
      <c r="DG520" s="163"/>
      <c r="DH520" s="163"/>
      <c r="DI520" s="163"/>
      <c r="DJ520" s="163"/>
      <c r="DK520" s="163"/>
      <c r="DL520" s="163"/>
      <c r="DM520" s="163"/>
      <c r="DN520" s="163"/>
      <c r="DO520" s="163"/>
      <c r="DP520" s="163"/>
      <c r="DQ520" s="163"/>
      <c r="DR520" s="163"/>
      <c r="DS520" s="163"/>
      <c r="DT520" s="163"/>
      <c r="DU520" s="163"/>
      <c r="DV520" s="163"/>
      <c r="DW520" s="163"/>
      <c r="DX520" s="163"/>
      <c r="DY520" s="163"/>
      <c r="DZ520" s="163"/>
      <c r="EA520" s="163"/>
      <c r="EB520" s="163"/>
      <c r="EC520" s="163"/>
      <c r="ED520" s="163"/>
      <c r="EE520" s="163"/>
      <c r="EF520" s="163"/>
      <c r="EG520" s="163"/>
      <c r="EH520" s="163"/>
      <c r="EI520" s="163"/>
      <c r="EJ520" s="163"/>
      <c r="EK520" s="163"/>
      <c r="EL520" s="163"/>
      <c r="EM520" s="163"/>
      <c r="EN520" s="163"/>
      <c r="EO520" s="163"/>
      <c r="EP520" s="163"/>
      <c r="EQ520" s="163"/>
      <c r="ER520" s="163"/>
      <c r="ES520" s="163"/>
      <c r="ET520" s="163"/>
      <c r="EU520" s="163"/>
      <c r="EV520" s="163"/>
      <c r="EW520" s="163"/>
      <c r="EX520" s="163"/>
      <c r="EY520" s="163"/>
      <c r="EZ520" s="80"/>
      <c r="FA520" s="80"/>
      <c r="FB520" s="80"/>
      <c r="FC520" s="80"/>
      <c r="FD520" s="80"/>
      <c r="FE520" s="80"/>
      <c r="FF520" s="80"/>
      <c r="FG520" s="80"/>
      <c r="FH520" s="80"/>
      <c r="FI520" s="80"/>
      <c r="FJ520" s="80"/>
      <c r="FK520" s="80"/>
    </row>
    <row r="521" spans="4:167">
      <c r="D521" s="283">
        <f>SUM(D517:D520)</f>
        <v>4986293443.9881296</v>
      </c>
      <c r="E521" s="283">
        <f t="shared" ref="E521:O521" si="87">SUM(E517:E520)</f>
        <v>5086019312.8678923</v>
      </c>
      <c r="F521" s="283">
        <f t="shared" si="87"/>
        <v>5187739699.1252499</v>
      </c>
      <c r="G521" s="283">
        <f t="shared" si="87"/>
        <v>4980230111.1602392</v>
      </c>
      <c r="H521" s="283">
        <f t="shared" si="87"/>
        <v>5030032412.271842</v>
      </c>
      <c r="I521" s="283">
        <f t="shared" si="87"/>
        <v>5080332736.3945599</v>
      </c>
      <c r="J521" s="283">
        <f t="shared" si="87"/>
        <v>4978726081.6666689</v>
      </c>
      <c r="K521" s="283">
        <f t="shared" si="87"/>
        <v>5078300603.3000021</v>
      </c>
      <c r="L521" s="283">
        <f t="shared" si="87"/>
        <v>4976734591.2340021</v>
      </c>
      <c r="M521" s="283">
        <f t="shared" si="87"/>
        <v>4877199899.4093218</v>
      </c>
      <c r="N521" s="283">
        <f t="shared" si="87"/>
        <v>4779655901.4211359</v>
      </c>
      <c r="O521" s="283">
        <f t="shared" si="87"/>
        <v>4684062783.3927135</v>
      </c>
    </row>
    <row r="523" spans="4:167">
      <c r="D523" s="283">
        <f>D521*25%</f>
        <v>1246573360.9970324</v>
      </c>
      <c r="E523" s="283">
        <f t="shared" ref="E523:O523" si="88">E521*25%</f>
        <v>1271504828.2169731</v>
      </c>
      <c r="F523" s="283">
        <f t="shared" si="88"/>
        <v>1296934924.7813125</v>
      </c>
      <c r="G523" s="283">
        <f t="shared" si="88"/>
        <v>1245057527.7900598</v>
      </c>
      <c r="H523" s="283">
        <f t="shared" si="88"/>
        <v>1257508103.0679605</v>
      </c>
      <c r="I523" s="283">
        <f t="shared" si="88"/>
        <v>1270083184.09864</v>
      </c>
      <c r="J523" s="283">
        <f t="shared" si="88"/>
        <v>1244681520.4166672</v>
      </c>
      <c r="K523" s="283">
        <f t="shared" si="88"/>
        <v>1269575150.8250005</v>
      </c>
      <c r="L523" s="283">
        <f t="shared" si="88"/>
        <v>1244183647.8085005</v>
      </c>
      <c r="M523" s="283">
        <f t="shared" si="88"/>
        <v>1219299974.8523304</v>
      </c>
      <c r="N523" s="283">
        <f t="shared" si="88"/>
        <v>1194913975.355284</v>
      </c>
      <c r="O523" s="283">
        <f t="shared" si="88"/>
        <v>1171015695.8481784</v>
      </c>
    </row>
    <row r="524" spans="4:167">
      <c r="D524" s="283">
        <f>D523*25%</f>
        <v>311643340.2492581</v>
      </c>
      <c r="E524" s="283">
        <f t="shared" ref="E524:O524" si="89">E523*25%</f>
        <v>317876207.05424327</v>
      </c>
      <c r="F524" s="283">
        <f t="shared" si="89"/>
        <v>324233731.19532812</v>
      </c>
      <c r="G524" s="283">
        <f t="shared" si="89"/>
        <v>311264381.94751495</v>
      </c>
      <c r="H524" s="283">
        <f t="shared" si="89"/>
        <v>314377025.76699013</v>
      </c>
      <c r="I524" s="283">
        <f t="shared" si="89"/>
        <v>317520796.02465999</v>
      </c>
      <c r="J524" s="283">
        <f t="shared" si="89"/>
        <v>311170380.10416681</v>
      </c>
      <c r="K524" s="283">
        <f t="shared" si="89"/>
        <v>317393787.70625013</v>
      </c>
      <c r="L524" s="283">
        <f t="shared" si="89"/>
        <v>311045911.95212513</v>
      </c>
      <c r="M524" s="283">
        <f t="shared" si="89"/>
        <v>304824993.71308261</v>
      </c>
      <c r="N524" s="283">
        <f t="shared" si="89"/>
        <v>298728493.83882099</v>
      </c>
      <c r="O524" s="283">
        <f t="shared" si="89"/>
        <v>292753923.9620446</v>
      </c>
    </row>
    <row r="550" spans="3:183">
      <c r="I550" s="283">
        <f>+'[7]CASH  FLOW (3)'!$P$181</f>
        <v>571720010.48000002</v>
      </c>
      <c r="GA550" s="77">
        <f>SUM(J116:J116)</f>
        <v>120000000</v>
      </c>
    </row>
    <row r="551" spans="3:183">
      <c r="I551" s="283">
        <f>+I119-I550</f>
        <v>-205146310.20189714</v>
      </c>
    </row>
    <row r="554" spans="3:183">
      <c r="I554" s="283" t="s">
        <v>128</v>
      </c>
    </row>
    <row r="555" spans="3:183">
      <c r="C555" s="262" t="s">
        <v>135</v>
      </c>
      <c r="J555" s="283">
        <v>95488400</v>
      </c>
    </row>
    <row r="556" spans="3:183">
      <c r="C556" s="262" t="s">
        <v>136</v>
      </c>
      <c r="J556" s="283">
        <f>[3]JULI!$H$112</f>
        <v>136328714</v>
      </c>
    </row>
    <row r="557" spans="3:183">
      <c r="C557" s="262" t="s">
        <v>137</v>
      </c>
      <c r="J557" s="283">
        <f>[8]JULI!$G$312</f>
        <v>156009</v>
      </c>
    </row>
    <row r="583" spans="3:15">
      <c r="C583" s="262" t="s">
        <v>138</v>
      </c>
      <c r="J583" s="283">
        <v>22746010</v>
      </c>
    </row>
    <row r="584" spans="3:15">
      <c r="C584" s="262" t="s">
        <v>139</v>
      </c>
      <c r="J584" s="283">
        <v>53472958.619999997</v>
      </c>
    </row>
    <row r="585" spans="3:15">
      <c r="C585" s="262" t="s">
        <v>140</v>
      </c>
      <c r="J585" s="283">
        <v>101000000</v>
      </c>
    </row>
    <row r="586" spans="3:15">
      <c r="C586" s="262" t="s">
        <v>141</v>
      </c>
      <c r="J586" s="283">
        <v>204641444</v>
      </c>
    </row>
    <row r="587" spans="3:15">
      <c r="C587" s="262" t="s">
        <v>146</v>
      </c>
      <c r="J587" s="283">
        <v>11091584</v>
      </c>
    </row>
    <row r="588" spans="3:15">
      <c r="J588" s="283">
        <f>SUM(J555:J587)</f>
        <v>624925119.62</v>
      </c>
    </row>
    <row r="590" spans="3:15">
      <c r="J590" s="283">
        <f>J119-J588</f>
        <v>-250398256.09940064</v>
      </c>
    </row>
    <row r="592" spans="3:15">
      <c r="M592" s="283">
        <v>1</v>
      </c>
      <c r="N592" s="283">
        <v>75000000</v>
      </c>
      <c r="O592" s="283" t="s">
        <v>147</v>
      </c>
    </row>
    <row r="593" spans="3:15">
      <c r="M593" s="283">
        <v>2</v>
      </c>
      <c r="N593" s="283">
        <v>75000000</v>
      </c>
      <c r="O593" s="283" t="s">
        <v>148</v>
      </c>
    </row>
    <row r="594" spans="3:15">
      <c r="M594" s="283">
        <v>3</v>
      </c>
      <c r="N594" s="283">
        <v>75000000</v>
      </c>
      <c r="O594" s="283" t="s">
        <v>149</v>
      </c>
    </row>
    <row r="595" spans="3:15">
      <c r="M595" s="283">
        <v>4</v>
      </c>
      <c r="N595" s="283">
        <v>75000000</v>
      </c>
      <c r="O595" s="283" t="s">
        <v>150</v>
      </c>
    </row>
    <row r="596" spans="3:15">
      <c r="M596" s="283">
        <v>5</v>
      </c>
      <c r="N596" s="283">
        <v>75000000</v>
      </c>
      <c r="O596" s="283" t="s">
        <v>151</v>
      </c>
    </row>
    <row r="597" spans="3:15">
      <c r="M597" s="283">
        <v>6</v>
      </c>
      <c r="N597" s="283">
        <v>75000000</v>
      </c>
      <c r="O597" s="283" t="s">
        <v>152</v>
      </c>
    </row>
    <row r="598" spans="3:15">
      <c r="C598" s="262">
        <v>160000000</v>
      </c>
      <c r="M598" s="283">
        <v>7</v>
      </c>
      <c r="N598" s="283">
        <v>75000000</v>
      </c>
      <c r="O598" s="283" t="s">
        <v>153</v>
      </c>
    </row>
    <row r="599" spans="3:15">
      <c r="C599" s="262">
        <v>230000000</v>
      </c>
      <c r="M599" s="283">
        <v>8</v>
      </c>
      <c r="N599" s="283">
        <v>75000000</v>
      </c>
      <c r="O599" s="283" t="s">
        <v>154</v>
      </c>
    </row>
    <row r="600" spans="3:15">
      <c r="C600" s="262">
        <f>+C599-C598</f>
        <v>70000000</v>
      </c>
      <c r="M600" s="283">
        <v>9</v>
      </c>
      <c r="N600" s="283">
        <v>75000000</v>
      </c>
      <c r="O600" s="283" t="s">
        <v>155</v>
      </c>
    </row>
    <row r="601" spans="3:15">
      <c r="M601" s="283">
        <v>10</v>
      </c>
      <c r="N601" s="283">
        <v>75000000</v>
      </c>
      <c r="O601" s="283" t="s">
        <v>156</v>
      </c>
    </row>
    <row r="602" spans="3:15">
      <c r="M602" s="283">
        <v>11</v>
      </c>
      <c r="N602" s="283">
        <v>75000000</v>
      </c>
      <c r="O602" s="283" t="s">
        <v>157</v>
      </c>
    </row>
    <row r="603" spans="3:15">
      <c r="C603" s="382">
        <v>160000000</v>
      </c>
      <c r="M603" s="283">
        <v>12</v>
      </c>
      <c r="N603" s="283">
        <v>75000000</v>
      </c>
      <c r="O603" s="283" t="s">
        <v>158</v>
      </c>
    </row>
    <row r="604" spans="3:15">
      <c r="C604" s="382">
        <v>80000000</v>
      </c>
      <c r="M604" s="283">
        <v>13</v>
      </c>
      <c r="N604" s="283">
        <v>75000000</v>
      </c>
      <c r="O604" s="283" t="s">
        <v>147</v>
      </c>
    </row>
    <row r="605" spans="3:15">
      <c r="C605" s="382">
        <v>40000000</v>
      </c>
      <c r="M605" s="283">
        <v>14</v>
      </c>
      <c r="N605" s="283">
        <v>75000000</v>
      </c>
      <c r="O605" s="283" t="s">
        <v>148</v>
      </c>
    </row>
    <row r="606" spans="3:15">
      <c r="C606" s="382">
        <f>SUM(C603:C605)</f>
        <v>280000000</v>
      </c>
      <c r="M606" s="283">
        <v>15</v>
      </c>
      <c r="N606" s="283">
        <v>75000000</v>
      </c>
      <c r="O606" s="283" t="s">
        <v>149</v>
      </c>
    </row>
    <row r="607" spans="3:15">
      <c r="M607" s="283">
        <v>16</v>
      </c>
      <c r="N607" s="283">
        <v>75000000</v>
      </c>
      <c r="O607" s="283" t="s">
        <v>150</v>
      </c>
    </row>
    <row r="608" spans="3:15">
      <c r="C608" s="382">
        <v>220000</v>
      </c>
      <c r="M608" s="283">
        <v>17</v>
      </c>
      <c r="N608" s="283">
        <v>75000000</v>
      </c>
      <c r="O608" s="283" t="s">
        <v>151</v>
      </c>
    </row>
    <row r="609" spans="13:15">
      <c r="M609" s="283">
        <v>18</v>
      </c>
      <c r="N609" s="283">
        <v>75000000</v>
      </c>
      <c r="O609" s="283" t="s">
        <v>152</v>
      </c>
    </row>
    <row r="610" spans="13:15">
      <c r="M610" s="283">
        <v>19</v>
      </c>
      <c r="N610" s="283">
        <v>75000000</v>
      </c>
      <c r="O610" s="283" t="s">
        <v>153</v>
      </c>
    </row>
    <row r="611" spans="13:15">
      <c r="M611" s="283">
        <v>20</v>
      </c>
      <c r="N611" s="283">
        <v>75000000</v>
      </c>
      <c r="O611" s="283" t="s">
        <v>154</v>
      </c>
    </row>
    <row r="612" spans="13:15">
      <c r="M612" s="283">
        <v>21</v>
      </c>
      <c r="N612" s="283">
        <v>75000000</v>
      </c>
      <c r="O612" s="283" t="s">
        <v>155</v>
      </c>
    </row>
    <row r="613" spans="13:15">
      <c r="M613" s="283">
        <v>22</v>
      </c>
      <c r="N613" s="283">
        <v>75000000</v>
      </c>
      <c r="O613" s="283" t="s">
        <v>156</v>
      </c>
    </row>
    <row r="614" spans="13:15">
      <c r="M614" s="283">
        <v>23</v>
      </c>
      <c r="N614" s="283">
        <v>75000000</v>
      </c>
      <c r="O614" s="283" t="s">
        <v>157</v>
      </c>
    </row>
    <row r="615" spans="13:15">
      <c r="M615" s="283">
        <v>24</v>
      </c>
      <c r="N615" s="283">
        <v>75000000</v>
      </c>
      <c r="O615" s="283" t="s">
        <v>147</v>
      </c>
    </row>
    <row r="616" spans="13:15">
      <c r="M616" s="283">
        <v>25</v>
      </c>
      <c r="N616" s="283">
        <v>75000000</v>
      </c>
      <c r="O616" s="283" t="s">
        <v>148</v>
      </c>
    </row>
    <row r="617" spans="13:15">
      <c r="M617" s="283">
        <v>26</v>
      </c>
      <c r="N617" s="283">
        <v>75000000</v>
      </c>
      <c r="O617" s="283" t="s">
        <v>149</v>
      </c>
    </row>
    <row r="618" spans="13:15">
      <c r="M618" s="283">
        <v>27</v>
      </c>
      <c r="N618" s="283">
        <v>75000000</v>
      </c>
      <c r="O618" s="283" t="s">
        <v>150</v>
      </c>
    </row>
    <row r="619" spans="13:15">
      <c r="M619" s="283">
        <v>28</v>
      </c>
      <c r="N619" s="283">
        <v>75000000</v>
      </c>
      <c r="O619" s="283" t="s">
        <v>151</v>
      </c>
    </row>
    <row r="620" spans="13:15">
      <c r="M620" s="283">
        <v>29</v>
      </c>
      <c r="N620" s="283">
        <v>75000000</v>
      </c>
      <c r="O620" s="283" t="s">
        <v>152</v>
      </c>
    </row>
    <row r="621" spans="13:15">
      <c r="M621" s="283">
        <v>30</v>
      </c>
      <c r="N621" s="283">
        <v>75000000</v>
      </c>
      <c r="O621" s="283" t="s">
        <v>153</v>
      </c>
    </row>
    <row r="622" spans="13:15">
      <c r="M622" s="283">
        <v>31</v>
      </c>
      <c r="N622" s="283">
        <v>75000000</v>
      </c>
      <c r="O622" s="283" t="s">
        <v>154</v>
      </c>
    </row>
    <row r="623" spans="13:15">
      <c r="M623" s="283">
        <v>32</v>
      </c>
      <c r="N623" s="283">
        <f>SUM(N592:N622)</f>
        <v>2325000000</v>
      </c>
    </row>
    <row r="624" spans="13:15">
      <c r="M624" s="283">
        <v>33</v>
      </c>
    </row>
    <row r="625" spans="13:13">
      <c r="M625" s="283">
        <v>34</v>
      </c>
    </row>
    <row r="626" spans="13:13">
      <c r="M626" s="283">
        <v>35</v>
      </c>
    </row>
    <row r="627" spans="13:13">
      <c r="M627" s="283">
        <v>36</v>
      </c>
    </row>
    <row r="628" spans="13:13">
      <c r="M628" s="283">
        <v>37</v>
      </c>
    </row>
  </sheetData>
  <mergeCells count="26">
    <mergeCell ref="D508:O508"/>
    <mergeCell ref="D509:O509"/>
    <mergeCell ref="A117:C117"/>
    <mergeCell ref="A119:C119"/>
    <mergeCell ref="B22:C22"/>
    <mergeCell ref="B24:C24"/>
    <mergeCell ref="B26:D26"/>
    <mergeCell ref="B101:C101"/>
    <mergeCell ref="B20:C20"/>
    <mergeCell ref="B21:C21"/>
    <mergeCell ref="B17:C17"/>
    <mergeCell ref="A9:C9"/>
    <mergeCell ref="A5:C7"/>
    <mergeCell ref="B8:C8"/>
    <mergeCell ref="B11:C11"/>
    <mergeCell ref="B13:C13"/>
    <mergeCell ref="B14:C14"/>
    <mergeCell ref="B15:C15"/>
    <mergeCell ref="B18:C18"/>
    <mergeCell ref="B16:C16"/>
    <mergeCell ref="B19:C19"/>
    <mergeCell ref="N5:O5"/>
    <mergeCell ref="N6:O6"/>
    <mergeCell ref="D5:H5"/>
    <mergeCell ref="D6:H6"/>
    <mergeCell ref="P5:P7"/>
  </mergeCells>
  <pageMargins left="0.75" right="0" top="0.75" bottom="0" header="0.3" footer="0.3"/>
  <pageSetup paperSize="5" scale="85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1:J35"/>
  <sheetViews>
    <sheetView topLeftCell="A19" workbookViewId="0">
      <selection activeCell="M19" sqref="M19"/>
    </sheetView>
  </sheetViews>
  <sheetFormatPr defaultRowHeight="15"/>
  <cols>
    <col min="2" max="2" width="10.140625" customWidth="1"/>
    <col min="3" max="3" width="14.5703125" customWidth="1"/>
    <col min="4" max="4" width="14.5703125" style="73" customWidth="1"/>
    <col min="5" max="5" width="14.5703125" customWidth="1"/>
    <col min="6" max="6" width="1.42578125" customWidth="1"/>
    <col min="7" max="7" width="14.140625" customWidth="1"/>
    <col min="8" max="10" width="14.5703125" customWidth="1"/>
  </cols>
  <sheetData>
    <row r="1" spans="2:10">
      <c r="B1" s="623" t="s">
        <v>185</v>
      </c>
      <c r="C1" s="623"/>
      <c r="D1" s="623"/>
      <c r="E1" s="623"/>
      <c r="F1" s="623"/>
      <c r="G1" s="623"/>
      <c r="H1" s="623"/>
      <c r="I1" s="623"/>
      <c r="J1" s="623"/>
    </row>
    <row r="2" spans="2:10">
      <c r="B2" s="624"/>
      <c r="C2" s="624"/>
      <c r="D2" s="624"/>
      <c r="E2" s="624"/>
      <c r="F2" s="624"/>
      <c r="G2" s="624"/>
      <c r="H2" s="624"/>
      <c r="I2" s="624"/>
      <c r="J2" s="624"/>
    </row>
    <row r="4" spans="2:10">
      <c r="G4" s="73"/>
    </row>
    <row r="5" spans="2:10">
      <c r="B5" s="85" t="s">
        <v>1</v>
      </c>
      <c r="C5" s="86" t="s">
        <v>159</v>
      </c>
      <c r="D5" s="87" t="s">
        <v>20</v>
      </c>
      <c r="E5" s="88" t="s">
        <v>160</v>
      </c>
      <c r="G5" s="85" t="s">
        <v>1</v>
      </c>
      <c r="H5" s="86" t="s">
        <v>159</v>
      </c>
      <c r="I5" s="87" t="s">
        <v>20</v>
      </c>
      <c r="J5" s="88" t="s">
        <v>160</v>
      </c>
    </row>
    <row r="6" spans="2:10">
      <c r="B6" s="89"/>
      <c r="C6" s="90"/>
      <c r="D6" s="2"/>
      <c r="E6" s="91"/>
      <c r="G6" s="89"/>
      <c r="H6" s="90"/>
      <c r="I6" s="2"/>
      <c r="J6" s="91"/>
    </row>
    <row r="7" spans="2:10">
      <c r="B7" s="92">
        <v>41640</v>
      </c>
      <c r="C7" s="75">
        <f>+'[10]RAB 2014'!$E$69</f>
        <v>240000000</v>
      </c>
      <c r="D7" s="75"/>
      <c r="E7" s="84">
        <f>+C7</f>
        <v>240000000</v>
      </c>
      <c r="G7" s="92">
        <v>41640</v>
      </c>
      <c r="H7" s="75">
        <v>1437674503</v>
      </c>
      <c r="I7" s="75"/>
      <c r="J7" s="84">
        <f>+H7</f>
        <v>1437674503</v>
      </c>
    </row>
    <row r="8" spans="2:10">
      <c r="B8" s="92">
        <v>41944</v>
      </c>
      <c r="C8" s="75">
        <f>+'[10]RAB 2014'!$I$129</f>
        <v>750000000</v>
      </c>
      <c r="D8" s="75"/>
      <c r="E8" s="84">
        <f>+E7+C8-D8</f>
        <v>990000000</v>
      </c>
      <c r="G8" s="92">
        <v>41944</v>
      </c>
      <c r="H8" s="75"/>
      <c r="I8" s="75"/>
      <c r="J8" s="84">
        <f>+J7+H8-I8</f>
        <v>1437674503</v>
      </c>
    </row>
    <row r="9" spans="2:10">
      <c r="B9" s="94" t="s">
        <v>161</v>
      </c>
      <c r="C9" s="75">
        <f>+'[10]RAB 2014'!$J$129</f>
        <v>687674503</v>
      </c>
      <c r="D9" s="75"/>
      <c r="E9" s="84">
        <f t="shared" ref="E9:E33" si="0">+E8+C9-D9</f>
        <v>1677674503</v>
      </c>
      <c r="G9" s="94" t="s">
        <v>161</v>
      </c>
      <c r="H9" s="75"/>
      <c r="I9" s="75"/>
      <c r="J9" s="84">
        <f t="shared" ref="J9:J33" si="1">+J8+H9-I9</f>
        <v>1437674503</v>
      </c>
    </row>
    <row r="10" spans="2:10">
      <c r="B10" s="95" t="s">
        <v>162</v>
      </c>
      <c r="C10" s="75"/>
      <c r="D10" s="75">
        <v>75000000</v>
      </c>
      <c r="E10" s="84">
        <f t="shared" si="0"/>
        <v>1602674503</v>
      </c>
      <c r="G10" s="95" t="s">
        <v>162</v>
      </c>
      <c r="H10" s="75"/>
      <c r="I10" s="75">
        <v>75000000</v>
      </c>
      <c r="J10" s="84">
        <f t="shared" si="1"/>
        <v>1362674503</v>
      </c>
    </row>
    <row r="11" spans="2:10">
      <c r="B11" s="94" t="s">
        <v>163</v>
      </c>
      <c r="C11" s="75"/>
      <c r="D11" s="75">
        <v>75000000</v>
      </c>
      <c r="E11" s="84">
        <f t="shared" si="0"/>
        <v>1527674503</v>
      </c>
      <c r="G11" s="94" t="s">
        <v>163</v>
      </c>
      <c r="H11" s="75"/>
      <c r="I11" s="75">
        <v>75000000</v>
      </c>
      <c r="J11" s="84">
        <f t="shared" si="1"/>
        <v>1287674503</v>
      </c>
    </row>
    <row r="12" spans="2:10">
      <c r="B12" s="95" t="s">
        <v>179</v>
      </c>
      <c r="C12" s="75"/>
      <c r="D12" s="75">
        <v>75000000</v>
      </c>
      <c r="E12" s="84">
        <f t="shared" si="0"/>
        <v>1452674503</v>
      </c>
      <c r="G12" s="96" t="s">
        <v>179</v>
      </c>
      <c r="H12" s="75"/>
      <c r="I12" s="75">
        <v>75000000</v>
      </c>
      <c r="J12" s="84">
        <f t="shared" si="1"/>
        <v>1212674503</v>
      </c>
    </row>
    <row r="13" spans="2:10">
      <c r="B13" s="94" t="s">
        <v>164</v>
      </c>
      <c r="C13" s="75"/>
      <c r="D13" s="75">
        <v>75000000</v>
      </c>
      <c r="E13" s="84">
        <f t="shared" si="0"/>
        <v>1377674503</v>
      </c>
      <c r="G13" s="94" t="s">
        <v>164</v>
      </c>
      <c r="H13" s="75"/>
      <c r="I13" s="75">
        <v>75000000</v>
      </c>
      <c r="J13" s="84">
        <f t="shared" si="1"/>
        <v>1137674503</v>
      </c>
    </row>
    <row r="14" spans="2:10">
      <c r="B14" s="95" t="s">
        <v>180</v>
      </c>
      <c r="C14" s="75"/>
      <c r="D14" s="75">
        <v>75000000</v>
      </c>
      <c r="E14" s="84">
        <f t="shared" si="0"/>
        <v>1302674503</v>
      </c>
      <c r="G14" s="96" t="s">
        <v>180</v>
      </c>
      <c r="H14" s="75"/>
      <c r="I14" s="75">
        <v>75000000</v>
      </c>
      <c r="J14" s="84">
        <f t="shared" si="1"/>
        <v>1062674503</v>
      </c>
    </row>
    <row r="15" spans="2:10">
      <c r="B15" s="95" t="s">
        <v>181</v>
      </c>
      <c r="C15" s="75"/>
      <c r="D15" s="75">
        <v>75000000</v>
      </c>
      <c r="E15" s="84">
        <f t="shared" si="0"/>
        <v>1227674503</v>
      </c>
      <c r="G15" s="96" t="s">
        <v>181</v>
      </c>
      <c r="H15" s="75"/>
      <c r="I15" s="75">
        <v>75000000</v>
      </c>
      <c r="J15" s="84">
        <f t="shared" si="1"/>
        <v>987674503</v>
      </c>
    </row>
    <row r="16" spans="2:10">
      <c r="B16" s="94" t="s">
        <v>165</v>
      </c>
      <c r="C16" s="75"/>
      <c r="D16" s="75">
        <v>75000000</v>
      </c>
      <c r="E16" s="84">
        <f t="shared" si="0"/>
        <v>1152674503</v>
      </c>
      <c r="G16" s="94" t="s">
        <v>165</v>
      </c>
      <c r="H16" s="75"/>
      <c r="I16" s="75">
        <v>75000000</v>
      </c>
      <c r="J16" s="84">
        <f t="shared" si="1"/>
        <v>912674503</v>
      </c>
    </row>
    <row r="17" spans="2:10">
      <c r="B17" s="95" t="s">
        <v>182</v>
      </c>
      <c r="C17" s="75"/>
      <c r="D17" s="75">
        <v>75000000</v>
      </c>
      <c r="E17" s="84">
        <f t="shared" si="0"/>
        <v>1077674503</v>
      </c>
      <c r="G17" s="96" t="s">
        <v>182</v>
      </c>
      <c r="H17" s="75"/>
      <c r="I17" s="75">
        <v>75000000</v>
      </c>
      <c r="J17" s="84">
        <f t="shared" si="1"/>
        <v>837674503</v>
      </c>
    </row>
    <row r="18" spans="2:10">
      <c r="B18" s="94" t="s">
        <v>166</v>
      </c>
      <c r="C18" s="75"/>
      <c r="D18" s="75">
        <v>75000000</v>
      </c>
      <c r="E18" s="84">
        <f t="shared" si="0"/>
        <v>1002674503</v>
      </c>
      <c r="G18" s="94" t="s">
        <v>166</v>
      </c>
      <c r="H18" s="75"/>
      <c r="I18" s="75">
        <v>75000000</v>
      </c>
      <c r="J18" s="84">
        <f t="shared" si="1"/>
        <v>762674503</v>
      </c>
    </row>
    <row r="19" spans="2:10">
      <c r="B19" s="95" t="s">
        <v>183</v>
      </c>
      <c r="C19" s="75"/>
      <c r="D19" s="75">
        <v>75000000</v>
      </c>
      <c r="E19" s="84">
        <f t="shared" si="0"/>
        <v>927674503</v>
      </c>
      <c r="G19" s="96" t="s">
        <v>183</v>
      </c>
      <c r="H19" s="75"/>
      <c r="I19" s="75">
        <v>75000000</v>
      </c>
      <c r="J19" s="84">
        <f t="shared" si="1"/>
        <v>687674503</v>
      </c>
    </row>
    <row r="20" spans="2:10">
      <c r="B20" s="94" t="s">
        <v>167</v>
      </c>
      <c r="C20" s="75"/>
      <c r="D20" s="75">
        <v>75000000</v>
      </c>
      <c r="E20" s="84">
        <f t="shared" si="0"/>
        <v>852674503</v>
      </c>
      <c r="G20" s="94" t="s">
        <v>167</v>
      </c>
      <c r="H20" s="75"/>
      <c r="I20" s="75">
        <v>75000000</v>
      </c>
      <c r="J20" s="84">
        <f t="shared" si="1"/>
        <v>612674503</v>
      </c>
    </row>
    <row r="21" spans="2:10">
      <c r="B21" s="95" t="s">
        <v>168</v>
      </c>
      <c r="C21" s="75"/>
      <c r="D21" s="75">
        <v>75000000</v>
      </c>
      <c r="E21" s="84">
        <f t="shared" si="0"/>
        <v>777674503</v>
      </c>
      <c r="G21" s="95" t="s">
        <v>168</v>
      </c>
      <c r="H21" s="75"/>
      <c r="I21" s="75">
        <v>75000000</v>
      </c>
      <c r="J21" s="84">
        <f t="shared" si="1"/>
        <v>537674503</v>
      </c>
    </row>
    <row r="22" spans="2:10">
      <c r="B22" s="95" t="s">
        <v>169</v>
      </c>
      <c r="C22" s="75"/>
      <c r="D22" s="75">
        <v>75000000</v>
      </c>
      <c r="E22" s="84">
        <f t="shared" si="0"/>
        <v>702674503</v>
      </c>
      <c r="G22" s="95" t="s">
        <v>169</v>
      </c>
      <c r="H22" s="75"/>
      <c r="I22" s="75">
        <v>75000000</v>
      </c>
      <c r="J22" s="84">
        <f t="shared" si="1"/>
        <v>462674503</v>
      </c>
    </row>
    <row r="23" spans="2:10">
      <c r="B23" s="97" t="s">
        <v>170</v>
      </c>
      <c r="C23" s="75"/>
      <c r="D23" s="75">
        <v>75000000</v>
      </c>
      <c r="E23" s="84">
        <f t="shared" si="0"/>
        <v>627674503</v>
      </c>
      <c r="G23" s="97" t="s">
        <v>170</v>
      </c>
      <c r="H23" s="75"/>
      <c r="I23" s="75">
        <v>75000000</v>
      </c>
      <c r="J23" s="84">
        <f t="shared" si="1"/>
        <v>387674503</v>
      </c>
    </row>
    <row r="24" spans="2:10">
      <c r="B24" s="97" t="s">
        <v>171</v>
      </c>
      <c r="C24" s="75"/>
      <c r="D24" s="75">
        <v>75000000</v>
      </c>
      <c r="E24" s="84">
        <f t="shared" si="0"/>
        <v>552674503</v>
      </c>
      <c r="G24" s="97" t="s">
        <v>171</v>
      </c>
      <c r="H24" s="75"/>
      <c r="I24" s="75">
        <v>75000000</v>
      </c>
      <c r="J24" s="84">
        <f t="shared" si="1"/>
        <v>312674503</v>
      </c>
    </row>
    <row r="25" spans="2:10">
      <c r="B25" s="97" t="s">
        <v>172</v>
      </c>
      <c r="C25" s="75"/>
      <c r="D25" s="75">
        <v>75000000</v>
      </c>
      <c r="E25" s="84">
        <f t="shared" si="0"/>
        <v>477674503</v>
      </c>
      <c r="G25" s="97" t="s">
        <v>172</v>
      </c>
      <c r="H25" s="75"/>
      <c r="I25" s="75">
        <v>75000000</v>
      </c>
      <c r="J25" s="84">
        <f t="shared" si="1"/>
        <v>237674503</v>
      </c>
    </row>
    <row r="26" spans="2:10">
      <c r="B26" s="97" t="s">
        <v>173</v>
      </c>
      <c r="C26" s="75"/>
      <c r="D26" s="75">
        <v>75000000</v>
      </c>
      <c r="E26" s="84">
        <f t="shared" si="0"/>
        <v>402674503</v>
      </c>
      <c r="G26" s="97" t="s">
        <v>173</v>
      </c>
      <c r="H26" s="75"/>
      <c r="I26" s="75">
        <v>75000000</v>
      </c>
      <c r="J26" s="84">
        <f t="shared" si="1"/>
        <v>162674503</v>
      </c>
    </row>
    <row r="27" spans="2:10">
      <c r="B27" s="94" t="s">
        <v>174</v>
      </c>
      <c r="C27" s="75"/>
      <c r="D27" s="75">
        <v>75000000</v>
      </c>
      <c r="E27" s="84">
        <f t="shared" si="0"/>
        <v>327674503</v>
      </c>
      <c r="G27" s="94" t="s">
        <v>174</v>
      </c>
      <c r="H27" s="75"/>
      <c r="I27" s="75">
        <v>75000000</v>
      </c>
      <c r="J27" s="84">
        <f t="shared" si="1"/>
        <v>87674503</v>
      </c>
    </row>
    <row r="28" spans="2:10">
      <c r="B28" s="94" t="s">
        <v>175</v>
      </c>
      <c r="C28" s="75"/>
      <c r="D28" s="75">
        <v>75000000</v>
      </c>
      <c r="E28" s="84">
        <f t="shared" si="0"/>
        <v>252674503</v>
      </c>
      <c r="G28" s="94" t="s">
        <v>175</v>
      </c>
      <c r="H28" s="75"/>
      <c r="I28" s="75">
        <v>75000000</v>
      </c>
      <c r="J28" s="84">
        <f t="shared" si="1"/>
        <v>12674503</v>
      </c>
    </row>
    <row r="29" spans="2:10">
      <c r="B29" s="95" t="s">
        <v>184</v>
      </c>
      <c r="C29" s="75"/>
      <c r="D29" s="75">
        <v>75000000</v>
      </c>
      <c r="E29" s="84">
        <f t="shared" si="0"/>
        <v>177674503</v>
      </c>
      <c r="G29" s="96" t="s">
        <v>184</v>
      </c>
      <c r="H29" s="75"/>
      <c r="I29" s="75">
        <v>12674503</v>
      </c>
      <c r="J29" s="84">
        <f t="shared" si="1"/>
        <v>0</v>
      </c>
    </row>
    <row r="30" spans="2:10">
      <c r="B30" s="97" t="s">
        <v>176</v>
      </c>
      <c r="C30" s="75"/>
      <c r="D30" s="75">
        <v>75000000</v>
      </c>
      <c r="E30" s="84">
        <f t="shared" si="0"/>
        <v>102674503</v>
      </c>
      <c r="G30" s="97"/>
      <c r="H30" s="75"/>
      <c r="I30" s="75"/>
      <c r="J30" s="84">
        <f t="shared" si="1"/>
        <v>0</v>
      </c>
    </row>
    <row r="31" spans="2:10">
      <c r="B31" s="97" t="s">
        <v>177</v>
      </c>
      <c r="C31" s="75"/>
      <c r="D31" s="75">
        <v>75000000</v>
      </c>
      <c r="E31" s="84">
        <f t="shared" si="0"/>
        <v>27674503</v>
      </c>
      <c r="G31" s="97"/>
      <c r="H31" s="75"/>
      <c r="I31" s="75"/>
      <c r="J31" s="84">
        <f t="shared" si="1"/>
        <v>0</v>
      </c>
    </row>
    <row r="32" spans="2:10">
      <c r="B32" s="97" t="s">
        <v>178</v>
      </c>
      <c r="C32" s="75"/>
      <c r="D32" s="75">
        <v>27674503</v>
      </c>
      <c r="E32" s="84">
        <f t="shared" si="0"/>
        <v>0</v>
      </c>
      <c r="G32" s="97"/>
      <c r="H32" s="75"/>
      <c r="I32" s="75"/>
      <c r="J32" s="84">
        <f t="shared" si="1"/>
        <v>0</v>
      </c>
    </row>
    <row r="33" spans="2:10">
      <c r="B33" s="89"/>
      <c r="C33" s="75"/>
      <c r="D33" s="75"/>
      <c r="E33" s="84">
        <f t="shared" si="0"/>
        <v>0</v>
      </c>
      <c r="G33" s="89"/>
      <c r="H33" s="90"/>
      <c r="I33" s="2"/>
      <c r="J33" s="93">
        <f t="shared" si="1"/>
        <v>0</v>
      </c>
    </row>
    <row r="34" spans="2:10">
      <c r="B34" s="98"/>
      <c r="C34" s="102"/>
      <c r="D34" s="102"/>
      <c r="E34" s="103"/>
      <c r="G34" s="98"/>
      <c r="H34" s="99"/>
      <c r="I34" s="100"/>
      <c r="J34" s="101"/>
    </row>
    <row r="35" spans="2:10">
      <c r="C35" s="74"/>
      <c r="D35" s="74"/>
      <c r="E35" s="74"/>
    </row>
  </sheetData>
  <mergeCells count="2">
    <mergeCell ref="B1:J1"/>
    <mergeCell ref="B2:J2"/>
  </mergeCells>
  <pageMargins left="0" right="0" top="0.75" bottom="0.75" header="0.3" footer="0.3"/>
  <pageSetup paperSize="9" scale="8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E6:N8"/>
  <sheetViews>
    <sheetView workbookViewId="0">
      <selection activeCell="N9" sqref="N9"/>
    </sheetView>
  </sheetViews>
  <sheetFormatPr defaultRowHeight="15"/>
  <cols>
    <col min="14" max="14" width="17.7109375" bestFit="1" customWidth="1"/>
  </cols>
  <sheetData>
    <row r="6" spans="5:14">
      <c r="F6" t="s">
        <v>186</v>
      </c>
      <c r="G6" t="s">
        <v>187</v>
      </c>
    </row>
    <row r="7" spans="5:14">
      <c r="E7" t="s">
        <v>136</v>
      </c>
    </row>
    <row r="8" spans="5:14">
      <c r="N8" s="73">
        <f>5183545961-2147121325-2200000000-122682731-139907091-138882588-130000000-103055605</f>
        <v>201896621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B2:J21"/>
  <sheetViews>
    <sheetView topLeftCell="A16" workbookViewId="0">
      <selection activeCell="G32" sqref="G32"/>
    </sheetView>
  </sheetViews>
  <sheetFormatPr defaultRowHeight="15"/>
  <cols>
    <col min="2" max="2" width="24.140625" customWidth="1"/>
    <col min="3" max="3" width="3.5703125" customWidth="1"/>
    <col min="4" max="4" width="18.85546875" customWidth="1"/>
    <col min="9" max="9" width="6.5703125" customWidth="1"/>
  </cols>
  <sheetData>
    <row r="2" spans="2:10" ht="43.5" customHeight="1">
      <c r="B2" s="629" t="s">
        <v>188</v>
      </c>
      <c r="C2" s="630"/>
      <c r="D2" s="630"/>
      <c r="E2" s="630"/>
      <c r="F2" s="630"/>
      <c r="G2" s="630"/>
      <c r="H2" s="630"/>
      <c r="I2" s="630"/>
      <c r="J2" s="631"/>
    </row>
    <row r="3" spans="2:10" ht="23.25" customHeight="1">
      <c r="B3" s="114" t="s">
        <v>189</v>
      </c>
      <c r="C3" s="105" t="s">
        <v>199</v>
      </c>
      <c r="D3" s="632" t="s">
        <v>201</v>
      </c>
      <c r="E3" s="632"/>
      <c r="F3" s="632"/>
      <c r="G3" s="632"/>
      <c r="H3" s="632"/>
      <c r="I3" s="632"/>
      <c r="J3" s="633"/>
    </row>
    <row r="4" spans="2:10" ht="23.25" customHeight="1">
      <c r="B4" s="114" t="s">
        <v>190</v>
      </c>
      <c r="C4" s="105" t="s">
        <v>199</v>
      </c>
      <c r="D4" s="105" t="s">
        <v>214</v>
      </c>
      <c r="E4" s="105"/>
      <c r="F4" s="105"/>
      <c r="G4" s="105"/>
      <c r="H4" s="105"/>
      <c r="I4" s="105"/>
      <c r="J4" s="106"/>
    </row>
    <row r="5" spans="2:10" ht="23.25" customHeight="1">
      <c r="B5" s="114" t="s">
        <v>191</v>
      </c>
      <c r="C5" s="105" t="s">
        <v>199</v>
      </c>
      <c r="D5" s="105" t="s">
        <v>202</v>
      </c>
      <c r="E5" s="105"/>
      <c r="F5" s="105"/>
      <c r="G5" s="105"/>
      <c r="H5" s="105"/>
      <c r="I5" s="105"/>
      <c r="J5" s="106"/>
    </row>
    <row r="6" spans="2:10" ht="23.25" customHeight="1">
      <c r="B6" s="114" t="s">
        <v>192</v>
      </c>
      <c r="C6" s="105" t="s">
        <v>199</v>
      </c>
      <c r="D6" s="116">
        <f>+[11]Analisa!$E$11</f>
        <v>11941761381.22073</v>
      </c>
      <c r="E6" s="105"/>
      <c r="F6" s="105"/>
      <c r="G6" s="105"/>
      <c r="H6" s="105"/>
      <c r="I6" s="105"/>
      <c r="J6" s="106"/>
    </row>
    <row r="7" spans="2:10" ht="23.25" customHeight="1">
      <c r="B7" s="114" t="s">
        <v>193</v>
      </c>
      <c r="C7" s="105" t="s">
        <v>199</v>
      </c>
      <c r="D7" s="116">
        <f>+[11]Analisa!$E$12</f>
        <v>2508812833.1400003</v>
      </c>
      <c r="E7" s="105"/>
      <c r="F7" s="105"/>
      <c r="G7" s="105"/>
      <c r="H7" s="105"/>
      <c r="I7" s="105"/>
      <c r="J7" s="106"/>
    </row>
    <row r="8" spans="2:10" ht="23.25" customHeight="1">
      <c r="B8" s="114" t="s">
        <v>194</v>
      </c>
      <c r="C8" s="105" t="s">
        <v>199</v>
      </c>
      <c r="D8" s="116">
        <f>+(D6/D7)*100%</f>
        <v>4.7599251819333857</v>
      </c>
      <c r="E8" s="105"/>
      <c r="F8" s="105"/>
      <c r="G8" s="105"/>
      <c r="H8" s="105"/>
      <c r="I8" s="105"/>
      <c r="J8" s="106"/>
    </row>
    <row r="9" spans="2:10" ht="23.25" customHeight="1">
      <c r="B9" s="114" t="s">
        <v>195</v>
      </c>
      <c r="C9" s="105" t="s">
        <v>199</v>
      </c>
      <c r="D9" s="116">
        <v>2.5</v>
      </c>
      <c r="E9" s="105"/>
      <c r="F9" s="105"/>
      <c r="G9" s="105"/>
      <c r="H9" s="105"/>
      <c r="I9" s="105"/>
      <c r="J9" s="106"/>
    </row>
    <row r="10" spans="2:10" ht="23.25" customHeight="1">
      <c r="B10" s="114" t="s">
        <v>196</v>
      </c>
      <c r="C10" s="105" t="s">
        <v>199</v>
      </c>
      <c r="D10" s="116">
        <f>+D8</f>
        <v>4.7599251819333857</v>
      </c>
      <c r="E10" s="105"/>
      <c r="F10" s="105"/>
      <c r="G10" s="105"/>
      <c r="H10" s="105"/>
      <c r="I10" s="105"/>
      <c r="J10" s="106"/>
    </row>
    <row r="11" spans="2:10" ht="23.25" customHeight="1">
      <c r="B11" s="114" t="s">
        <v>197</v>
      </c>
      <c r="C11" s="105" t="s">
        <v>199</v>
      </c>
      <c r="D11" s="115" t="s">
        <v>200</v>
      </c>
      <c r="E11" s="104"/>
      <c r="F11" s="105"/>
      <c r="G11" s="105"/>
      <c r="H11" s="105"/>
      <c r="I11" s="105"/>
      <c r="J11" s="106"/>
    </row>
    <row r="12" spans="2:10" ht="15" customHeight="1">
      <c r="B12" s="634" t="s">
        <v>198</v>
      </c>
      <c r="C12" s="637" t="s">
        <v>199</v>
      </c>
      <c r="D12" s="637" t="s">
        <v>213</v>
      </c>
      <c r="E12" s="637"/>
      <c r="F12" s="637"/>
      <c r="G12" s="637"/>
      <c r="H12" s="637"/>
      <c r="I12" s="637"/>
      <c r="J12" s="640"/>
    </row>
    <row r="13" spans="2:10">
      <c r="B13" s="635"/>
      <c r="C13" s="638"/>
      <c r="D13" s="638"/>
      <c r="E13" s="638"/>
      <c r="F13" s="638"/>
      <c r="G13" s="638"/>
      <c r="H13" s="638"/>
      <c r="I13" s="638"/>
      <c r="J13" s="641"/>
    </row>
    <row r="14" spans="2:10">
      <c r="B14" s="635"/>
      <c r="C14" s="638"/>
      <c r="D14" s="638"/>
      <c r="E14" s="638"/>
      <c r="F14" s="638"/>
      <c r="G14" s="638"/>
      <c r="H14" s="638"/>
      <c r="I14" s="638"/>
      <c r="J14" s="641"/>
    </row>
    <row r="15" spans="2:10">
      <c r="B15" s="636"/>
      <c r="C15" s="639"/>
      <c r="D15" s="639"/>
      <c r="E15" s="639"/>
      <c r="F15" s="639"/>
      <c r="G15" s="639"/>
      <c r="H15" s="639"/>
      <c r="I15" s="639"/>
      <c r="J15" s="642"/>
    </row>
    <row r="16" spans="2:10" ht="117" customHeight="1">
      <c r="B16" s="114" t="s">
        <v>203</v>
      </c>
      <c r="C16" s="105" t="s">
        <v>199</v>
      </c>
      <c r="D16" s="105"/>
      <c r="E16" s="105"/>
      <c r="F16" s="105"/>
      <c r="G16" s="105"/>
      <c r="H16" s="105"/>
      <c r="I16" s="105"/>
      <c r="J16" s="106"/>
    </row>
    <row r="17" spans="2:10">
      <c r="B17" s="109"/>
      <c r="C17" s="107"/>
      <c r="D17" s="107"/>
      <c r="E17" s="107"/>
      <c r="F17" s="107"/>
      <c r="G17" s="643" t="s">
        <v>211</v>
      </c>
      <c r="H17" s="643"/>
      <c r="I17" s="643"/>
      <c r="J17" s="644"/>
    </row>
    <row r="18" spans="2:10">
      <c r="B18" s="111" t="s">
        <v>204</v>
      </c>
      <c r="C18" s="112"/>
      <c r="D18" s="112"/>
      <c r="E18" s="112"/>
      <c r="F18" s="112"/>
      <c r="G18" s="625" t="s">
        <v>208</v>
      </c>
      <c r="H18" s="625"/>
      <c r="I18" s="625"/>
      <c r="J18" s="626"/>
    </row>
    <row r="19" spans="2:10">
      <c r="B19" s="111" t="s">
        <v>205</v>
      </c>
      <c r="C19" s="112"/>
      <c r="D19" s="112"/>
      <c r="E19" s="112"/>
      <c r="F19" s="112"/>
      <c r="G19" s="625" t="s">
        <v>209</v>
      </c>
      <c r="H19" s="625"/>
      <c r="I19" s="625"/>
      <c r="J19" s="626"/>
    </row>
    <row r="20" spans="2:10" ht="59.25" customHeight="1">
      <c r="B20" s="111"/>
      <c r="C20" s="112"/>
      <c r="D20" s="112"/>
      <c r="E20" s="112"/>
      <c r="F20" s="112"/>
      <c r="G20" s="112"/>
      <c r="H20" s="112"/>
      <c r="I20" s="112"/>
      <c r="J20" s="113"/>
    </row>
    <row r="21" spans="2:10">
      <c r="B21" s="110" t="s">
        <v>206</v>
      </c>
      <c r="C21" s="108"/>
      <c r="D21" s="108"/>
      <c r="E21" s="108"/>
      <c r="F21" s="108"/>
      <c r="G21" s="627" t="s">
        <v>210</v>
      </c>
      <c r="H21" s="627"/>
      <c r="I21" s="627"/>
      <c r="J21" s="628"/>
    </row>
  </sheetData>
  <mergeCells count="9">
    <mergeCell ref="G18:J18"/>
    <mergeCell ref="G19:J19"/>
    <mergeCell ref="G21:J21"/>
    <mergeCell ref="B2:J2"/>
    <mergeCell ref="D3:J3"/>
    <mergeCell ref="B12:B15"/>
    <mergeCell ref="C12:C15"/>
    <mergeCell ref="D12:J15"/>
    <mergeCell ref="G17:J17"/>
  </mergeCells>
  <pageMargins left="0.25" right="0.25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2:O21"/>
  <sheetViews>
    <sheetView workbookViewId="0">
      <selection activeCell="M5" sqref="M5"/>
    </sheetView>
  </sheetViews>
  <sheetFormatPr defaultRowHeight="15"/>
  <cols>
    <col min="2" max="2" width="24.140625" customWidth="1"/>
    <col min="3" max="3" width="3.5703125" customWidth="1"/>
    <col min="4" max="4" width="18.85546875" customWidth="1"/>
    <col min="9" max="9" width="6.5703125" customWidth="1"/>
    <col min="15" max="15" width="13.28515625" style="73" bestFit="1" customWidth="1"/>
  </cols>
  <sheetData>
    <row r="2" spans="2:15" ht="43.5" customHeight="1">
      <c r="B2" s="629" t="s">
        <v>188</v>
      </c>
      <c r="C2" s="630"/>
      <c r="D2" s="630"/>
      <c r="E2" s="630"/>
      <c r="F2" s="630"/>
      <c r="G2" s="630"/>
      <c r="H2" s="630"/>
      <c r="I2" s="630"/>
      <c r="J2" s="631"/>
    </row>
    <row r="3" spans="2:15" ht="23.25" customHeight="1">
      <c r="B3" s="114" t="s">
        <v>189</v>
      </c>
      <c r="C3" s="105" t="s">
        <v>199</v>
      </c>
      <c r="D3" s="632" t="s">
        <v>201</v>
      </c>
      <c r="E3" s="632"/>
      <c r="F3" s="632"/>
      <c r="G3" s="632"/>
      <c r="H3" s="632"/>
      <c r="I3" s="632"/>
      <c r="J3" s="633"/>
    </row>
    <row r="4" spans="2:15" ht="23.25" customHeight="1">
      <c r="B4" s="114" t="s">
        <v>190</v>
      </c>
      <c r="C4" s="105" t="s">
        <v>199</v>
      </c>
      <c r="D4" s="105" t="s">
        <v>214</v>
      </c>
      <c r="E4" s="105"/>
      <c r="F4" s="105"/>
      <c r="G4" s="105"/>
      <c r="H4" s="105"/>
      <c r="I4" s="105"/>
      <c r="J4" s="106"/>
    </row>
    <row r="5" spans="2:15" ht="23.25" customHeight="1">
      <c r="B5" s="114" t="s">
        <v>191</v>
      </c>
      <c r="C5" s="105" t="s">
        <v>199</v>
      </c>
      <c r="D5" s="105" t="s">
        <v>202</v>
      </c>
      <c r="E5" s="105"/>
      <c r="F5" s="105"/>
      <c r="G5" s="105"/>
      <c r="H5" s="105"/>
      <c r="I5" s="105"/>
      <c r="J5" s="106"/>
    </row>
    <row r="6" spans="2:15" ht="23.25" customHeight="1">
      <c r="B6" s="114" t="s">
        <v>192</v>
      </c>
      <c r="C6" s="105" t="s">
        <v>199</v>
      </c>
      <c r="D6" s="116">
        <v>11501975362</v>
      </c>
      <c r="E6" s="105"/>
      <c r="F6" s="105"/>
      <c r="G6" s="105"/>
      <c r="H6" s="105"/>
      <c r="I6" s="105"/>
      <c r="J6" s="106"/>
    </row>
    <row r="7" spans="2:15" ht="23.25" customHeight="1">
      <c r="B7" s="114" t="s">
        <v>193</v>
      </c>
      <c r="C7" s="105" t="s">
        <v>199</v>
      </c>
      <c r="D7" s="116">
        <v>2509221887</v>
      </c>
      <c r="E7" s="105"/>
      <c r="F7" s="105"/>
      <c r="G7" s="105"/>
      <c r="H7" s="105"/>
      <c r="I7" s="105"/>
      <c r="J7" s="106"/>
    </row>
    <row r="8" spans="2:15" ht="23.25" customHeight="1">
      <c r="B8" s="114" t="s">
        <v>194</v>
      </c>
      <c r="C8" s="105" t="s">
        <v>199</v>
      </c>
      <c r="D8" s="116">
        <f>+(D6/D7)*100%</f>
        <v>4.5838813305393424</v>
      </c>
      <c r="E8" s="105"/>
      <c r="F8" s="105"/>
      <c r="G8" s="105"/>
      <c r="H8" s="105"/>
      <c r="I8" s="105"/>
      <c r="J8" s="106"/>
      <c r="O8" s="73">
        <v>1000000</v>
      </c>
    </row>
    <row r="9" spans="2:15" ht="23.25" customHeight="1">
      <c r="B9" s="114" t="s">
        <v>195</v>
      </c>
      <c r="C9" s="105" t="s">
        <v>199</v>
      </c>
      <c r="D9" s="116">
        <v>2.5</v>
      </c>
      <c r="E9" s="105"/>
      <c r="F9" s="105"/>
      <c r="G9" s="105"/>
      <c r="H9" s="105"/>
      <c r="I9" s="105"/>
      <c r="J9" s="106"/>
      <c r="O9" s="73">
        <v>200000</v>
      </c>
    </row>
    <row r="10" spans="2:15" ht="23.25" customHeight="1">
      <c r="B10" s="114" t="s">
        <v>196</v>
      </c>
      <c r="C10" s="105" t="s">
        <v>199</v>
      </c>
      <c r="D10" s="116">
        <f>+D8</f>
        <v>4.5838813305393424</v>
      </c>
      <c r="E10" s="105"/>
      <c r="F10" s="105"/>
      <c r="G10" s="105"/>
      <c r="H10" s="105"/>
      <c r="I10" s="105"/>
      <c r="J10" s="106"/>
      <c r="O10" s="73">
        <v>550000</v>
      </c>
    </row>
    <row r="11" spans="2:15" ht="23.25" customHeight="1">
      <c r="B11" s="114" t="s">
        <v>197</v>
      </c>
      <c r="C11" s="105" t="s">
        <v>199</v>
      </c>
      <c r="D11" s="115" t="s">
        <v>200</v>
      </c>
      <c r="E11" s="104"/>
      <c r="F11" s="105"/>
      <c r="G11" s="105"/>
      <c r="H11" s="105"/>
      <c r="I11" s="105"/>
      <c r="J11" s="106"/>
      <c r="O11" s="73">
        <v>225000</v>
      </c>
    </row>
    <row r="12" spans="2:15" ht="15" customHeight="1">
      <c r="B12" s="634" t="s">
        <v>198</v>
      </c>
      <c r="C12" s="637" t="s">
        <v>199</v>
      </c>
      <c r="D12" s="637" t="s">
        <v>212</v>
      </c>
      <c r="E12" s="637"/>
      <c r="F12" s="637"/>
      <c r="G12" s="637"/>
      <c r="H12" s="637"/>
      <c r="I12" s="637"/>
      <c r="J12" s="640"/>
    </row>
    <row r="13" spans="2:15">
      <c r="B13" s="635"/>
      <c r="C13" s="638"/>
      <c r="D13" s="638"/>
      <c r="E13" s="638"/>
      <c r="F13" s="638"/>
      <c r="G13" s="638"/>
      <c r="H13" s="638"/>
      <c r="I13" s="638"/>
      <c r="J13" s="641"/>
      <c r="O13" s="73">
        <f>SUM(O8:O12)</f>
        <v>1975000</v>
      </c>
    </row>
    <row r="14" spans="2:15">
      <c r="B14" s="635"/>
      <c r="C14" s="638"/>
      <c r="D14" s="638"/>
      <c r="E14" s="638"/>
      <c r="F14" s="638"/>
      <c r="G14" s="638"/>
      <c r="H14" s="638"/>
      <c r="I14" s="638"/>
      <c r="J14" s="641"/>
    </row>
    <row r="15" spans="2:15">
      <c r="B15" s="636"/>
      <c r="C15" s="639"/>
      <c r="D15" s="639"/>
      <c r="E15" s="639"/>
      <c r="F15" s="639"/>
      <c r="G15" s="639"/>
      <c r="H15" s="639"/>
      <c r="I15" s="639"/>
      <c r="J15" s="642"/>
    </row>
    <row r="16" spans="2:15" ht="117" customHeight="1">
      <c r="B16" s="114" t="s">
        <v>203</v>
      </c>
      <c r="C16" s="105" t="s">
        <v>199</v>
      </c>
      <c r="D16" s="105"/>
      <c r="E16" s="105"/>
      <c r="F16" s="105"/>
      <c r="G16" s="105"/>
      <c r="H16" s="105"/>
      <c r="I16" s="105"/>
      <c r="J16" s="106"/>
    </row>
    <row r="17" spans="2:10">
      <c r="B17" s="109"/>
      <c r="C17" s="107"/>
      <c r="D17" s="107"/>
      <c r="E17" s="107"/>
      <c r="F17" s="107"/>
      <c r="G17" s="643" t="s">
        <v>207</v>
      </c>
      <c r="H17" s="643"/>
      <c r="I17" s="643"/>
      <c r="J17" s="644"/>
    </row>
    <row r="18" spans="2:10">
      <c r="B18" s="111" t="s">
        <v>204</v>
      </c>
      <c r="C18" s="112"/>
      <c r="D18" s="112"/>
      <c r="E18" s="112"/>
      <c r="F18" s="112"/>
      <c r="G18" s="625" t="s">
        <v>208</v>
      </c>
      <c r="H18" s="625"/>
      <c r="I18" s="625"/>
      <c r="J18" s="626"/>
    </row>
    <row r="19" spans="2:10">
      <c r="B19" s="111" t="s">
        <v>205</v>
      </c>
      <c r="C19" s="112"/>
      <c r="D19" s="112"/>
      <c r="E19" s="112"/>
      <c r="F19" s="112"/>
      <c r="G19" s="625" t="s">
        <v>209</v>
      </c>
      <c r="H19" s="625"/>
      <c r="I19" s="625"/>
      <c r="J19" s="626"/>
    </row>
    <row r="20" spans="2:10" ht="59.25" customHeight="1">
      <c r="B20" s="111"/>
      <c r="C20" s="112"/>
      <c r="D20" s="112"/>
      <c r="E20" s="112"/>
      <c r="F20" s="112"/>
      <c r="G20" s="112"/>
      <c r="H20" s="112"/>
      <c r="I20" s="112"/>
      <c r="J20" s="113"/>
    </row>
    <row r="21" spans="2:10">
      <c r="B21" s="110" t="s">
        <v>206</v>
      </c>
      <c r="C21" s="108"/>
      <c r="D21" s="108"/>
      <c r="E21" s="108"/>
      <c r="F21" s="108"/>
      <c r="G21" s="627" t="s">
        <v>210</v>
      </c>
      <c r="H21" s="627"/>
      <c r="I21" s="627"/>
      <c r="J21" s="628"/>
    </row>
  </sheetData>
  <mergeCells count="9">
    <mergeCell ref="G18:J18"/>
    <mergeCell ref="G19:J19"/>
    <mergeCell ref="G21:J21"/>
    <mergeCell ref="D3:J3"/>
    <mergeCell ref="B2:J2"/>
    <mergeCell ref="D12:J15"/>
    <mergeCell ref="B12:B15"/>
    <mergeCell ref="C12:C15"/>
    <mergeCell ref="G17:J17"/>
  </mergeCells>
  <pageMargins left="0.25" right="0.25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Y251"/>
  <sheetViews>
    <sheetView topLeftCell="A115" workbookViewId="0">
      <selection activeCell="I130" sqref="I130"/>
    </sheetView>
  </sheetViews>
  <sheetFormatPr defaultRowHeight="15"/>
  <cols>
    <col min="1" max="1" width="2" style="135" customWidth="1"/>
    <col min="2" max="2" width="7" style="135" customWidth="1"/>
    <col min="3" max="3" width="26.42578125" style="136" customWidth="1"/>
    <col min="4" max="4" width="18" style="74" bestFit="1" customWidth="1"/>
    <col min="5" max="6" width="18.7109375" style="125" bestFit="1" customWidth="1"/>
    <col min="7" max="7" width="18.140625" style="125" bestFit="1" customWidth="1"/>
    <col min="9" max="9" width="18.7109375" bestFit="1" customWidth="1"/>
    <col min="10" max="10" width="0" hidden="1" customWidth="1"/>
    <col min="11" max="11" width="3.5703125" style="135" hidden="1" customWidth="1"/>
    <col min="12" max="12" width="0" style="135" hidden="1" customWidth="1"/>
    <col min="13" max="13" width="27.28515625" style="135" hidden="1" customWidth="1"/>
    <col min="14" max="14" width="15.28515625" hidden="1" customWidth="1"/>
    <col min="15" max="18" width="0" hidden="1" customWidth="1"/>
    <col min="19" max="19" width="16" hidden="1" customWidth="1"/>
    <col min="20" max="22" width="0" hidden="1" customWidth="1"/>
    <col min="23" max="23" width="49.5703125" hidden="1" customWidth="1"/>
    <col min="24" max="24" width="0" hidden="1" customWidth="1"/>
    <col min="25" max="25" width="18.7109375" style="73" hidden="1" customWidth="1"/>
    <col min="26" max="32" width="0" hidden="1" customWidth="1"/>
  </cols>
  <sheetData>
    <row r="1" spans="1:25">
      <c r="A1" s="134" t="s">
        <v>225</v>
      </c>
      <c r="B1" s="134"/>
      <c r="K1" s="134" t="s">
        <v>225</v>
      </c>
      <c r="U1" t="s">
        <v>225</v>
      </c>
      <c r="Y1" s="73" t="s">
        <v>250</v>
      </c>
    </row>
    <row r="2" spans="1:25">
      <c r="A2" s="134" t="s">
        <v>226</v>
      </c>
      <c r="B2" s="134"/>
      <c r="K2" s="134" t="s">
        <v>226</v>
      </c>
      <c r="U2" t="s">
        <v>226</v>
      </c>
    </row>
    <row r="3" spans="1:25">
      <c r="A3" s="134" t="s">
        <v>256</v>
      </c>
      <c r="B3" s="134"/>
      <c r="K3" s="134" t="s">
        <v>232</v>
      </c>
      <c r="U3" t="s">
        <v>229</v>
      </c>
    </row>
    <row r="4" spans="1:25">
      <c r="S4" s="138" t="s">
        <v>235</v>
      </c>
      <c r="U4" t="s">
        <v>1</v>
      </c>
      <c r="Y4" s="73" t="s">
        <v>235</v>
      </c>
    </row>
    <row r="5" spans="1:25">
      <c r="K5" s="518" t="s">
        <v>1</v>
      </c>
      <c r="L5" s="519"/>
      <c r="M5" s="519"/>
      <c r="N5" s="600" t="s">
        <v>235</v>
      </c>
      <c r="S5" s="139"/>
    </row>
    <row r="6" spans="1:25" ht="15" customHeight="1">
      <c r="A6" s="518" t="s">
        <v>1</v>
      </c>
      <c r="B6" s="519"/>
      <c r="C6" s="519"/>
      <c r="D6" s="522">
        <v>2016</v>
      </c>
      <c r="E6" s="522">
        <v>2017</v>
      </c>
      <c r="F6" s="645">
        <v>2018</v>
      </c>
      <c r="G6" s="645">
        <v>2019</v>
      </c>
      <c r="K6" s="520"/>
      <c r="L6" s="521"/>
      <c r="M6" s="521"/>
      <c r="N6" s="601"/>
      <c r="S6" s="139"/>
    </row>
    <row r="7" spans="1:25">
      <c r="A7" s="520"/>
      <c r="B7" s="521"/>
      <c r="C7" s="521"/>
      <c r="D7" s="523"/>
      <c r="E7" s="523"/>
      <c r="F7" s="646"/>
      <c r="G7" s="646"/>
      <c r="K7" s="520"/>
      <c r="L7" s="521"/>
      <c r="M7" s="521"/>
      <c r="N7" s="601"/>
      <c r="S7" s="158"/>
      <c r="V7" t="s">
        <v>215</v>
      </c>
    </row>
    <row r="8" spans="1:25">
      <c r="A8" s="520"/>
      <c r="B8" s="521"/>
      <c r="C8" s="521"/>
      <c r="D8" s="523"/>
      <c r="E8" s="523"/>
      <c r="F8" s="646"/>
      <c r="G8" s="646"/>
      <c r="K8" s="131"/>
      <c r="L8" s="521" t="s">
        <v>215</v>
      </c>
      <c r="M8" s="521"/>
      <c r="N8" s="158"/>
      <c r="S8" s="145">
        <v>82.415833333333339</v>
      </c>
      <c r="U8" t="s">
        <v>134</v>
      </c>
      <c r="Y8" s="73">
        <v>82.415833333333339</v>
      </c>
    </row>
    <row r="9" spans="1:25" ht="15" customHeight="1">
      <c r="A9" s="520" t="s">
        <v>236</v>
      </c>
      <c r="B9" s="521"/>
      <c r="C9" s="521"/>
      <c r="D9" s="143"/>
      <c r="E9" s="143"/>
      <c r="F9" s="172"/>
      <c r="G9" s="172"/>
      <c r="K9" s="527" t="s">
        <v>134</v>
      </c>
      <c r="L9" s="528"/>
      <c r="M9" s="528"/>
      <c r="N9" s="145">
        <v>81.749166666666667</v>
      </c>
      <c r="S9" s="145"/>
      <c r="U9" t="s">
        <v>10</v>
      </c>
      <c r="V9" t="s">
        <v>11</v>
      </c>
    </row>
    <row r="10" spans="1:25">
      <c r="A10" s="527" t="s">
        <v>134</v>
      </c>
      <c r="B10" s="528"/>
      <c r="C10" s="528"/>
      <c r="D10" s="143">
        <v>82.298333333333332</v>
      </c>
      <c r="E10" s="143">
        <v>82.249166666666667</v>
      </c>
      <c r="F10" s="172">
        <v>82</v>
      </c>
      <c r="G10" s="172">
        <v>82</v>
      </c>
      <c r="K10" s="166"/>
      <c r="L10" s="167"/>
      <c r="M10" s="167"/>
      <c r="N10" s="145"/>
      <c r="S10" s="145"/>
    </row>
    <row r="11" spans="1:25" ht="15" customHeight="1">
      <c r="A11" s="146" t="s">
        <v>10</v>
      </c>
      <c r="B11" s="529" t="s">
        <v>11</v>
      </c>
      <c r="C11" s="529"/>
      <c r="D11" s="143">
        <v>509102793.48072398</v>
      </c>
      <c r="E11" s="143"/>
      <c r="F11" s="172"/>
      <c r="G11" s="172"/>
      <c r="K11" s="146" t="s">
        <v>10</v>
      </c>
      <c r="L11" s="529" t="s">
        <v>11</v>
      </c>
      <c r="M11" s="529"/>
      <c r="N11" s="145"/>
      <c r="S11" s="145"/>
      <c r="U11" t="s">
        <v>12</v>
      </c>
      <c r="V11" t="s">
        <v>159</v>
      </c>
    </row>
    <row r="12" spans="1:25">
      <c r="A12" s="146"/>
      <c r="B12" s="132"/>
      <c r="C12" s="173"/>
      <c r="D12" s="143"/>
      <c r="E12" s="143"/>
      <c r="F12" s="172"/>
      <c r="G12" s="172"/>
      <c r="K12" s="146"/>
      <c r="L12" s="132"/>
      <c r="M12" s="132"/>
      <c r="N12" s="145"/>
      <c r="V12" t="s">
        <v>13</v>
      </c>
      <c r="Y12" s="73">
        <v>15475682575.463276</v>
      </c>
    </row>
    <row r="13" spans="1:25" ht="15" customHeight="1">
      <c r="A13" s="146" t="s">
        <v>12</v>
      </c>
      <c r="B13" s="529" t="s">
        <v>159</v>
      </c>
      <c r="C13" s="529"/>
      <c r="D13" s="143"/>
      <c r="E13" s="143"/>
      <c r="F13" s="172"/>
      <c r="G13" s="172"/>
      <c r="K13" s="146" t="s">
        <v>12</v>
      </c>
      <c r="L13" s="529" t="s">
        <v>159</v>
      </c>
      <c r="M13" s="529"/>
      <c r="N13" s="145"/>
      <c r="V13" t="s">
        <v>14</v>
      </c>
      <c r="Y13" s="73">
        <v>4075850286.0554967</v>
      </c>
    </row>
    <row r="14" spans="1:25" ht="15" customHeight="1">
      <c r="A14" s="146"/>
      <c r="B14" s="526" t="s">
        <v>13</v>
      </c>
      <c r="C14" s="526"/>
      <c r="D14" s="143">
        <v>14979392111.845728</v>
      </c>
      <c r="E14" s="143">
        <v>14457807806.722359</v>
      </c>
      <c r="F14" s="143">
        <v>15475682575.463276</v>
      </c>
      <c r="G14" s="143">
        <v>18985742759.562939</v>
      </c>
      <c r="K14" s="146"/>
      <c r="L14" s="526" t="s">
        <v>13</v>
      </c>
      <c r="M14" s="526"/>
      <c r="V14" t="s">
        <v>252</v>
      </c>
      <c r="Y14" s="73">
        <v>1050000000</v>
      </c>
    </row>
    <row r="15" spans="1:25" ht="15" customHeight="1">
      <c r="A15" s="146"/>
      <c r="B15" s="526" t="s">
        <v>14</v>
      </c>
      <c r="C15" s="526"/>
      <c r="D15" s="143">
        <v>3793047038</v>
      </c>
      <c r="E15" s="143">
        <v>3807771308.1421647</v>
      </c>
      <c r="F15" s="143">
        <v>4075850286.0554967</v>
      </c>
      <c r="G15" s="143">
        <v>5000299319.9299412</v>
      </c>
      <c r="K15" s="146"/>
      <c r="L15" s="526" t="s">
        <v>14</v>
      </c>
      <c r="M15" s="526"/>
      <c r="V15" t="s">
        <v>244</v>
      </c>
      <c r="Y15" s="73">
        <v>27202585361.921169</v>
      </c>
    </row>
    <row r="16" spans="1:25" ht="15" customHeight="1">
      <c r="A16" s="146"/>
      <c r="B16" s="526" t="str">
        <f>+L17</f>
        <v>Pendapatan Alat Jantung</v>
      </c>
      <c r="C16" s="526"/>
      <c r="D16" s="143"/>
      <c r="E16" s="143">
        <v>175000000</v>
      </c>
      <c r="F16" s="143">
        <v>1050000000</v>
      </c>
      <c r="G16" s="143">
        <v>1200000000</v>
      </c>
      <c r="K16" s="146"/>
      <c r="L16" s="155"/>
      <c r="M16" s="156"/>
    </row>
    <row r="17" spans="1:25" ht="25.5" customHeight="1">
      <c r="A17" s="146"/>
      <c r="B17" s="526" t="s">
        <v>233</v>
      </c>
      <c r="C17" s="526"/>
      <c r="D17" s="143">
        <v>25036365069</v>
      </c>
      <c r="E17" s="143">
        <v>26151432617.744949</v>
      </c>
      <c r="F17" s="143">
        <v>27202585361.921169</v>
      </c>
      <c r="G17" s="143">
        <v>31333990828.66288</v>
      </c>
      <c r="K17" s="146"/>
      <c r="L17" s="647" t="s">
        <v>252</v>
      </c>
      <c r="M17" s="648"/>
      <c r="V17" t="s">
        <v>245</v>
      </c>
      <c r="Y17" s="73">
        <v>3930642155.9963136</v>
      </c>
    </row>
    <row r="18" spans="1:25" ht="25.5" customHeight="1">
      <c r="A18" s="146"/>
      <c r="B18" s="526" t="s">
        <v>234</v>
      </c>
      <c r="C18" s="526"/>
      <c r="D18" s="143">
        <v>4613981907.9499998</v>
      </c>
      <c r="E18" s="143">
        <v>4189051802.4953437</v>
      </c>
      <c r="F18" s="143">
        <v>3930642155.9963136</v>
      </c>
      <c r="G18" s="143">
        <v>4555919999.2227621</v>
      </c>
      <c r="K18" s="146"/>
      <c r="L18" s="526" t="s">
        <v>244</v>
      </c>
      <c r="M18" s="526"/>
      <c r="V18" t="s">
        <v>219</v>
      </c>
      <c r="Y18" s="73">
        <v>3052204576.3189049</v>
      </c>
    </row>
    <row r="19" spans="1:25" ht="38.25" customHeight="1">
      <c r="A19" s="146"/>
      <c r="B19" s="130" t="s">
        <v>15</v>
      </c>
      <c r="C19" s="174"/>
      <c r="D19" s="143">
        <v>10000000</v>
      </c>
      <c r="E19" s="143">
        <v>0</v>
      </c>
      <c r="F19" s="172"/>
      <c r="G19" s="172"/>
      <c r="K19" s="146"/>
      <c r="L19" s="526" t="s">
        <v>245</v>
      </c>
      <c r="M19" s="526"/>
      <c r="S19" s="145">
        <v>0</v>
      </c>
      <c r="V19" t="s">
        <v>220</v>
      </c>
      <c r="Y19" s="73">
        <v>0</v>
      </c>
    </row>
    <row r="20" spans="1:25" ht="31.5" customHeight="1">
      <c r="A20" s="146"/>
      <c r="B20" s="526" t="s">
        <v>218</v>
      </c>
      <c r="C20" s="526"/>
      <c r="D20" s="143">
        <v>20250000</v>
      </c>
      <c r="E20" s="172"/>
      <c r="F20" s="172"/>
      <c r="G20" s="172"/>
      <c r="K20" s="146"/>
      <c r="L20" s="526" t="s">
        <v>219</v>
      </c>
      <c r="M20" s="526"/>
      <c r="V20" t="s">
        <v>216</v>
      </c>
      <c r="Y20" s="73">
        <v>54786964955.755157</v>
      </c>
    </row>
    <row r="21" spans="1:25" ht="15" customHeight="1">
      <c r="A21" s="146"/>
      <c r="B21" s="526" t="s">
        <v>16</v>
      </c>
      <c r="C21" s="526"/>
      <c r="D21" s="143">
        <v>69323705</v>
      </c>
      <c r="E21" s="143">
        <v>0</v>
      </c>
      <c r="F21" s="172"/>
      <c r="G21" s="172"/>
      <c r="K21" s="146"/>
      <c r="L21" s="526" t="s">
        <v>220</v>
      </c>
      <c r="M21" s="526"/>
      <c r="N21" s="145">
        <v>0</v>
      </c>
    </row>
    <row r="22" spans="1:25" ht="15" customHeight="1">
      <c r="A22" s="146"/>
      <c r="B22" s="526" t="s">
        <v>17</v>
      </c>
      <c r="C22" s="526"/>
      <c r="D22" s="143">
        <v>17000000</v>
      </c>
      <c r="E22" s="143">
        <v>0</v>
      </c>
      <c r="F22" s="172"/>
      <c r="G22" s="172"/>
      <c r="K22" s="146"/>
      <c r="L22" s="529" t="s">
        <v>216</v>
      </c>
      <c r="M22" s="529"/>
      <c r="U22" t="s">
        <v>19</v>
      </c>
      <c r="V22" t="s">
        <v>217</v>
      </c>
      <c r="Y22" s="73">
        <v>54786964955.755157</v>
      </c>
    </row>
    <row r="23" spans="1:25" ht="15" customHeight="1">
      <c r="A23" s="146"/>
      <c r="B23" s="526" t="s">
        <v>18</v>
      </c>
      <c r="C23" s="526"/>
      <c r="D23" s="143">
        <v>38000000</v>
      </c>
      <c r="E23" s="143">
        <v>0</v>
      </c>
      <c r="F23" s="172"/>
      <c r="G23" s="172"/>
      <c r="K23" s="146"/>
      <c r="L23" s="133"/>
      <c r="M23" s="133"/>
      <c r="S23" s="145"/>
    </row>
    <row r="24" spans="1:25" ht="15" customHeight="1">
      <c r="A24" s="146"/>
      <c r="B24" s="526" t="s">
        <v>219</v>
      </c>
      <c r="C24" s="526"/>
      <c r="D24" s="143">
        <v>2702788430.7583995</v>
      </c>
      <c r="E24" s="143">
        <v>3076896600.0209379</v>
      </c>
      <c r="F24" s="143">
        <v>3052204576.3189049</v>
      </c>
      <c r="G24" s="143">
        <v>3764536779.1717372</v>
      </c>
      <c r="K24" s="146" t="s">
        <v>19</v>
      </c>
      <c r="L24" s="529" t="s">
        <v>217</v>
      </c>
      <c r="M24" s="529"/>
      <c r="S24" s="145"/>
      <c r="V24" t="s">
        <v>20</v>
      </c>
    </row>
    <row r="25" spans="1:25" ht="15" customHeight="1">
      <c r="A25" s="146"/>
      <c r="B25" s="526" t="s">
        <v>220</v>
      </c>
      <c r="C25" s="526"/>
      <c r="D25" s="143">
        <v>3750964.75</v>
      </c>
      <c r="E25" s="172"/>
      <c r="F25" s="172"/>
      <c r="G25" s="172"/>
      <c r="K25" s="146"/>
      <c r="L25" s="132"/>
      <c r="M25" s="133"/>
      <c r="N25" s="145"/>
      <c r="S25" s="145"/>
      <c r="V25" t="s">
        <v>21</v>
      </c>
    </row>
    <row r="26" spans="1:25" ht="15" customHeight="1">
      <c r="A26" s="146"/>
      <c r="B26" s="529" t="s">
        <v>216</v>
      </c>
      <c r="C26" s="529"/>
      <c r="D26" s="147">
        <f>SUM(D14:D25)</f>
        <v>51283899227.304123</v>
      </c>
      <c r="E26" s="147">
        <f t="shared" ref="E26:G26" si="0">SUM(E14:E25)</f>
        <v>51857960135.125755</v>
      </c>
      <c r="F26" s="147">
        <f t="shared" si="0"/>
        <v>54786964955.755157</v>
      </c>
      <c r="G26" s="147">
        <f t="shared" si="0"/>
        <v>64840489686.550262</v>
      </c>
      <c r="K26" s="146"/>
      <c r="L26" t="s">
        <v>20</v>
      </c>
      <c r="M26"/>
      <c r="N26" s="145"/>
      <c r="S26" s="145"/>
    </row>
    <row r="27" spans="1:25" ht="15" customHeight="1">
      <c r="A27" s="146"/>
      <c r="B27" s="133"/>
      <c r="C27" s="175"/>
      <c r="D27" s="147">
        <v>0</v>
      </c>
      <c r="E27" s="147"/>
      <c r="F27" s="147"/>
      <c r="G27" s="147"/>
      <c r="K27" s="146"/>
      <c r="L27" s="3" t="s">
        <v>21</v>
      </c>
      <c r="M27" s="150"/>
      <c r="N27" s="145"/>
      <c r="V27">
        <v>6400</v>
      </c>
      <c r="W27" t="s">
        <v>22</v>
      </c>
      <c r="Y27" s="73">
        <v>8533350000</v>
      </c>
    </row>
    <row r="28" spans="1:25">
      <c r="A28" s="146" t="s">
        <v>19</v>
      </c>
      <c r="B28" s="529" t="s">
        <v>217</v>
      </c>
      <c r="C28" s="529"/>
      <c r="D28" s="147">
        <f>+D26+D11</f>
        <v>51793002020.784843</v>
      </c>
      <c r="E28" s="147">
        <f t="shared" ref="E28:G28" si="1">+E26+E11</f>
        <v>51857960135.125755</v>
      </c>
      <c r="F28" s="147">
        <f t="shared" si="1"/>
        <v>54786964955.755157</v>
      </c>
      <c r="G28" s="147">
        <f t="shared" si="1"/>
        <v>64840489686.550262</v>
      </c>
      <c r="K28" s="146"/>
      <c r="L28" s="3"/>
      <c r="M28" s="150"/>
      <c r="N28" s="145"/>
      <c r="V28">
        <v>6401</v>
      </c>
      <c r="W28" t="s">
        <v>23</v>
      </c>
      <c r="Y28" s="73">
        <v>69654909.885886326</v>
      </c>
    </row>
    <row r="29" spans="1:25" ht="15" customHeight="1">
      <c r="A29" s="146"/>
      <c r="B29" s="132"/>
      <c r="C29" s="175"/>
      <c r="D29" s="143">
        <v>0</v>
      </c>
      <c r="E29" s="172"/>
      <c r="F29" s="172"/>
      <c r="G29" s="172"/>
      <c r="K29" s="146"/>
      <c r="L29" s="150">
        <v>6400</v>
      </c>
      <c r="M29" s="150" t="s">
        <v>22</v>
      </c>
      <c r="N29" s="145">
        <v>9386685000.0000019</v>
      </c>
      <c r="V29">
        <v>6402</v>
      </c>
      <c r="W29" t="s">
        <v>24</v>
      </c>
      <c r="Y29" s="73">
        <v>106893971.8108049</v>
      </c>
    </row>
    <row r="30" spans="1:25">
      <c r="A30" s="146"/>
      <c r="B30" s="90" t="s">
        <v>20</v>
      </c>
      <c r="C30" s="75"/>
      <c r="D30" s="143">
        <v>0</v>
      </c>
      <c r="E30" s="143">
        <v>0</v>
      </c>
      <c r="F30" s="172"/>
      <c r="G30" s="172"/>
      <c r="K30" s="146"/>
      <c r="L30" s="150">
        <v>6401</v>
      </c>
      <c r="M30" s="150" t="s">
        <v>23</v>
      </c>
      <c r="N30" s="145">
        <v>81569185.856858015</v>
      </c>
      <c r="V30">
        <v>6403</v>
      </c>
      <c r="W30" t="s">
        <v>25</v>
      </c>
      <c r="Y30" s="73">
        <v>711112500</v>
      </c>
    </row>
    <row r="31" spans="1:25" ht="15" customHeight="1">
      <c r="A31" s="146"/>
      <c r="B31" s="3" t="s">
        <v>21</v>
      </c>
      <c r="C31" s="143"/>
      <c r="D31" s="143">
        <v>0</v>
      </c>
      <c r="E31" s="143">
        <v>0</v>
      </c>
      <c r="F31" s="172"/>
      <c r="G31" s="172"/>
      <c r="K31" s="146"/>
      <c r="L31" s="150">
        <v>6402</v>
      </c>
      <c r="M31" s="4" t="s">
        <v>24</v>
      </c>
      <c r="N31" s="145">
        <v>120703906.10629803</v>
      </c>
      <c r="V31">
        <v>6404</v>
      </c>
      <c r="W31" t="s">
        <v>26</v>
      </c>
      <c r="Y31" s="73">
        <v>0</v>
      </c>
    </row>
    <row r="32" spans="1:25">
      <c r="A32" s="146"/>
      <c r="B32" s="3"/>
      <c r="C32" s="143"/>
      <c r="D32" s="143">
        <v>0</v>
      </c>
      <c r="E32" s="143">
        <v>0</v>
      </c>
      <c r="F32" s="172"/>
      <c r="G32" s="172"/>
      <c r="K32" s="146"/>
      <c r="L32" s="150">
        <v>6403</v>
      </c>
      <c r="M32" s="4" t="s">
        <v>25</v>
      </c>
      <c r="N32" s="145">
        <v>782223750.00000012</v>
      </c>
      <c r="V32">
        <v>6405</v>
      </c>
      <c r="W32" t="s">
        <v>27</v>
      </c>
      <c r="Y32" s="73">
        <v>4432585.1745564006</v>
      </c>
    </row>
    <row r="33" spans="1:25">
      <c r="A33" s="146"/>
      <c r="B33" s="150">
        <v>6400</v>
      </c>
      <c r="C33" s="143" t="s">
        <v>22</v>
      </c>
      <c r="D33" s="143">
        <v>6869135622</v>
      </c>
      <c r="E33" s="143">
        <v>7938000000</v>
      </c>
      <c r="F33" s="143">
        <v>8533350000</v>
      </c>
      <c r="G33" s="172">
        <v>9386685000.0000019</v>
      </c>
      <c r="K33" s="146"/>
      <c r="L33" s="150">
        <v>6404</v>
      </c>
      <c r="M33" s="150" t="s">
        <v>26</v>
      </c>
      <c r="N33" s="145">
        <v>0</v>
      </c>
      <c r="V33">
        <v>6406</v>
      </c>
      <c r="W33" t="s">
        <v>28</v>
      </c>
      <c r="Y33" s="73">
        <v>0</v>
      </c>
    </row>
    <row r="34" spans="1:25">
      <c r="A34" s="146"/>
      <c r="B34" s="150">
        <v>6401</v>
      </c>
      <c r="C34" s="143" t="s">
        <v>23</v>
      </c>
      <c r="D34" s="143">
        <v>60204969</v>
      </c>
      <c r="E34" s="143">
        <v>68188940.560025379</v>
      </c>
      <c r="F34" s="143">
        <v>69654909.885886326</v>
      </c>
      <c r="G34" s="172">
        <v>81569185.856858015</v>
      </c>
      <c r="K34" s="146"/>
      <c r="L34" s="150">
        <v>6405</v>
      </c>
      <c r="M34" s="150" t="s">
        <v>27</v>
      </c>
      <c r="N34" s="145">
        <v>5190766.3727091448</v>
      </c>
      <c r="V34">
        <v>6407</v>
      </c>
      <c r="W34" t="s">
        <v>29</v>
      </c>
      <c r="Y34" s="73">
        <v>12664529.070161149</v>
      </c>
    </row>
    <row r="35" spans="1:25">
      <c r="A35" s="146"/>
      <c r="B35" s="150">
        <v>6402</v>
      </c>
      <c r="C35" s="176" t="s">
        <v>24</v>
      </c>
      <c r="D35" s="143">
        <v>103706716.5</v>
      </c>
      <c r="E35" s="143">
        <v>99040760.153210059</v>
      </c>
      <c r="F35" s="143">
        <v>106893971.8108049</v>
      </c>
      <c r="G35" s="172">
        <v>120703906.10629803</v>
      </c>
      <c r="K35" s="146"/>
      <c r="L35" s="150">
        <v>6406</v>
      </c>
      <c r="M35" s="4" t="s">
        <v>28</v>
      </c>
      <c r="N35" s="145">
        <v>0</v>
      </c>
      <c r="V35">
        <v>6408</v>
      </c>
      <c r="W35" t="s">
        <v>30</v>
      </c>
      <c r="Y35" s="73">
        <v>215296994.19273949</v>
      </c>
    </row>
    <row r="36" spans="1:25">
      <c r="A36" s="146"/>
      <c r="B36" s="150">
        <v>6403</v>
      </c>
      <c r="C36" s="176" t="s">
        <v>25</v>
      </c>
      <c r="D36" s="143">
        <v>568267130</v>
      </c>
      <c r="E36" s="143">
        <v>661500000</v>
      </c>
      <c r="F36" s="143">
        <v>711112500</v>
      </c>
      <c r="G36" s="172">
        <v>782223750.00000012</v>
      </c>
      <c r="K36" s="146"/>
      <c r="L36" s="150">
        <v>6407</v>
      </c>
      <c r="M36" s="150" t="s">
        <v>29</v>
      </c>
      <c r="N36" s="145">
        <v>14830761.064883273</v>
      </c>
      <c r="V36">
        <v>6409</v>
      </c>
      <c r="W36" t="s">
        <v>31</v>
      </c>
      <c r="Y36" s="73">
        <v>6332264.5350805745</v>
      </c>
    </row>
    <row r="37" spans="1:25">
      <c r="A37" s="146"/>
      <c r="B37" s="150">
        <v>6404</v>
      </c>
      <c r="C37" s="143" t="s">
        <v>26</v>
      </c>
      <c r="D37" s="143">
        <v>0</v>
      </c>
      <c r="E37" s="143">
        <v>0</v>
      </c>
      <c r="F37" s="143">
        <v>0</v>
      </c>
      <c r="G37" s="172">
        <v>0</v>
      </c>
      <c r="K37" s="146"/>
      <c r="L37" s="150">
        <v>6408</v>
      </c>
      <c r="M37" s="150" t="s">
        <v>30</v>
      </c>
      <c r="N37" s="145">
        <v>252122938.10301563</v>
      </c>
      <c r="V37">
        <v>6410</v>
      </c>
      <c r="W37" t="s">
        <v>32</v>
      </c>
      <c r="Y37" s="73">
        <v>633226453.50805736</v>
      </c>
    </row>
    <row r="38" spans="1:25">
      <c r="A38" s="146"/>
      <c r="B38" s="150">
        <v>6405</v>
      </c>
      <c r="C38" s="143" t="s">
        <v>27</v>
      </c>
      <c r="D38" s="143">
        <v>3102788</v>
      </c>
      <c r="E38" s="143">
        <v>4339296.2174561601</v>
      </c>
      <c r="F38" s="143">
        <v>4432585.1745564006</v>
      </c>
      <c r="G38" s="172">
        <v>5190766.3727091448</v>
      </c>
      <c r="K38" s="146"/>
      <c r="L38" s="150">
        <v>6409</v>
      </c>
      <c r="M38" s="150" t="s">
        <v>31</v>
      </c>
      <c r="N38" s="145">
        <v>7415380.5324416365</v>
      </c>
      <c r="V38">
        <v>6411</v>
      </c>
      <c r="W38" t="s">
        <v>33</v>
      </c>
      <c r="Y38" s="73">
        <v>18996793.605241723</v>
      </c>
    </row>
    <row r="39" spans="1:25">
      <c r="A39" s="146"/>
      <c r="B39" s="150">
        <v>6406</v>
      </c>
      <c r="C39" s="176" t="s">
        <v>28</v>
      </c>
      <c r="D39" s="143">
        <v>0</v>
      </c>
      <c r="E39" s="143">
        <v>0</v>
      </c>
      <c r="F39" s="143">
        <v>0</v>
      </c>
      <c r="G39" s="172">
        <v>0</v>
      </c>
      <c r="K39" s="146"/>
      <c r="L39" s="150">
        <v>6410</v>
      </c>
      <c r="M39" s="150" t="s">
        <v>32</v>
      </c>
      <c r="N39" s="145">
        <v>741538053.24416363</v>
      </c>
      <c r="V39">
        <v>6412</v>
      </c>
      <c r="W39" t="s">
        <v>34</v>
      </c>
      <c r="Y39" s="73">
        <v>759871744.20966876</v>
      </c>
    </row>
    <row r="40" spans="1:25">
      <c r="A40" s="146"/>
      <c r="B40" s="150">
        <v>6407</v>
      </c>
      <c r="C40" s="143" t="s">
        <v>29</v>
      </c>
      <c r="D40" s="143">
        <v>5000000</v>
      </c>
      <c r="E40" s="143">
        <v>12397989.192731885</v>
      </c>
      <c r="F40" s="143">
        <v>12664529.070161149</v>
      </c>
      <c r="G40" s="172">
        <v>14830761.064883273</v>
      </c>
      <c r="K40" s="146"/>
      <c r="L40" s="150">
        <v>6411</v>
      </c>
      <c r="M40" s="150" t="s">
        <v>33</v>
      </c>
      <c r="N40" s="145">
        <v>22246141.597324912</v>
      </c>
      <c r="V40">
        <v>6413</v>
      </c>
      <c r="W40" t="s">
        <v>35</v>
      </c>
      <c r="Y40" s="73">
        <v>107648497.09636974</v>
      </c>
    </row>
    <row r="41" spans="1:25">
      <c r="A41" s="146"/>
      <c r="B41" s="150">
        <v>6408</v>
      </c>
      <c r="C41" s="143" t="s">
        <v>30</v>
      </c>
      <c r="D41" s="143">
        <v>152491013</v>
      </c>
      <c r="E41" s="143">
        <v>210765816.27644205</v>
      </c>
      <c r="F41" s="143">
        <v>215296994.19273949</v>
      </c>
      <c r="G41" s="172">
        <v>252122938.10301563</v>
      </c>
      <c r="K41" s="146"/>
      <c r="L41" s="150">
        <v>6412</v>
      </c>
      <c r="M41" s="150" t="s">
        <v>34</v>
      </c>
      <c r="N41" s="145">
        <v>889845663.89299619</v>
      </c>
      <c r="V41">
        <v>6414</v>
      </c>
      <c r="W41" t="s">
        <v>36</v>
      </c>
      <c r="Y41" s="73">
        <v>0</v>
      </c>
    </row>
    <row r="42" spans="1:25">
      <c r="A42" s="146"/>
      <c r="B42" s="150">
        <v>6409</v>
      </c>
      <c r="C42" s="143" t="s">
        <v>31</v>
      </c>
      <c r="D42" s="143">
        <v>2500000</v>
      </c>
      <c r="E42" s="143">
        <v>6198994.5963659426</v>
      </c>
      <c r="F42" s="143">
        <v>6332264.5350805745</v>
      </c>
      <c r="G42" s="172">
        <v>7415380.5324416365</v>
      </c>
      <c r="K42" s="146"/>
      <c r="L42" s="150">
        <v>6413</v>
      </c>
      <c r="M42" s="150" t="s">
        <v>35</v>
      </c>
      <c r="N42" s="145">
        <v>126061469.05150782</v>
      </c>
      <c r="V42">
        <v>6415</v>
      </c>
      <c r="W42" t="s">
        <v>37</v>
      </c>
      <c r="Y42" s="73">
        <v>0</v>
      </c>
    </row>
    <row r="43" spans="1:25">
      <c r="A43" s="146"/>
      <c r="B43" s="150">
        <v>6410</v>
      </c>
      <c r="C43" s="143" t="s">
        <v>32</v>
      </c>
      <c r="D43" s="143">
        <v>575266800</v>
      </c>
      <c r="E43" s="143">
        <v>619899459.6365943</v>
      </c>
      <c r="F43" s="143">
        <v>633226453.50805736</v>
      </c>
      <c r="G43" s="172">
        <v>741538053.24416363</v>
      </c>
      <c r="K43" s="146"/>
      <c r="L43" s="150">
        <v>6414</v>
      </c>
      <c r="M43" s="150" t="s">
        <v>36</v>
      </c>
      <c r="N43" s="145">
        <v>0</v>
      </c>
      <c r="V43">
        <v>6416</v>
      </c>
      <c r="W43" t="s">
        <v>38</v>
      </c>
      <c r="Y43" s="73">
        <v>164638877.91209492</v>
      </c>
    </row>
    <row r="44" spans="1:25">
      <c r="A44" s="146"/>
      <c r="B44" s="150">
        <v>6411</v>
      </c>
      <c r="C44" s="143" t="s">
        <v>33</v>
      </c>
      <c r="D44" s="143">
        <v>45130000</v>
      </c>
      <c r="E44" s="143">
        <v>18596983.789097831</v>
      </c>
      <c r="F44" s="143">
        <v>18996793.605241723</v>
      </c>
      <c r="G44" s="172">
        <v>22246141.597324912</v>
      </c>
      <c r="K44" s="146"/>
      <c r="L44" s="150">
        <v>6415</v>
      </c>
      <c r="M44" s="150" t="s">
        <v>37</v>
      </c>
      <c r="N44" s="145">
        <v>0</v>
      </c>
      <c r="V44">
        <v>6417</v>
      </c>
      <c r="W44" t="s">
        <v>39</v>
      </c>
      <c r="Y44" s="73">
        <v>50658116.280644596</v>
      </c>
    </row>
    <row r="45" spans="1:25">
      <c r="A45" s="146"/>
      <c r="B45" s="150">
        <v>6412</v>
      </c>
      <c r="C45" s="143" t="s">
        <v>34</v>
      </c>
      <c r="D45" s="143">
        <v>655492206</v>
      </c>
      <c r="E45" s="143">
        <v>743879351.56391323</v>
      </c>
      <c r="F45" s="143">
        <v>759871744.20966876</v>
      </c>
      <c r="G45" s="172">
        <v>889845663.89299619</v>
      </c>
      <c r="K45" s="146"/>
      <c r="L45" s="150">
        <v>6416</v>
      </c>
      <c r="M45" s="150" t="s">
        <v>38</v>
      </c>
      <c r="N45" s="145">
        <v>192799893.84348258</v>
      </c>
      <c r="V45">
        <v>6418</v>
      </c>
      <c r="W45" t="s">
        <v>40</v>
      </c>
      <c r="Y45" s="73">
        <v>83585891.863063574</v>
      </c>
    </row>
    <row r="46" spans="1:25">
      <c r="A46" s="146"/>
      <c r="B46" s="150">
        <v>6413</v>
      </c>
      <c r="C46" s="143" t="s">
        <v>35</v>
      </c>
      <c r="D46" s="143">
        <v>132353606</v>
      </c>
      <c r="E46" s="143">
        <v>105382908.13822103</v>
      </c>
      <c r="F46" s="143">
        <v>107648497.09636974</v>
      </c>
      <c r="G46" s="172">
        <v>126061469.05150782</v>
      </c>
      <c r="K46" s="146"/>
      <c r="L46" s="150">
        <v>6417</v>
      </c>
      <c r="M46" s="150" t="s">
        <v>39</v>
      </c>
      <c r="N46" s="145">
        <v>59323044.259533092</v>
      </c>
      <c r="V46">
        <v>6419</v>
      </c>
      <c r="W46" t="s">
        <v>41</v>
      </c>
      <c r="Y46" s="73">
        <v>75987174.420966893</v>
      </c>
    </row>
    <row r="47" spans="1:25">
      <c r="A47" s="146"/>
      <c r="B47" s="150">
        <v>6414</v>
      </c>
      <c r="C47" s="143" t="s">
        <v>36</v>
      </c>
      <c r="D47" s="143">
        <v>0</v>
      </c>
      <c r="E47" s="143">
        <v>0</v>
      </c>
      <c r="F47" s="143">
        <v>0</v>
      </c>
      <c r="G47" s="172">
        <v>0</v>
      </c>
      <c r="K47" s="146"/>
      <c r="L47" s="150">
        <v>6418</v>
      </c>
      <c r="M47" s="4" t="s">
        <v>40</v>
      </c>
      <c r="N47" s="145">
        <v>97883023.028229639</v>
      </c>
      <c r="V47">
        <v>6420</v>
      </c>
      <c r="W47" t="s">
        <v>42</v>
      </c>
      <c r="Y47" s="73">
        <v>31661322.675402857</v>
      </c>
    </row>
    <row r="48" spans="1:25">
      <c r="A48" s="146"/>
      <c r="B48" s="150">
        <v>6415</v>
      </c>
      <c r="C48" s="143" t="s">
        <v>37</v>
      </c>
      <c r="D48" s="143">
        <v>0</v>
      </c>
      <c r="E48" s="143">
        <v>0</v>
      </c>
      <c r="F48" s="143">
        <v>0</v>
      </c>
      <c r="G48" s="172">
        <v>0</v>
      </c>
      <c r="K48" s="146"/>
      <c r="L48" s="150">
        <v>6419</v>
      </c>
      <c r="M48" s="4" t="s">
        <v>41</v>
      </c>
      <c r="N48" s="145">
        <v>88984566.389299646</v>
      </c>
      <c r="V48">
        <v>6421</v>
      </c>
      <c r="W48" t="s">
        <v>43</v>
      </c>
      <c r="Y48" s="73">
        <v>0</v>
      </c>
    </row>
    <row r="49" spans="1:25">
      <c r="A49" s="146"/>
      <c r="B49" s="150">
        <v>6416</v>
      </c>
      <c r="C49" s="143" t="s">
        <v>38</v>
      </c>
      <c r="D49" s="143">
        <v>116274927</v>
      </c>
      <c r="E49" s="143">
        <v>161173859.50551453</v>
      </c>
      <c r="F49" s="143">
        <v>164638877.91209492</v>
      </c>
      <c r="G49" s="172">
        <v>192799893.84348258</v>
      </c>
      <c r="K49" s="146"/>
      <c r="L49" s="150">
        <v>6420</v>
      </c>
      <c r="M49" s="150" t="s">
        <v>42</v>
      </c>
      <c r="N49" s="145">
        <v>37076902.662208177</v>
      </c>
      <c r="V49">
        <v>6422</v>
      </c>
      <c r="W49" t="s">
        <v>44</v>
      </c>
      <c r="Y49" s="73">
        <v>189967936.05241719</v>
      </c>
    </row>
    <row r="50" spans="1:25">
      <c r="A50" s="146"/>
      <c r="B50" s="150">
        <v>6417</v>
      </c>
      <c r="C50" s="143" t="s">
        <v>39</v>
      </c>
      <c r="D50" s="143">
        <v>39510407</v>
      </c>
      <c r="E50" s="143">
        <v>49591956.770927541</v>
      </c>
      <c r="F50" s="143">
        <v>50658116.280644596</v>
      </c>
      <c r="G50" s="172">
        <v>59323044.259533092</v>
      </c>
      <c r="K50" s="146"/>
      <c r="L50" s="150">
        <v>6421</v>
      </c>
      <c r="M50" s="4" t="s">
        <v>43</v>
      </c>
      <c r="N50" s="145">
        <v>0</v>
      </c>
      <c r="V50">
        <v>6423</v>
      </c>
      <c r="W50" t="s">
        <v>45</v>
      </c>
      <c r="Y50" s="73">
        <v>164638877.91209492</v>
      </c>
    </row>
    <row r="51" spans="1:25">
      <c r="A51" s="146"/>
      <c r="B51" s="150">
        <v>6418</v>
      </c>
      <c r="C51" s="176" t="s">
        <v>40</v>
      </c>
      <c r="D51" s="143">
        <v>81638309</v>
      </c>
      <c r="E51" s="143">
        <v>81826728.672030464</v>
      </c>
      <c r="F51" s="143">
        <v>83585891.863063574</v>
      </c>
      <c r="G51" s="172">
        <v>97883023.028229639</v>
      </c>
      <c r="K51" s="146"/>
      <c r="L51" s="150">
        <v>6422</v>
      </c>
      <c r="M51" s="150" t="s">
        <v>44</v>
      </c>
      <c r="N51" s="145">
        <v>222461415.97324905</v>
      </c>
      <c r="S51" s="145">
        <v>0</v>
      </c>
      <c r="V51">
        <v>6424</v>
      </c>
      <c r="W51" t="s">
        <v>46</v>
      </c>
      <c r="Y51" s="73">
        <v>0</v>
      </c>
    </row>
    <row r="52" spans="1:25">
      <c r="A52" s="146"/>
      <c r="B52" s="150">
        <v>6419</v>
      </c>
      <c r="C52" s="176" t="s">
        <v>41</v>
      </c>
      <c r="D52" s="143">
        <v>65500000</v>
      </c>
      <c r="E52" s="143">
        <v>74387935.156391323</v>
      </c>
      <c r="F52" s="143">
        <v>75987174.420966893</v>
      </c>
      <c r="G52" s="172">
        <v>88984566.389299646</v>
      </c>
      <c r="K52" s="146"/>
      <c r="L52" s="150">
        <v>6423</v>
      </c>
      <c r="M52" s="150" t="s">
        <v>45</v>
      </c>
      <c r="N52" s="145">
        <v>192799893.84348258</v>
      </c>
      <c r="S52" s="145">
        <v>0</v>
      </c>
      <c r="V52" t="s">
        <v>47</v>
      </c>
      <c r="Y52" s="73">
        <v>0</v>
      </c>
    </row>
    <row r="53" spans="1:25">
      <c r="A53" s="146"/>
      <c r="B53" s="150">
        <v>6420</v>
      </c>
      <c r="C53" s="143" t="s">
        <v>42</v>
      </c>
      <c r="D53" s="143">
        <v>98626255</v>
      </c>
      <c r="E53" s="143">
        <v>30994972.981829714</v>
      </c>
      <c r="F53" s="143">
        <v>31661322.675402857</v>
      </c>
      <c r="G53" s="172">
        <v>37076902.662208177</v>
      </c>
      <c r="K53" s="146"/>
      <c r="L53" s="150">
        <v>6424</v>
      </c>
      <c r="M53" s="150" t="s">
        <v>46</v>
      </c>
      <c r="N53" s="145">
        <v>0</v>
      </c>
      <c r="S53" s="145">
        <v>0</v>
      </c>
      <c r="V53">
        <v>6300</v>
      </c>
      <c r="W53" t="s">
        <v>48</v>
      </c>
      <c r="Y53" s="73">
        <v>0</v>
      </c>
    </row>
    <row r="54" spans="1:25">
      <c r="A54" s="146"/>
      <c r="B54" s="150">
        <v>6421</v>
      </c>
      <c r="C54" s="176" t="s">
        <v>43</v>
      </c>
      <c r="D54" s="143">
        <v>43366987</v>
      </c>
      <c r="E54" s="143">
        <f>+'CF 2017'!P55</f>
        <v>122556987</v>
      </c>
      <c r="F54" s="143">
        <f>+'CF 2018'!P51</f>
        <v>49238700.362380438</v>
      </c>
      <c r="G54" s="172">
        <f>+'CF 2019'!P50</f>
        <v>67401158.026449144</v>
      </c>
      <c r="K54" s="146"/>
      <c r="L54" s="3" t="s">
        <v>47</v>
      </c>
      <c r="M54" s="150"/>
      <c r="N54" s="145">
        <v>0</v>
      </c>
      <c r="S54" s="145">
        <v>0</v>
      </c>
      <c r="V54">
        <v>6301</v>
      </c>
      <c r="W54" t="s">
        <v>49</v>
      </c>
      <c r="Y54" s="73">
        <v>0</v>
      </c>
    </row>
    <row r="55" spans="1:25">
      <c r="A55" s="146"/>
      <c r="B55" s="150">
        <v>6422</v>
      </c>
      <c r="C55" s="143" t="s">
        <v>44</v>
      </c>
      <c r="D55" s="143">
        <v>158759273</v>
      </c>
      <c r="E55" s="143">
        <v>185969837.89097831</v>
      </c>
      <c r="F55" s="143">
        <v>189967936.05241719</v>
      </c>
      <c r="G55" s="172">
        <v>222461415.97324905</v>
      </c>
      <c r="K55" s="146"/>
      <c r="L55" s="150">
        <v>6300</v>
      </c>
      <c r="M55" s="4" t="s">
        <v>48</v>
      </c>
      <c r="N55" s="145">
        <v>0</v>
      </c>
      <c r="V55">
        <v>6302</v>
      </c>
      <c r="W55" t="s">
        <v>50</v>
      </c>
      <c r="Y55" s="73">
        <v>506581162.80644572</v>
      </c>
    </row>
    <row r="56" spans="1:25">
      <c r="A56" s="146"/>
      <c r="B56" s="150">
        <v>6423</v>
      </c>
      <c r="C56" s="143" t="s">
        <v>45</v>
      </c>
      <c r="D56" s="143">
        <v>132450400</v>
      </c>
      <c r="E56" s="143">
        <v>161173859.50551453</v>
      </c>
      <c r="F56" s="143">
        <v>164638877.91209492</v>
      </c>
      <c r="G56" s="172">
        <v>192799893.84348258</v>
      </c>
      <c r="K56" s="146"/>
      <c r="L56" s="150">
        <v>6301</v>
      </c>
      <c r="M56" s="4" t="s">
        <v>49</v>
      </c>
      <c r="N56" s="145">
        <v>0</v>
      </c>
      <c r="V56">
        <v>6303</v>
      </c>
      <c r="W56" t="s">
        <v>51</v>
      </c>
      <c r="Y56" s="73">
        <v>63322645.350805715</v>
      </c>
    </row>
    <row r="57" spans="1:25">
      <c r="A57" s="146"/>
      <c r="B57" s="150">
        <v>6424</v>
      </c>
      <c r="C57" s="143" t="s">
        <v>46</v>
      </c>
      <c r="D57" s="143">
        <v>207061602</v>
      </c>
      <c r="E57" s="172">
        <f>+'CF 2017'!P58</f>
        <v>339737760</v>
      </c>
      <c r="F57" s="172">
        <f>+'CF 2018'!P54</f>
        <v>335341439.29440004</v>
      </c>
      <c r="G57" s="172">
        <f>+'CF 2019'!P53</f>
        <v>334445663.05920005</v>
      </c>
      <c r="K57" s="146"/>
      <c r="L57" s="150">
        <v>6302</v>
      </c>
      <c r="M57" s="4" t="s">
        <v>50</v>
      </c>
      <c r="N57" s="145">
        <v>593230442.59533083</v>
      </c>
      <c r="V57">
        <v>6304</v>
      </c>
      <c r="W57" t="s">
        <v>52</v>
      </c>
      <c r="Y57" s="73">
        <v>126645290.70161143</v>
      </c>
    </row>
    <row r="58" spans="1:25">
      <c r="A58" s="146"/>
      <c r="B58" s="3" t="s">
        <v>47</v>
      </c>
      <c r="C58" s="143"/>
      <c r="D58" s="143">
        <v>0</v>
      </c>
      <c r="E58" s="143">
        <v>0</v>
      </c>
      <c r="F58" s="172"/>
      <c r="G58" s="172"/>
      <c r="K58" s="146"/>
      <c r="L58" s="150">
        <v>6303</v>
      </c>
      <c r="M58" s="4" t="s">
        <v>51</v>
      </c>
      <c r="N58" s="145">
        <v>74153805.324416354</v>
      </c>
      <c r="V58">
        <v>6306</v>
      </c>
      <c r="W58" t="s">
        <v>53</v>
      </c>
      <c r="Y58" s="73">
        <v>54077539.129588097</v>
      </c>
    </row>
    <row r="59" spans="1:25">
      <c r="A59" s="146"/>
      <c r="B59" s="150">
        <v>6300</v>
      </c>
      <c r="C59" s="176" t="s">
        <v>48</v>
      </c>
      <c r="D59" s="143">
        <v>63037489</v>
      </c>
      <c r="E59" s="143">
        <v>68877717.737399384</v>
      </c>
      <c r="F59" s="172">
        <v>70358494.83422862</v>
      </c>
      <c r="G59" s="172">
        <v>82393117.027129337</v>
      </c>
      <c r="K59" s="146"/>
      <c r="L59" s="150">
        <v>6304</v>
      </c>
      <c r="M59" s="4" t="s">
        <v>52</v>
      </c>
      <c r="N59" s="145">
        <v>148307610.64883271</v>
      </c>
      <c r="V59">
        <v>6307</v>
      </c>
      <c r="W59" t="s">
        <v>54</v>
      </c>
      <c r="Y59" s="73">
        <v>848523447.70079684</v>
      </c>
    </row>
    <row r="60" spans="1:25">
      <c r="A60" s="146"/>
      <c r="B60" s="150">
        <v>6301</v>
      </c>
      <c r="C60" s="176" t="s">
        <v>49</v>
      </c>
      <c r="D60" s="143">
        <v>247500</v>
      </c>
      <c r="E60" s="143">
        <v>10732540.006611198</v>
      </c>
      <c r="F60" s="172">
        <v>11419670.760553241</v>
      </c>
      <c r="G60" s="172">
        <v>13372973.250812232</v>
      </c>
      <c r="K60" s="146"/>
      <c r="L60" s="150">
        <v>6306</v>
      </c>
      <c r="M60" s="4" t="s">
        <v>53</v>
      </c>
      <c r="N60" s="145">
        <v>63327349.747051582</v>
      </c>
      <c r="S60" s="145">
        <v>0</v>
      </c>
      <c r="Y60" s="73">
        <v>0</v>
      </c>
    </row>
    <row r="61" spans="1:25">
      <c r="A61" s="146"/>
      <c r="B61" s="150">
        <v>6302</v>
      </c>
      <c r="C61" s="176" t="s">
        <v>50</v>
      </c>
      <c r="D61" s="143">
        <v>512560249</v>
      </c>
      <c r="E61" s="143">
        <v>495919567.70927542</v>
      </c>
      <c r="F61" s="143">
        <v>506581162.80644572</v>
      </c>
      <c r="G61" s="172">
        <v>593230442.59533083</v>
      </c>
      <c r="K61" s="146"/>
      <c r="L61" s="150">
        <v>6307</v>
      </c>
      <c r="M61" s="4" t="s">
        <v>54</v>
      </c>
      <c r="N61" s="145">
        <v>993660991.34717941</v>
      </c>
      <c r="S61" s="145">
        <v>0</v>
      </c>
      <c r="V61" t="s">
        <v>55</v>
      </c>
      <c r="Y61" s="73">
        <v>0</v>
      </c>
    </row>
    <row r="62" spans="1:25">
      <c r="A62" s="146"/>
      <c r="B62" s="150">
        <v>6303</v>
      </c>
      <c r="C62" s="176" t="s">
        <v>51</v>
      </c>
      <c r="D62" s="143">
        <v>99943700</v>
      </c>
      <c r="E62" s="143">
        <v>61989945.963659428</v>
      </c>
      <c r="F62" s="143">
        <v>63322645.350805715</v>
      </c>
      <c r="G62" s="172">
        <v>74153805.324416354</v>
      </c>
      <c r="K62" s="146"/>
      <c r="L62" s="150"/>
      <c r="M62" s="4"/>
      <c r="N62" s="145">
        <v>0</v>
      </c>
      <c r="V62">
        <v>6500</v>
      </c>
      <c r="W62" t="s">
        <v>56</v>
      </c>
      <c r="Y62" s="73">
        <v>18996793.605241723</v>
      </c>
    </row>
    <row r="63" spans="1:25">
      <c r="A63" s="146"/>
      <c r="B63" s="150">
        <v>6304</v>
      </c>
      <c r="C63" s="176" t="s">
        <v>52</v>
      </c>
      <c r="D63" s="143">
        <v>77352000</v>
      </c>
      <c r="E63" s="143">
        <v>123979891.92731886</v>
      </c>
      <c r="F63" s="143">
        <v>126645290.70161143</v>
      </c>
      <c r="G63" s="172">
        <v>148307610.64883271</v>
      </c>
      <c r="K63" s="146"/>
      <c r="L63" s="3" t="s">
        <v>55</v>
      </c>
      <c r="M63" s="150"/>
      <c r="N63" s="145">
        <v>0</v>
      </c>
      <c r="S63" s="145">
        <v>0</v>
      </c>
      <c r="V63">
        <v>6501</v>
      </c>
      <c r="W63" t="s">
        <v>57</v>
      </c>
      <c r="Y63" s="73">
        <v>0</v>
      </c>
    </row>
    <row r="64" spans="1:25">
      <c r="A64" s="146"/>
      <c r="B64" s="150">
        <v>6306</v>
      </c>
      <c r="C64" s="176" t="s">
        <v>53</v>
      </c>
      <c r="D64" s="143">
        <v>21350000</v>
      </c>
      <c r="E64" s="143">
        <v>52939413.852965154</v>
      </c>
      <c r="F64" s="143">
        <v>54077539.129588097</v>
      </c>
      <c r="G64" s="172">
        <v>63327349.747051582</v>
      </c>
      <c r="K64" s="146"/>
      <c r="L64" s="150">
        <v>6500</v>
      </c>
      <c r="M64" s="150" t="s">
        <v>56</v>
      </c>
      <c r="N64" s="145">
        <v>22246141.597324912</v>
      </c>
      <c r="S64" s="145">
        <v>0</v>
      </c>
      <c r="Y64" s="73">
        <v>0</v>
      </c>
    </row>
    <row r="65" spans="1:25">
      <c r="A65" s="146"/>
      <c r="B65" s="150">
        <v>6307</v>
      </c>
      <c r="C65" s="176" t="s">
        <v>54</v>
      </c>
      <c r="D65" s="143">
        <v>720879776</v>
      </c>
      <c r="E65" s="143">
        <v>830665275.91303611</v>
      </c>
      <c r="F65" s="143">
        <v>848523447.70079684</v>
      </c>
      <c r="G65" s="172">
        <v>993660991.34717941</v>
      </c>
      <c r="K65" s="146"/>
      <c r="L65" s="150">
        <v>6501</v>
      </c>
      <c r="M65" s="150" t="s">
        <v>57</v>
      </c>
      <c r="N65" s="145">
        <v>0</v>
      </c>
      <c r="S65" s="145">
        <v>0</v>
      </c>
      <c r="V65" t="s">
        <v>58</v>
      </c>
      <c r="Y65" s="73">
        <v>0</v>
      </c>
    </row>
    <row r="66" spans="1:25">
      <c r="A66" s="146"/>
      <c r="B66" s="150"/>
      <c r="C66" s="176"/>
      <c r="D66" s="143">
        <v>0</v>
      </c>
      <c r="E66" s="172"/>
      <c r="F66" s="172"/>
      <c r="G66" s="172"/>
      <c r="K66" s="146"/>
      <c r="L66" s="150"/>
      <c r="M66" s="150"/>
      <c r="N66" s="145">
        <v>0</v>
      </c>
      <c r="V66">
        <v>6600</v>
      </c>
      <c r="W66" t="s">
        <v>59</v>
      </c>
      <c r="Y66" s="73">
        <v>50658116.280644596</v>
      </c>
    </row>
    <row r="67" spans="1:25">
      <c r="A67" s="146"/>
      <c r="B67" s="3" t="s">
        <v>55</v>
      </c>
      <c r="C67" s="143"/>
      <c r="D67" s="143">
        <v>0</v>
      </c>
      <c r="E67" s="143">
        <v>0</v>
      </c>
      <c r="F67" s="172"/>
      <c r="G67" s="172"/>
      <c r="K67" s="146"/>
      <c r="L67" s="3" t="s">
        <v>58</v>
      </c>
      <c r="M67" s="150"/>
      <c r="N67" s="145">
        <v>0</v>
      </c>
      <c r="V67">
        <v>6600</v>
      </c>
      <c r="W67" t="s">
        <v>60</v>
      </c>
      <c r="Y67" s="73">
        <v>18000000</v>
      </c>
    </row>
    <row r="68" spans="1:25">
      <c r="A68" s="146"/>
      <c r="B68" s="150">
        <v>6500</v>
      </c>
      <c r="C68" s="143" t="s">
        <v>56</v>
      </c>
      <c r="D68" s="143">
        <v>15004245.039999999</v>
      </c>
      <c r="E68" s="143">
        <v>18596983.789097831</v>
      </c>
      <c r="F68" s="143">
        <v>18996793.605241723</v>
      </c>
      <c r="G68" s="172">
        <v>22246141.597324912</v>
      </c>
      <c r="K68" s="146"/>
      <c r="L68" s="150">
        <v>6600</v>
      </c>
      <c r="M68" s="150" t="s">
        <v>59</v>
      </c>
      <c r="N68" s="145">
        <v>59323044.259533092</v>
      </c>
      <c r="Y68" s="73">
        <v>0</v>
      </c>
    </row>
    <row r="69" spans="1:25">
      <c r="A69" s="146"/>
      <c r="B69" s="150">
        <v>6501</v>
      </c>
      <c r="C69" s="143" t="s">
        <v>57</v>
      </c>
      <c r="D69" s="143">
        <v>0</v>
      </c>
      <c r="E69" s="143">
        <v>0</v>
      </c>
      <c r="F69" s="172"/>
      <c r="G69" s="172">
        <v>0</v>
      </c>
      <c r="K69" s="146"/>
      <c r="L69" s="150">
        <v>6600</v>
      </c>
      <c r="M69" s="150" t="s">
        <v>60</v>
      </c>
      <c r="N69" s="145">
        <v>19000000</v>
      </c>
      <c r="V69" t="s">
        <v>61</v>
      </c>
      <c r="Y69" s="73">
        <v>0</v>
      </c>
    </row>
    <row r="70" spans="1:25">
      <c r="A70" s="146"/>
      <c r="B70" s="150"/>
      <c r="C70" s="143"/>
      <c r="D70" s="143">
        <v>0</v>
      </c>
      <c r="E70" s="143">
        <v>0</v>
      </c>
      <c r="F70" s="172"/>
      <c r="G70" s="172">
        <v>0</v>
      </c>
      <c r="K70" s="146"/>
      <c r="L70" s="150"/>
      <c r="M70" s="150"/>
      <c r="N70" s="145">
        <v>0</v>
      </c>
      <c r="V70">
        <v>6200</v>
      </c>
      <c r="W70" t="s">
        <v>62</v>
      </c>
      <c r="Y70" s="73">
        <v>113980761.63145034</v>
      </c>
    </row>
    <row r="71" spans="1:25">
      <c r="A71" s="146"/>
      <c r="B71" s="3" t="s">
        <v>58</v>
      </c>
      <c r="C71" s="143"/>
      <c r="D71" s="143">
        <v>0</v>
      </c>
      <c r="E71" s="143">
        <v>0</v>
      </c>
      <c r="F71" s="172"/>
      <c r="G71" s="172">
        <v>0</v>
      </c>
      <c r="K71" s="146"/>
      <c r="L71" s="3" t="s">
        <v>61</v>
      </c>
      <c r="M71" s="150"/>
      <c r="N71" s="145">
        <v>0</v>
      </c>
      <c r="V71">
        <v>6201</v>
      </c>
      <c r="W71" t="s">
        <v>63</v>
      </c>
      <c r="Y71" s="73">
        <v>50658116.280644596</v>
      </c>
    </row>
    <row r="72" spans="1:25">
      <c r="A72" s="146"/>
      <c r="B72" s="150">
        <v>6600</v>
      </c>
      <c r="C72" s="143" t="s">
        <v>59</v>
      </c>
      <c r="D72" s="143">
        <v>89074191</v>
      </c>
      <c r="E72" s="143">
        <v>49591956.770927541</v>
      </c>
      <c r="F72" s="143">
        <v>50658116.280644596</v>
      </c>
      <c r="G72" s="172">
        <v>59323044.259533092</v>
      </c>
      <c r="K72" s="146"/>
      <c r="L72" s="150">
        <v>6200</v>
      </c>
      <c r="M72" s="150" t="s">
        <v>62</v>
      </c>
      <c r="N72" s="145">
        <v>133476849.58394952</v>
      </c>
      <c r="V72">
        <v>6210</v>
      </c>
      <c r="W72" t="s">
        <v>64</v>
      </c>
      <c r="Y72" s="73">
        <v>18996793.605241723</v>
      </c>
    </row>
    <row r="73" spans="1:25">
      <c r="A73" s="146"/>
      <c r="B73" s="150">
        <v>6600</v>
      </c>
      <c r="C73" s="143" t="s">
        <v>60</v>
      </c>
      <c r="D73" s="143">
        <v>15184112</v>
      </c>
      <c r="E73" s="143">
        <v>17000000</v>
      </c>
      <c r="F73" s="143">
        <v>18000000</v>
      </c>
      <c r="G73" s="172">
        <v>19000000</v>
      </c>
      <c r="K73" s="146"/>
      <c r="L73" s="150">
        <v>6201</v>
      </c>
      <c r="M73" s="150" t="s">
        <v>63</v>
      </c>
      <c r="N73" s="145">
        <v>59323044.259533092</v>
      </c>
      <c r="V73">
        <v>6211</v>
      </c>
      <c r="W73" t="s">
        <v>65</v>
      </c>
      <c r="Y73" s="73">
        <v>6332264.5350805745</v>
      </c>
    </row>
    <row r="74" spans="1:25">
      <c r="A74" s="146"/>
      <c r="B74" s="150"/>
      <c r="C74" s="143"/>
      <c r="D74" s="143">
        <v>0</v>
      </c>
      <c r="E74" s="172"/>
      <c r="F74" s="143">
        <v>0</v>
      </c>
      <c r="G74" s="172">
        <v>0</v>
      </c>
      <c r="K74" s="146"/>
      <c r="L74" s="150">
        <v>6210</v>
      </c>
      <c r="M74" s="150" t="s">
        <v>64</v>
      </c>
      <c r="N74" s="145">
        <v>22246141.597324912</v>
      </c>
      <c r="V74">
        <v>6220</v>
      </c>
      <c r="W74" t="s">
        <v>66</v>
      </c>
      <c r="Y74" s="73">
        <v>12664529.070161149</v>
      </c>
    </row>
    <row r="75" spans="1:25">
      <c r="A75" s="146"/>
      <c r="B75" s="3" t="s">
        <v>61</v>
      </c>
      <c r="C75" s="143"/>
      <c r="D75" s="143">
        <v>0</v>
      </c>
      <c r="E75" s="143">
        <v>0</v>
      </c>
      <c r="F75" s="143">
        <v>0</v>
      </c>
      <c r="G75" s="172">
        <v>0</v>
      </c>
      <c r="K75" s="146"/>
      <c r="L75" s="150">
        <v>6211</v>
      </c>
      <c r="M75" s="150" t="s">
        <v>65</v>
      </c>
      <c r="N75" s="145">
        <v>7415380.5324416365</v>
      </c>
      <c r="V75">
        <v>6221</v>
      </c>
      <c r="W75" t="s">
        <v>67</v>
      </c>
      <c r="Y75" s="73">
        <v>6332264.5350805745</v>
      </c>
    </row>
    <row r="76" spans="1:25">
      <c r="A76" s="146"/>
      <c r="B76" s="150">
        <v>6200</v>
      </c>
      <c r="C76" s="143" t="s">
        <v>62</v>
      </c>
      <c r="D76" s="143">
        <v>194174100</v>
      </c>
      <c r="E76" s="143">
        <v>111581902.73458698</v>
      </c>
      <c r="F76" s="143">
        <v>113980761.63145034</v>
      </c>
      <c r="G76" s="172">
        <v>133476849.58394952</v>
      </c>
      <c r="K76" s="146"/>
      <c r="L76" s="150">
        <v>6220</v>
      </c>
      <c r="M76" s="150" t="s">
        <v>66</v>
      </c>
      <c r="N76" s="145">
        <v>14830761.064883273</v>
      </c>
      <c r="V76">
        <v>6230</v>
      </c>
      <c r="W76" t="s">
        <v>68</v>
      </c>
      <c r="Y76" s="73">
        <v>40849438.51580479</v>
      </c>
    </row>
    <row r="77" spans="1:25">
      <c r="A77" s="146"/>
      <c r="B77" s="150">
        <v>6201</v>
      </c>
      <c r="C77" s="143" t="s">
        <v>63</v>
      </c>
      <c r="D77" s="143">
        <v>46548500</v>
      </c>
      <c r="E77" s="143">
        <v>49591956.770927541</v>
      </c>
      <c r="F77" s="143">
        <v>50658116.280644596</v>
      </c>
      <c r="G77" s="172">
        <v>59323044.259533092</v>
      </c>
      <c r="K77" s="146"/>
      <c r="L77" s="150">
        <v>6221</v>
      </c>
      <c r="M77" s="150" t="s">
        <v>67</v>
      </c>
      <c r="N77" s="145">
        <v>7415380.5324416365</v>
      </c>
      <c r="V77">
        <v>6231</v>
      </c>
      <c r="W77" t="s">
        <v>69</v>
      </c>
      <c r="Y77" s="73">
        <v>101316232.56128919</v>
      </c>
    </row>
    <row r="78" spans="1:25">
      <c r="A78" s="146"/>
      <c r="B78" s="150">
        <v>6210</v>
      </c>
      <c r="C78" s="143" t="s">
        <v>64</v>
      </c>
      <c r="D78" s="143">
        <v>7500000</v>
      </c>
      <c r="E78" s="143">
        <v>18596983.789097831</v>
      </c>
      <c r="F78" s="143">
        <v>18996793.605241723</v>
      </c>
      <c r="G78" s="172">
        <v>22246141.597324912</v>
      </c>
      <c r="K78" s="146"/>
      <c r="L78" s="150">
        <v>6230</v>
      </c>
      <c r="M78" s="150" t="s">
        <v>68</v>
      </c>
      <c r="N78" s="145">
        <v>47836619.814781003</v>
      </c>
      <c r="V78">
        <v>6240</v>
      </c>
      <c r="W78" t="s">
        <v>70</v>
      </c>
      <c r="Y78" s="73">
        <v>56990380.81572517</v>
      </c>
    </row>
    <row r="79" spans="1:25">
      <c r="A79" s="146"/>
      <c r="B79" s="150">
        <v>6211</v>
      </c>
      <c r="C79" s="143" t="s">
        <v>65</v>
      </c>
      <c r="D79" s="143">
        <v>2500000</v>
      </c>
      <c r="E79" s="143">
        <v>6198994.5963659426</v>
      </c>
      <c r="F79" s="143">
        <v>6332264.5350805745</v>
      </c>
      <c r="G79" s="172">
        <v>7415380.5324416365</v>
      </c>
      <c r="K79" s="146"/>
      <c r="L79" s="150">
        <v>6231</v>
      </c>
      <c r="M79" s="150" t="s">
        <v>69</v>
      </c>
      <c r="N79" s="145">
        <v>118646088.51906618</v>
      </c>
      <c r="V79">
        <v>6241</v>
      </c>
      <c r="W79" t="s">
        <v>71</v>
      </c>
      <c r="Y79" s="73">
        <v>25329058.140322298</v>
      </c>
    </row>
    <row r="80" spans="1:25">
      <c r="A80" s="146"/>
      <c r="B80" s="150">
        <v>6220</v>
      </c>
      <c r="C80" s="143" t="s">
        <v>66</v>
      </c>
      <c r="D80" s="143">
        <v>5000000</v>
      </c>
      <c r="E80" s="143">
        <v>12397989.192731885</v>
      </c>
      <c r="F80" s="143">
        <v>12664529.070161149</v>
      </c>
      <c r="G80" s="172">
        <v>14830761.064883273</v>
      </c>
      <c r="K80" s="146"/>
      <c r="L80" s="150">
        <v>6240</v>
      </c>
      <c r="M80" s="4" t="s">
        <v>70</v>
      </c>
      <c r="N80" s="145">
        <v>66738424.791974761</v>
      </c>
      <c r="V80">
        <v>6250</v>
      </c>
      <c r="W80" t="s">
        <v>72</v>
      </c>
      <c r="Y80" s="73">
        <v>493916633.73628473</v>
      </c>
    </row>
    <row r="81" spans="1:25">
      <c r="A81" s="146"/>
      <c r="B81" s="150">
        <v>6221</v>
      </c>
      <c r="C81" s="143" t="s">
        <v>67</v>
      </c>
      <c r="D81" s="143">
        <v>2500000</v>
      </c>
      <c r="E81" s="143">
        <v>6198994.5963659426</v>
      </c>
      <c r="F81" s="143">
        <v>6332264.5350805745</v>
      </c>
      <c r="G81" s="172">
        <v>7415380.5324416365</v>
      </c>
      <c r="K81" s="146"/>
      <c r="L81" s="150">
        <v>6241</v>
      </c>
      <c r="M81" s="150" t="s">
        <v>71</v>
      </c>
      <c r="N81" s="145">
        <v>29661522.129766546</v>
      </c>
      <c r="Y81" s="73">
        <v>0</v>
      </c>
    </row>
    <row r="82" spans="1:25">
      <c r="A82" s="146"/>
      <c r="B82" s="150">
        <v>6230</v>
      </c>
      <c r="C82" s="143" t="s">
        <v>68</v>
      </c>
      <c r="D82" s="143">
        <v>17462500</v>
      </c>
      <c r="E82" s="143">
        <v>39989714.141156696</v>
      </c>
      <c r="F82" s="143">
        <v>40849438.51580479</v>
      </c>
      <c r="G82" s="172">
        <v>47836619.814781003</v>
      </c>
      <c r="K82" s="146"/>
      <c r="L82" s="150">
        <v>6250</v>
      </c>
      <c r="M82" s="150" t="s">
        <v>72</v>
      </c>
      <c r="N82" s="145">
        <v>578399681.53044772</v>
      </c>
      <c r="V82" t="s">
        <v>73</v>
      </c>
      <c r="Y82" s="73">
        <v>0</v>
      </c>
    </row>
    <row r="83" spans="1:25">
      <c r="A83" s="146"/>
      <c r="B83" s="150">
        <v>6231</v>
      </c>
      <c r="C83" s="143" t="s">
        <v>69</v>
      </c>
      <c r="D83" s="143">
        <v>35392793</v>
      </c>
      <c r="E83" s="143">
        <v>99183913.541855082</v>
      </c>
      <c r="F83" s="143">
        <v>101316232.56128919</v>
      </c>
      <c r="G83" s="172">
        <v>118646088.51906618</v>
      </c>
      <c r="K83" s="146"/>
      <c r="L83" s="150"/>
      <c r="M83" s="150"/>
      <c r="N83" s="145">
        <v>0</v>
      </c>
      <c r="V83">
        <v>6000</v>
      </c>
      <c r="W83" t="s">
        <v>74</v>
      </c>
      <c r="Y83" s="73">
        <v>0</v>
      </c>
    </row>
    <row r="84" spans="1:25">
      <c r="A84" s="146"/>
      <c r="B84" s="150">
        <v>6240</v>
      </c>
      <c r="C84" s="176" t="s">
        <v>70</v>
      </c>
      <c r="D84" s="143">
        <v>115523550</v>
      </c>
      <c r="E84" s="143">
        <v>55790951.367293492</v>
      </c>
      <c r="F84" s="143">
        <v>56990380.81572517</v>
      </c>
      <c r="G84" s="172">
        <v>66738424.791974761</v>
      </c>
      <c r="K84" s="146"/>
      <c r="L84" s="3" t="s">
        <v>73</v>
      </c>
      <c r="M84" s="150"/>
      <c r="N84" s="145">
        <v>0</v>
      </c>
      <c r="V84">
        <v>6001</v>
      </c>
      <c r="W84" t="s">
        <v>75</v>
      </c>
      <c r="Y84" s="73">
        <v>13930981977.177263</v>
      </c>
    </row>
    <row r="85" spans="1:25">
      <c r="A85" s="146"/>
      <c r="B85" s="150">
        <v>6241</v>
      </c>
      <c r="C85" s="143" t="s">
        <v>71</v>
      </c>
      <c r="D85" s="143">
        <v>41934000</v>
      </c>
      <c r="E85" s="143">
        <v>24795978.38546377</v>
      </c>
      <c r="F85" s="143">
        <v>25329058.140322298</v>
      </c>
      <c r="G85" s="172">
        <v>29661522.129766546</v>
      </c>
      <c r="K85" s="146"/>
      <c r="L85" s="150">
        <v>6000</v>
      </c>
      <c r="M85" s="150" t="s">
        <v>74</v>
      </c>
      <c r="N85" s="145">
        <v>0</v>
      </c>
      <c r="V85">
        <v>6002</v>
      </c>
      <c r="W85" t="s">
        <v>76</v>
      </c>
      <c r="Y85" s="73">
        <v>1139807616.3145037</v>
      </c>
    </row>
    <row r="86" spans="1:25">
      <c r="A86" s="146"/>
      <c r="B86" s="150">
        <v>6250</v>
      </c>
      <c r="C86" s="143" t="s">
        <v>72</v>
      </c>
      <c r="D86" s="143">
        <v>420000000</v>
      </c>
      <c r="E86" s="143">
        <v>483521578.51654351</v>
      </c>
      <c r="F86" s="143">
        <v>493916633.73628473</v>
      </c>
      <c r="G86" s="172">
        <v>578399681.53044772</v>
      </c>
      <c r="K86" s="146"/>
      <c r="L86" s="150">
        <v>6001</v>
      </c>
      <c r="M86" s="150" t="s">
        <v>75</v>
      </c>
      <c r="N86" s="145">
        <v>16313837171.371605</v>
      </c>
      <c r="V86">
        <v>6020</v>
      </c>
      <c r="W86" t="s">
        <v>77</v>
      </c>
      <c r="Y86" s="73">
        <v>16463887791.209494</v>
      </c>
    </row>
    <row r="87" spans="1:25">
      <c r="A87" s="146"/>
      <c r="B87" s="150"/>
      <c r="C87" s="143"/>
      <c r="D87" s="143">
        <v>0</v>
      </c>
      <c r="E87" s="172"/>
      <c r="F87" s="143">
        <v>0</v>
      </c>
      <c r="G87" s="172">
        <v>0</v>
      </c>
      <c r="K87" s="146"/>
      <c r="L87" s="150">
        <v>6002</v>
      </c>
      <c r="M87" s="150" t="s">
        <v>76</v>
      </c>
      <c r="N87" s="145">
        <v>1334768495.8394952</v>
      </c>
      <c r="V87">
        <v>6021</v>
      </c>
      <c r="W87" t="s">
        <v>78</v>
      </c>
      <c r="Y87" s="73">
        <v>1139807616.3145037</v>
      </c>
    </row>
    <row r="88" spans="1:25">
      <c r="A88" s="146"/>
      <c r="B88" s="3" t="s">
        <v>73</v>
      </c>
      <c r="C88" s="143"/>
      <c r="D88" s="143">
        <v>0</v>
      </c>
      <c r="E88" s="143">
        <v>0</v>
      </c>
      <c r="F88" s="143">
        <v>0</v>
      </c>
      <c r="G88" s="172">
        <v>0</v>
      </c>
      <c r="K88" s="146"/>
      <c r="L88" s="150">
        <v>6020</v>
      </c>
      <c r="M88" s="150" t="s">
        <v>77</v>
      </c>
      <c r="N88" s="145">
        <v>19279989384.348259</v>
      </c>
      <c r="V88">
        <v>6030</v>
      </c>
      <c r="W88" t="s">
        <v>79</v>
      </c>
      <c r="Y88" s="73">
        <v>50658116.280644596</v>
      </c>
    </row>
    <row r="89" spans="1:25">
      <c r="A89" s="146"/>
      <c r="B89" s="150">
        <v>6000</v>
      </c>
      <c r="C89" s="143" t="s">
        <v>74</v>
      </c>
      <c r="D89" s="143">
        <v>0</v>
      </c>
      <c r="E89" s="143">
        <v>0</v>
      </c>
      <c r="F89" s="143">
        <v>0</v>
      </c>
      <c r="G89" s="172">
        <v>0</v>
      </c>
      <c r="K89" s="146"/>
      <c r="L89" s="150">
        <v>6021</v>
      </c>
      <c r="M89" s="150" t="s">
        <v>78</v>
      </c>
      <c r="N89" s="145">
        <v>1334768495.8394952</v>
      </c>
      <c r="V89">
        <v>6040</v>
      </c>
      <c r="W89" t="s">
        <v>80</v>
      </c>
      <c r="Y89" s="73">
        <v>0</v>
      </c>
    </row>
    <row r="90" spans="1:25">
      <c r="A90" s="146"/>
      <c r="B90" s="150">
        <v>6001</v>
      </c>
      <c r="C90" s="143" t="s">
        <v>75</v>
      </c>
      <c r="D90" s="143">
        <v>13415105811</v>
      </c>
      <c r="E90" s="143">
        <v>13637788112.005075</v>
      </c>
      <c r="F90" s="143">
        <v>13930981977.177263</v>
      </c>
      <c r="G90" s="172">
        <v>16313837171.371605</v>
      </c>
      <c r="K90" s="146"/>
      <c r="L90" s="150">
        <v>6030</v>
      </c>
      <c r="M90" s="150" t="s">
        <v>79</v>
      </c>
      <c r="N90" s="145">
        <v>59323044.259533092</v>
      </c>
      <c r="V90">
        <v>6041</v>
      </c>
      <c r="W90" t="s">
        <v>81</v>
      </c>
      <c r="Y90" s="73">
        <v>0</v>
      </c>
    </row>
    <row r="91" spans="1:25">
      <c r="A91" s="146"/>
      <c r="B91" s="150">
        <v>6002</v>
      </c>
      <c r="C91" s="143" t="s">
        <v>76</v>
      </c>
      <c r="D91" s="143">
        <v>977745648</v>
      </c>
      <c r="E91" s="143">
        <v>1115819027.3458698</v>
      </c>
      <c r="F91" s="143">
        <v>1139807616.3145037</v>
      </c>
      <c r="G91" s="172">
        <v>1334768495.8394952</v>
      </c>
      <c r="K91" s="146"/>
      <c r="L91" s="150">
        <v>6040</v>
      </c>
      <c r="M91" s="150" t="s">
        <v>80</v>
      </c>
      <c r="N91" s="145">
        <v>0</v>
      </c>
      <c r="V91">
        <v>6050</v>
      </c>
      <c r="W91" t="s">
        <v>82</v>
      </c>
      <c r="Y91" s="73">
        <v>1456420843.068532</v>
      </c>
    </row>
    <row r="92" spans="1:25">
      <c r="A92" s="146"/>
      <c r="B92" s="150">
        <v>6020</v>
      </c>
      <c r="C92" s="143" t="s">
        <v>77</v>
      </c>
      <c r="D92" s="143">
        <v>13942401037</v>
      </c>
      <c r="E92" s="143">
        <v>16117385950.551451</v>
      </c>
      <c r="F92" s="143">
        <v>16463887791.209494</v>
      </c>
      <c r="G92" s="172">
        <v>19279989384.348259</v>
      </c>
      <c r="K92" s="146"/>
      <c r="L92" s="150">
        <v>6041</v>
      </c>
      <c r="M92" s="150" t="s">
        <v>81</v>
      </c>
      <c r="N92" s="145">
        <v>0</v>
      </c>
      <c r="V92">
        <v>6051</v>
      </c>
      <c r="W92" t="s">
        <v>83</v>
      </c>
      <c r="Y92" s="73">
        <v>7598717.4420966879</v>
      </c>
    </row>
    <row r="93" spans="1:25">
      <c r="A93" s="146"/>
      <c r="B93" s="150">
        <v>6021</v>
      </c>
      <c r="C93" s="143" t="s">
        <v>78</v>
      </c>
      <c r="D93" s="143">
        <v>1136345228</v>
      </c>
      <c r="E93" s="143">
        <v>1115819027.3458698</v>
      </c>
      <c r="F93" s="143">
        <v>1139807616.3145037</v>
      </c>
      <c r="G93" s="172">
        <v>1334768495.8394952</v>
      </c>
      <c r="K93" s="146"/>
      <c r="L93" s="150">
        <v>6050</v>
      </c>
      <c r="M93" s="150" t="s">
        <v>82</v>
      </c>
      <c r="N93" s="145">
        <v>1705537522.4615767</v>
      </c>
      <c r="V93">
        <v>6052</v>
      </c>
      <c r="W93" t="s">
        <v>84</v>
      </c>
      <c r="Y93" s="73">
        <v>6332264.5350805745</v>
      </c>
    </row>
    <row r="94" spans="1:25">
      <c r="A94" s="146"/>
      <c r="B94" s="150">
        <v>6030</v>
      </c>
      <c r="C94" s="143" t="s">
        <v>79</v>
      </c>
      <c r="D94" s="143">
        <v>40825670</v>
      </c>
      <c r="E94" s="143">
        <v>49591956.770927541</v>
      </c>
      <c r="F94" s="143">
        <v>50658116.280644596</v>
      </c>
      <c r="G94" s="172">
        <v>59323044.259533092</v>
      </c>
      <c r="K94" s="146"/>
      <c r="L94" s="150">
        <v>6051</v>
      </c>
      <c r="M94" s="150" t="s">
        <v>83</v>
      </c>
      <c r="N94" s="145">
        <v>8898456.6389299631</v>
      </c>
      <c r="V94">
        <v>6090</v>
      </c>
      <c r="W94" t="s">
        <v>85</v>
      </c>
      <c r="Y94" s="73">
        <v>12664529.070161149</v>
      </c>
    </row>
    <row r="95" spans="1:25">
      <c r="A95" s="146"/>
      <c r="B95" s="150">
        <v>6040</v>
      </c>
      <c r="C95" s="143" t="s">
        <v>80</v>
      </c>
      <c r="D95" s="143">
        <v>0</v>
      </c>
      <c r="E95" s="172"/>
      <c r="F95" s="143">
        <v>0</v>
      </c>
      <c r="G95" s="172">
        <v>0</v>
      </c>
      <c r="K95" s="146"/>
      <c r="L95" s="150">
        <v>6052</v>
      </c>
      <c r="M95" s="150" t="s">
        <v>84</v>
      </c>
      <c r="N95" s="145">
        <v>7415380.5324416365</v>
      </c>
      <c r="W95" t="s">
        <v>86</v>
      </c>
      <c r="Y95" s="73">
        <v>823194389.56047451</v>
      </c>
    </row>
    <row r="96" spans="1:25">
      <c r="A96" s="146"/>
      <c r="B96" s="150">
        <v>6041</v>
      </c>
      <c r="C96" s="143" t="s">
        <v>81</v>
      </c>
      <c r="D96" s="143">
        <v>0</v>
      </c>
      <c r="E96" s="143">
        <v>0</v>
      </c>
      <c r="F96" s="143">
        <v>0</v>
      </c>
      <c r="G96" s="172">
        <v>0</v>
      </c>
      <c r="K96" s="146"/>
      <c r="L96" s="150">
        <v>6090</v>
      </c>
      <c r="M96" s="150" t="s">
        <v>85</v>
      </c>
      <c r="N96" s="145">
        <v>14830761.064883273</v>
      </c>
      <c r="S96" s="145">
        <v>0</v>
      </c>
      <c r="W96" t="s">
        <v>87</v>
      </c>
      <c r="Y96" s="73">
        <v>0</v>
      </c>
    </row>
    <row r="97" spans="1:25">
      <c r="A97" s="146"/>
      <c r="B97" s="150">
        <v>6050</v>
      </c>
      <c r="C97" s="143" t="s">
        <v>82</v>
      </c>
      <c r="D97" s="143">
        <v>1353198800</v>
      </c>
      <c r="E97" s="143">
        <v>1425768757.1641669</v>
      </c>
      <c r="F97" s="143">
        <v>1456420843.068532</v>
      </c>
      <c r="G97" s="172">
        <v>1705537522.4615767</v>
      </c>
      <c r="K97" s="146"/>
      <c r="L97" s="150"/>
      <c r="M97" s="150" t="s">
        <v>86</v>
      </c>
      <c r="N97" s="145">
        <v>963999469.21741235</v>
      </c>
      <c r="S97" s="145">
        <v>0</v>
      </c>
      <c r="W97" t="s">
        <v>88</v>
      </c>
      <c r="Y97" s="73">
        <v>0</v>
      </c>
    </row>
    <row r="98" spans="1:25">
      <c r="A98" s="146"/>
      <c r="B98" s="150">
        <v>6051</v>
      </c>
      <c r="C98" s="143" t="s">
        <v>83</v>
      </c>
      <c r="D98" s="143">
        <v>7689000</v>
      </c>
      <c r="E98" s="143">
        <v>7438793.515639131</v>
      </c>
      <c r="F98" s="143">
        <v>7598717.4420966879</v>
      </c>
      <c r="G98" s="172">
        <v>8898456.6389299631</v>
      </c>
      <c r="K98" s="146"/>
      <c r="L98" s="150"/>
      <c r="M98" s="150" t="s">
        <v>87</v>
      </c>
      <c r="N98" s="145">
        <v>0</v>
      </c>
      <c r="S98" s="145">
        <v>0</v>
      </c>
      <c r="W98" t="s">
        <v>89</v>
      </c>
      <c r="Y98" s="73">
        <v>0</v>
      </c>
    </row>
    <row r="99" spans="1:25">
      <c r="A99" s="146"/>
      <c r="B99" s="150">
        <v>6052</v>
      </c>
      <c r="C99" s="143" t="s">
        <v>84</v>
      </c>
      <c r="D99" s="143">
        <v>2970000</v>
      </c>
      <c r="E99" s="143">
        <v>6198994.5963659426</v>
      </c>
      <c r="F99" s="143">
        <v>6332264.5350805745</v>
      </c>
      <c r="G99" s="172">
        <v>7415380.5324416365</v>
      </c>
      <c r="K99" s="146"/>
      <c r="L99" s="150"/>
      <c r="M99" s="150" t="s">
        <v>88</v>
      </c>
      <c r="N99" s="145">
        <v>0</v>
      </c>
      <c r="V99" t="s">
        <v>90</v>
      </c>
      <c r="Y99" s="73">
        <v>49586144770.180229</v>
      </c>
    </row>
    <row r="100" spans="1:25">
      <c r="A100" s="146"/>
      <c r="B100" s="150">
        <v>6090</v>
      </c>
      <c r="C100" s="143" t="s">
        <v>85</v>
      </c>
      <c r="D100" s="143">
        <v>5000000</v>
      </c>
      <c r="E100" s="143">
        <v>12397989.192731885</v>
      </c>
      <c r="F100" s="143">
        <v>12664529.070161149</v>
      </c>
      <c r="G100" s="172">
        <v>14830761.064883273</v>
      </c>
      <c r="K100" s="146"/>
      <c r="L100" s="150"/>
      <c r="M100" s="150" t="s">
        <v>89</v>
      </c>
      <c r="N100" s="145">
        <v>0</v>
      </c>
      <c r="S100" s="145">
        <v>0</v>
      </c>
      <c r="W100" t="s">
        <v>112</v>
      </c>
      <c r="Y100" s="73">
        <v>0</v>
      </c>
    </row>
    <row r="101" spans="1:25">
      <c r="A101" s="146"/>
      <c r="B101" s="150"/>
      <c r="C101" s="143" t="s">
        <v>86</v>
      </c>
      <c r="D101" s="143">
        <v>614320000</v>
      </c>
      <c r="E101" s="143">
        <v>805869297.52757239</v>
      </c>
      <c r="F101" s="143">
        <v>823194389.56047451</v>
      </c>
      <c r="G101" s="172">
        <v>963999469.21741235</v>
      </c>
      <c r="K101" s="146"/>
      <c r="L101" s="528" t="s">
        <v>90</v>
      </c>
      <c r="M101" s="528"/>
      <c r="N101" s="149">
        <v>57404369217.271599</v>
      </c>
      <c r="S101" s="145">
        <v>0</v>
      </c>
      <c r="W101" t="s">
        <v>230</v>
      </c>
      <c r="Y101" s="73">
        <v>0</v>
      </c>
    </row>
    <row r="102" spans="1:25">
      <c r="A102" s="146"/>
      <c r="B102" s="150"/>
      <c r="C102" s="143" t="s">
        <v>87</v>
      </c>
      <c r="D102" s="143">
        <v>65910000</v>
      </c>
      <c r="E102" s="172"/>
      <c r="F102" s="172"/>
      <c r="G102" s="172"/>
      <c r="K102" s="146"/>
      <c r="L102" s="150"/>
      <c r="M102" s="150" t="s">
        <v>112</v>
      </c>
      <c r="N102" s="145">
        <v>0</v>
      </c>
      <c r="S102" s="145">
        <v>0</v>
      </c>
      <c r="W102" t="s">
        <v>222</v>
      </c>
      <c r="Y102" s="73">
        <v>0</v>
      </c>
    </row>
    <row r="103" spans="1:25">
      <c r="A103" s="146"/>
      <c r="B103" s="150"/>
      <c r="C103" s="143" t="s">
        <v>88</v>
      </c>
      <c r="D103" s="143">
        <v>0</v>
      </c>
      <c r="E103" s="143">
        <v>0</v>
      </c>
      <c r="F103" s="172"/>
      <c r="G103" s="172"/>
      <c r="K103" s="146"/>
      <c r="L103" s="150"/>
      <c r="M103" s="150" t="s">
        <v>230</v>
      </c>
      <c r="N103" s="145">
        <v>0</v>
      </c>
      <c r="S103" s="145">
        <v>0</v>
      </c>
      <c r="Y103" s="73">
        <v>0</v>
      </c>
    </row>
    <row r="104" spans="1:25">
      <c r="A104" s="146"/>
      <c r="B104" s="150"/>
      <c r="C104" s="143" t="s">
        <v>89</v>
      </c>
      <c r="D104" s="143">
        <f>'CF 2016'!P105</f>
        <v>112281536</v>
      </c>
      <c r="E104" s="143">
        <f>'CF 2017'!P105</f>
        <v>155849512</v>
      </c>
      <c r="F104" s="172">
        <f>'CF 2018'!P101</f>
        <v>69566000</v>
      </c>
      <c r="G104" s="172">
        <f>'CF 2019'!P100</f>
        <v>160512240</v>
      </c>
      <c r="K104" s="146"/>
      <c r="L104" s="150"/>
      <c r="M104" s="150" t="s">
        <v>231</v>
      </c>
      <c r="N104" s="145">
        <v>0</v>
      </c>
      <c r="S104" s="145">
        <v>0</v>
      </c>
      <c r="W104" t="s">
        <v>96</v>
      </c>
      <c r="Y104" s="73">
        <v>0</v>
      </c>
    </row>
    <row r="105" spans="1:25">
      <c r="A105" s="146"/>
      <c r="B105" s="528" t="s">
        <v>90</v>
      </c>
      <c r="C105" s="528"/>
      <c r="D105" s="147">
        <f>SUM(D33:D104)</f>
        <v>44292800445.540001</v>
      </c>
      <c r="E105" s="147">
        <f t="shared" ref="E105:G105" si="2">SUM(E33:E104)</f>
        <v>48783674066.925613</v>
      </c>
      <c r="F105" s="147">
        <f t="shared" si="2"/>
        <v>50122069075.431786</v>
      </c>
      <c r="G105" s="147">
        <f t="shared" si="2"/>
        <v>58062494368.635193</v>
      </c>
      <c r="K105" s="146"/>
      <c r="L105" s="150"/>
      <c r="M105" s="150" t="s">
        <v>222</v>
      </c>
      <c r="N105" s="145">
        <v>0</v>
      </c>
      <c r="W105" t="s">
        <v>223</v>
      </c>
      <c r="Y105" s="73">
        <v>3600000000</v>
      </c>
    </row>
    <row r="106" spans="1:25">
      <c r="A106" s="146"/>
      <c r="B106" s="150"/>
      <c r="C106" s="143" t="s">
        <v>112</v>
      </c>
      <c r="D106" s="143">
        <v>445220000</v>
      </c>
      <c r="E106" s="172"/>
      <c r="F106" s="172"/>
      <c r="G106" s="172"/>
      <c r="K106" s="146"/>
      <c r="L106" s="154"/>
      <c r="M106" s="130" t="s">
        <v>98</v>
      </c>
      <c r="N106" s="145">
        <v>0</v>
      </c>
      <c r="W106" t="s">
        <v>144</v>
      </c>
      <c r="Y106" s="73">
        <v>1440000000</v>
      </c>
    </row>
    <row r="107" spans="1:25">
      <c r="A107" s="146"/>
      <c r="B107" s="150"/>
      <c r="C107" s="143" t="s">
        <v>230</v>
      </c>
      <c r="D107" s="143">
        <v>125000000</v>
      </c>
      <c r="E107" s="143">
        <v>0</v>
      </c>
      <c r="F107" s="172"/>
      <c r="G107" s="172"/>
      <c r="K107" s="146"/>
      <c r="L107" s="154"/>
      <c r="M107" s="130"/>
      <c r="N107" s="145">
        <v>0</v>
      </c>
      <c r="W107" t="s">
        <v>239</v>
      </c>
      <c r="Y107" s="73">
        <v>17449875000</v>
      </c>
    </row>
    <row r="108" spans="1:25">
      <c r="A108" s="146"/>
      <c r="B108" s="150"/>
      <c r="C108" s="143" t="s">
        <v>231</v>
      </c>
      <c r="D108" s="143">
        <v>40000000</v>
      </c>
      <c r="E108" s="143">
        <v>0</v>
      </c>
      <c r="F108" s="172"/>
      <c r="G108" s="172"/>
      <c r="K108" s="146"/>
      <c r="L108" s="154"/>
      <c r="M108" s="130"/>
      <c r="N108" s="145">
        <v>0</v>
      </c>
      <c r="U108" t="s">
        <v>102</v>
      </c>
      <c r="Y108" s="73">
        <v>72076019770.180237</v>
      </c>
    </row>
    <row r="109" spans="1:25">
      <c r="A109" s="146"/>
      <c r="B109" s="150"/>
      <c r="C109" s="143" t="s">
        <v>254</v>
      </c>
      <c r="D109" s="143">
        <v>400000000</v>
      </c>
      <c r="E109" s="172"/>
      <c r="F109" s="172"/>
      <c r="G109" s="172"/>
      <c r="K109" s="146"/>
      <c r="L109" s="154"/>
      <c r="M109" s="150"/>
      <c r="N109" s="145">
        <v>0</v>
      </c>
    </row>
    <row r="110" spans="1:25">
      <c r="A110" s="146"/>
      <c r="B110" s="4"/>
      <c r="C110" s="143" t="s">
        <v>91</v>
      </c>
      <c r="D110" s="143">
        <v>97658890</v>
      </c>
      <c r="E110" s="172"/>
      <c r="F110" s="172"/>
      <c r="G110" s="172"/>
      <c r="K110" s="146"/>
      <c r="L110" s="154"/>
      <c r="M110" s="150"/>
      <c r="N110" s="145">
        <v>0</v>
      </c>
      <c r="U110" t="s">
        <v>103</v>
      </c>
      <c r="Y110" s="73">
        <v>-17289054814.425079</v>
      </c>
    </row>
    <row r="111" spans="1:25">
      <c r="A111" s="146"/>
      <c r="B111" s="150"/>
      <c r="C111" s="176" t="s">
        <v>92</v>
      </c>
      <c r="D111" s="143">
        <v>124048775</v>
      </c>
      <c r="E111" s="143">
        <v>0</v>
      </c>
      <c r="F111" s="172"/>
      <c r="G111" s="172"/>
      <c r="K111" s="146"/>
      <c r="L111" s="154"/>
      <c r="M111" s="130" t="s">
        <v>96</v>
      </c>
      <c r="N111" s="145">
        <v>0</v>
      </c>
    </row>
    <row r="112" spans="1:25" ht="25.5">
      <c r="A112" s="146"/>
      <c r="B112" s="154"/>
      <c r="C112" s="174" t="s">
        <v>93</v>
      </c>
      <c r="D112" s="143">
        <v>130746000</v>
      </c>
      <c r="E112" s="143">
        <v>0</v>
      </c>
      <c r="F112" s="172"/>
      <c r="G112" s="172"/>
      <c r="K112" s="146"/>
      <c r="L112" s="154"/>
      <c r="M112" s="130" t="s">
        <v>223</v>
      </c>
      <c r="N112" s="145">
        <v>3300000000</v>
      </c>
    </row>
    <row r="113" spans="1:25" ht="25.5">
      <c r="A113" s="146"/>
      <c r="B113" s="154"/>
      <c r="C113" s="174" t="s">
        <v>94</v>
      </c>
      <c r="D113" s="143">
        <v>169256500</v>
      </c>
      <c r="E113" s="143">
        <v>0</v>
      </c>
      <c r="F113" s="172"/>
      <c r="G113" s="172"/>
      <c r="K113" s="146"/>
      <c r="L113" s="154"/>
      <c r="M113" s="170" t="s">
        <v>144</v>
      </c>
      <c r="N113" s="145">
        <v>1440000000</v>
      </c>
    </row>
    <row r="114" spans="1:25">
      <c r="A114" s="146"/>
      <c r="B114" s="154"/>
      <c r="C114" s="174" t="s">
        <v>145</v>
      </c>
      <c r="D114" s="143">
        <v>329700000</v>
      </c>
      <c r="E114" s="143">
        <v>400000000</v>
      </c>
      <c r="F114" s="172"/>
      <c r="G114" s="172"/>
      <c r="K114" s="530" t="s">
        <v>102</v>
      </c>
      <c r="L114" s="531"/>
      <c r="M114" s="531"/>
      <c r="N114" s="149">
        <v>62144369217.271599</v>
      </c>
    </row>
    <row r="115" spans="1:25">
      <c r="A115" s="146"/>
      <c r="B115" s="154"/>
      <c r="C115" s="174" t="s">
        <v>237</v>
      </c>
      <c r="D115" s="143">
        <v>1500000000</v>
      </c>
      <c r="E115" s="143">
        <v>0</v>
      </c>
      <c r="F115" s="172"/>
      <c r="G115" s="172"/>
      <c r="K115" s="146"/>
      <c r="L115" s="3"/>
      <c r="M115" s="150"/>
      <c r="N115" s="149">
        <v>0</v>
      </c>
    </row>
    <row r="116" spans="1:25">
      <c r="A116" s="146"/>
      <c r="B116" s="154"/>
      <c r="C116" s="174" t="s">
        <v>238</v>
      </c>
      <c r="D116" s="143">
        <v>1500000000</v>
      </c>
      <c r="E116" s="143">
        <v>4000000000</v>
      </c>
      <c r="F116" s="172"/>
      <c r="G116" s="172"/>
      <c r="K116" s="532" t="s">
        <v>103</v>
      </c>
      <c r="L116" s="533"/>
      <c r="M116" s="533"/>
      <c r="N116" s="152">
        <v>2696120469.2786636</v>
      </c>
      <c r="W116" t="s">
        <v>239</v>
      </c>
    </row>
    <row r="117" spans="1:25">
      <c r="A117" s="146"/>
      <c r="B117" s="154"/>
      <c r="C117" s="143" t="s">
        <v>95</v>
      </c>
      <c r="D117" s="143">
        <v>53000000</v>
      </c>
      <c r="E117" s="172"/>
      <c r="F117" s="172"/>
      <c r="G117" s="172"/>
      <c r="W117" t="s">
        <v>246</v>
      </c>
      <c r="Y117" s="73">
        <v>17449875000</v>
      </c>
    </row>
    <row r="118" spans="1:25">
      <c r="A118" s="146"/>
      <c r="B118" s="154"/>
      <c r="C118" s="143" t="s">
        <v>221</v>
      </c>
      <c r="D118" s="143">
        <v>102643000</v>
      </c>
      <c r="E118" s="143">
        <v>0</v>
      </c>
      <c r="F118" s="172"/>
      <c r="G118" s="172"/>
    </row>
    <row r="119" spans="1:25">
      <c r="A119" s="146"/>
      <c r="B119" s="154"/>
      <c r="C119" s="174" t="s">
        <v>96</v>
      </c>
      <c r="D119" s="143">
        <v>0</v>
      </c>
      <c r="E119" s="143">
        <v>0</v>
      </c>
      <c r="F119" s="172"/>
      <c r="G119" s="172"/>
    </row>
    <row r="120" spans="1:25" ht="25.5">
      <c r="A120" s="146"/>
      <c r="B120" s="154"/>
      <c r="C120" s="177" t="s">
        <v>97</v>
      </c>
      <c r="D120" s="143">
        <v>520000000</v>
      </c>
      <c r="E120" s="172"/>
      <c r="F120" s="172"/>
      <c r="G120" s="172"/>
      <c r="Y120" s="73">
        <v>15000000000</v>
      </c>
    </row>
    <row r="121" spans="1:25" ht="25.5">
      <c r="A121" s="146"/>
      <c r="B121" s="154"/>
      <c r="C121" s="177" t="s">
        <v>144</v>
      </c>
      <c r="D121" s="143">
        <v>1323577387</v>
      </c>
      <c r="E121" s="143">
        <v>1440000000</v>
      </c>
      <c r="F121" s="143">
        <v>1440000000</v>
      </c>
      <c r="G121" s="172">
        <v>1440000000</v>
      </c>
      <c r="Y121" s="73">
        <v>2925000000</v>
      </c>
    </row>
    <row r="122" spans="1:25">
      <c r="A122" s="146"/>
      <c r="B122" s="154"/>
      <c r="C122" s="177" t="s">
        <v>255</v>
      </c>
      <c r="D122" s="143">
        <v>1430300000</v>
      </c>
      <c r="E122" s="143">
        <v>3300000000</v>
      </c>
      <c r="F122" s="143">
        <v>3600000000</v>
      </c>
      <c r="G122" s="172">
        <v>3300000000</v>
      </c>
    </row>
    <row r="123" spans="1:25">
      <c r="A123" s="146"/>
      <c r="B123" s="154"/>
      <c r="C123" s="177" t="s">
        <v>99</v>
      </c>
      <c r="D123" s="143">
        <v>612674503</v>
      </c>
      <c r="E123" s="172"/>
      <c r="F123" s="172"/>
      <c r="G123" s="172"/>
    </row>
    <row r="124" spans="1:25">
      <c r="A124" s="146"/>
      <c r="B124" s="4"/>
      <c r="C124" s="178" t="s">
        <v>100</v>
      </c>
      <c r="D124" s="143">
        <v>121221961</v>
      </c>
      <c r="E124" s="143">
        <v>32026815</v>
      </c>
      <c r="F124" s="172"/>
      <c r="G124" s="172"/>
    </row>
    <row r="125" spans="1:25">
      <c r="A125" s="146"/>
      <c r="B125" s="4"/>
      <c r="C125" s="178" t="s">
        <v>101</v>
      </c>
      <c r="D125" s="143">
        <v>1353892128</v>
      </c>
      <c r="E125" s="143">
        <v>1241067784</v>
      </c>
      <c r="F125" s="172"/>
      <c r="G125" s="172"/>
    </row>
    <row r="126" spans="1:25">
      <c r="A126" s="146"/>
      <c r="B126" s="4"/>
      <c r="C126" s="178" t="s">
        <v>89</v>
      </c>
      <c r="D126" s="143">
        <v>38159520</v>
      </c>
      <c r="E126" s="172"/>
      <c r="F126" s="172"/>
      <c r="G126" s="172"/>
    </row>
    <row r="127" spans="1:25">
      <c r="A127" s="146"/>
      <c r="B127" s="4"/>
      <c r="C127" s="178" t="str">
        <f>+W107</f>
        <v>Gedung Baru</v>
      </c>
      <c r="D127" s="143"/>
      <c r="E127" s="143">
        <v>19846125000</v>
      </c>
      <c r="F127" s="143">
        <v>17449875000</v>
      </c>
      <c r="G127" s="172"/>
    </row>
    <row r="128" spans="1:25">
      <c r="A128" s="530" t="s">
        <v>102</v>
      </c>
      <c r="B128" s="531"/>
      <c r="C128" s="531"/>
      <c r="D128" s="147">
        <f>SUM(D105:D127)</f>
        <v>54709899109.540001</v>
      </c>
      <c r="E128" s="147">
        <f t="shared" ref="E128:G128" si="3">SUM(E105:E127)</f>
        <v>79042893665.925613</v>
      </c>
      <c r="F128" s="147">
        <f t="shared" si="3"/>
        <v>72611944075.431793</v>
      </c>
      <c r="G128" s="147">
        <f t="shared" si="3"/>
        <v>62802494368.635193</v>
      </c>
    </row>
    <row r="129" spans="1:9">
      <c r="A129" s="146"/>
      <c r="B129" s="3"/>
      <c r="C129" s="143"/>
      <c r="D129" s="143">
        <v>0</v>
      </c>
      <c r="E129" s="143"/>
      <c r="F129" s="143"/>
      <c r="G129" s="143"/>
    </row>
    <row r="130" spans="1:9">
      <c r="A130" s="532" t="s">
        <v>103</v>
      </c>
      <c r="B130" s="533"/>
      <c r="C130" s="533"/>
      <c r="D130" s="151">
        <f>+D28-D128</f>
        <v>-2916897088.7551575</v>
      </c>
      <c r="E130" s="151">
        <f t="shared" ref="E130:G130" si="4">+E28-E128</f>
        <v>-27184933530.799858</v>
      </c>
      <c r="F130" s="151">
        <f t="shared" si="4"/>
        <v>-17824979119.676636</v>
      </c>
      <c r="G130" s="151">
        <f t="shared" si="4"/>
        <v>2037995317.9150696</v>
      </c>
    </row>
    <row r="131" spans="1:9">
      <c r="A131" s="126"/>
      <c r="B131" s="126"/>
      <c r="C131" s="179"/>
    </row>
    <row r="132" spans="1:9">
      <c r="A132" s="126"/>
      <c r="B132" s="126"/>
      <c r="C132" s="179"/>
    </row>
    <row r="133" spans="1:9">
      <c r="A133" s="126"/>
      <c r="B133" s="126"/>
      <c r="C133" s="179"/>
      <c r="D133" s="74">
        <f>+D130-'CF 2016'!P133</f>
        <v>-3075352940.2476654</v>
      </c>
      <c r="E133" s="125">
        <f>+E130-'CF 2017'!P120</f>
        <v>-27213984571.558113</v>
      </c>
      <c r="F133" s="125">
        <f>+F130-'CF 2018'!P113</f>
        <v>-18955473124.474915</v>
      </c>
      <c r="G133" s="125">
        <f>+G130-'CF 2019'!P119</f>
        <v>619665693.72903442</v>
      </c>
    </row>
    <row r="134" spans="1:9">
      <c r="A134" s="126"/>
      <c r="B134" s="126"/>
      <c r="C134" s="179"/>
    </row>
    <row r="136" spans="1:9">
      <c r="I136" s="77"/>
    </row>
    <row r="142" spans="1:9">
      <c r="I142" s="73">
        <v>-26592179014</v>
      </c>
    </row>
    <row r="143" spans="1:9">
      <c r="I143" s="73">
        <v>-17919054814</v>
      </c>
    </row>
    <row r="144" spans="1:9">
      <c r="I144" s="73">
        <v>1976120469</v>
      </c>
    </row>
    <row r="145" spans="9:25">
      <c r="I145" s="73">
        <v>-2815543473</v>
      </c>
      <c r="Y145" s="73">
        <v>6000000000</v>
      </c>
    </row>
    <row r="146" spans="9:25">
      <c r="I146" s="73">
        <f>SUM(I142:I145)</f>
        <v>-45350656832</v>
      </c>
      <c r="Y146" s="73">
        <v>1800000000</v>
      </c>
    </row>
    <row r="147" spans="9:25">
      <c r="Y147" s="73">
        <v>25725000000</v>
      </c>
    </row>
    <row r="149" spans="9:25">
      <c r="Y149" s="73">
        <v>11268000000</v>
      </c>
    </row>
    <row r="150" spans="9:25">
      <c r="Y150" s="73">
        <v>325000000</v>
      </c>
    </row>
    <row r="151" spans="9:25">
      <c r="Y151" s="73">
        <v>37318000000</v>
      </c>
    </row>
    <row r="181" spans="3:23">
      <c r="C181" s="136" t="s">
        <v>135</v>
      </c>
    </row>
    <row r="182" spans="3:23">
      <c r="C182" s="136" t="s">
        <v>136</v>
      </c>
    </row>
    <row r="183" spans="3:23">
      <c r="C183" s="136" t="s">
        <v>137</v>
      </c>
    </row>
    <row r="184" spans="3:23">
      <c r="C184" s="136" t="s">
        <v>138</v>
      </c>
    </row>
    <row r="185" spans="3:23">
      <c r="C185" s="136" t="s">
        <v>139</v>
      </c>
    </row>
    <row r="186" spans="3:23">
      <c r="C186" s="136" t="s">
        <v>140</v>
      </c>
    </row>
    <row r="187" spans="3:23">
      <c r="C187" s="136" t="s">
        <v>141</v>
      </c>
    </row>
    <row r="188" spans="3:23">
      <c r="C188" s="136" t="s">
        <v>146</v>
      </c>
    </row>
    <row r="190" spans="3:23">
      <c r="W190" t="s">
        <v>135</v>
      </c>
    </row>
    <row r="191" spans="3:23">
      <c r="W191" t="s">
        <v>136</v>
      </c>
    </row>
    <row r="192" spans="3:23">
      <c r="W192" t="s">
        <v>137</v>
      </c>
    </row>
    <row r="193" spans="13:23">
      <c r="W193" t="s">
        <v>138</v>
      </c>
    </row>
    <row r="194" spans="13:23">
      <c r="W194" t="s">
        <v>139</v>
      </c>
    </row>
    <row r="195" spans="13:23">
      <c r="W195" t="s">
        <v>140</v>
      </c>
    </row>
    <row r="196" spans="13:23">
      <c r="W196" t="s">
        <v>141</v>
      </c>
    </row>
    <row r="197" spans="13:23">
      <c r="W197" t="s">
        <v>146</v>
      </c>
    </row>
    <row r="198" spans="13:23">
      <c r="M198" s="135" t="s">
        <v>135</v>
      </c>
    </row>
    <row r="199" spans="13:23">
      <c r="M199" s="135" t="s">
        <v>136</v>
      </c>
    </row>
    <row r="200" spans="13:23">
      <c r="M200" s="135" t="s">
        <v>137</v>
      </c>
    </row>
    <row r="226" spans="13:13">
      <c r="M226" s="135" t="s">
        <v>138</v>
      </c>
    </row>
    <row r="227" spans="13:13">
      <c r="M227" s="135" t="s">
        <v>139</v>
      </c>
    </row>
    <row r="228" spans="13:13">
      <c r="M228" s="135" t="s">
        <v>140</v>
      </c>
    </row>
    <row r="229" spans="13:13">
      <c r="M229" s="135" t="s">
        <v>141</v>
      </c>
    </row>
    <row r="230" spans="13:13">
      <c r="M230" s="135" t="s">
        <v>146</v>
      </c>
    </row>
    <row r="241" spans="13:13">
      <c r="M241" s="135">
        <v>160000000</v>
      </c>
    </row>
    <row r="242" spans="13:13">
      <c r="M242" s="135">
        <v>230000000</v>
      </c>
    </row>
    <row r="243" spans="13:13">
      <c r="M243" s="135">
        <v>70000000</v>
      </c>
    </row>
    <row r="246" spans="13:13">
      <c r="M246" s="169">
        <v>160000000</v>
      </c>
    </row>
    <row r="247" spans="13:13">
      <c r="M247" s="169">
        <v>80000000</v>
      </c>
    </row>
    <row r="248" spans="13:13">
      <c r="M248" s="169">
        <v>40000000</v>
      </c>
    </row>
    <row r="249" spans="13:13">
      <c r="M249" s="169">
        <v>280000000</v>
      </c>
    </row>
    <row r="251" spans="13:13">
      <c r="M251" s="169">
        <v>220000</v>
      </c>
    </row>
  </sheetData>
  <mergeCells count="43">
    <mergeCell ref="L22:M22"/>
    <mergeCell ref="L24:M24"/>
    <mergeCell ref="L101:M101"/>
    <mergeCell ref="K114:M114"/>
    <mergeCell ref="K116:M116"/>
    <mergeCell ref="N5:N7"/>
    <mergeCell ref="L15:M15"/>
    <mergeCell ref="L17:M17"/>
    <mergeCell ref="L18:M18"/>
    <mergeCell ref="L19:M19"/>
    <mergeCell ref="L20:M20"/>
    <mergeCell ref="L21:M21"/>
    <mergeCell ref="K5:M7"/>
    <mergeCell ref="L8:M8"/>
    <mergeCell ref="K9:M9"/>
    <mergeCell ref="L11:M11"/>
    <mergeCell ref="L13:M13"/>
    <mergeCell ref="L14:M14"/>
    <mergeCell ref="E6:E8"/>
    <mergeCell ref="F6:F8"/>
    <mergeCell ref="G6:G8"/>
    <mergeCell ref="A128:C128"/>
    <mergeCell ref="A9:C9"/>
    <mergeCell ref="A10:C10"/>
    <mergeCell ref="B11:C11"/>
    <mergeCell ref="B13:C13"/>
    <mergeCell ref="B14:C14"/>
    <mergeCell ref="A130:C130"/>
    <mergeCell ref="D6:D8"/>
    <mergeCell ref="B23:C23"/>
    <mergeCell ref="B24:C24"/>
    <mergeCell ref="B25:C25"/>
    <mergeCell ref="B26:C26"/>
    <mergeCell ref="B28:C28"/>
    <mergeCell ref="B105:C105"/>
    <mergeCell ref="B15:C15"/>
    <mergeCell ref="B17:C17"/>
    <mergeCell ref="B18:C18"/>
    <mergeCell ref="B20:C20"/>
    <mergeCell ref="B21:C21"/>
    <mergeCell ref="B22:C22"/>
    <mergeCell ref="B16:C16"/>
    <mergeCell ref="A6:C8"/>
  </mergeCells>
  <pageMargins left="0.7" right="0.7" top="0.75" bottom="0.75" header="0.3" footer="0.3"/>
  <pageSetup paperSize="8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E5:H16"/>
  <sheetViews>
    <sheetView workbookViewId="0">
      <selection activeCell="F5" sqref="F5"/>
    </sheetView>
  </sheetViews>
  <sheetFormatPr defaultRowHeight="15"/>
  <cols>
    <col min="5" max="5" width="47.28515625" bestFit="1" customWidth="1"/>
    <col min="6" max="6" width="18.7109375" style="73" bestFit="1" customWidth="1"/>
    <col min="8" max="8" width="18" bestFit="1" customWidth="1"/>
  </cols>
  <sheetData>
    <row r="5" spans="5:8">
      <c r="E5" t="s">
        <v>269</v>
      </c>
      <c r="F5" s="73">
        <f>'[12]CF 2019'!$P$115</f>
        <v>6056784534.8833923</v>
      </c>
    </row>
    <row r="6" spans="5:8">
      <c r="E6" t="s">
        <v>264</v>
      </c>
      <c r="F6" s="73">
        <v>25000000000</v>
      </c>
    </row>
    <row r="7" spans="5:8">
      <c r="E7" t="s">
        <v>264</v>
      </c>
      <c r="F7" s="73">
        <v>8000000000</v>
      </c>
    </row>
    <row r="8" spans="5:8">
      <c r="E8" t="s">
        <v>268</v>
      </c>
      <c r="F8" s="73">
        <f>'CF 2016'!P16+'CF 2017'!P16+'CF 2018'!P17+'CF 2019'!P16</f>
        <v>9765000000</v>
      </c>
    </row>
    <row r="9" spans="5:8">
      <c r="E9" t="s">
        <v>265</v>
      </c>
      <c r="F9" s="73">
        <f>-'CF 2018'!P110-'CF 2017'!P117</f>
        <v>-37296000000</v>
      </c>
    </row>
    <row r="10" spans="5:8">
      <c r="E10" t="s">
        <v>270</v>
      </c>
      <c r="F10" s="73">
        <f>-'CF 2016'!AP121</f>
        <v>-2950000000</v>
      </c>
    </row>
    <row r="11" spans="5:8">
      <c r="E11" t="s">
        <v>266</v>
      </c>
      <c r="F11" s="73" t="e">
        <f>-'CF 2017'!#REF!-'CF 2018'!P106</f>
        <v>#REF!</v>
      </c>
    </row>
    <row r="12" spans="5:8">
      <c r="E12" t="s">
        <v>267</v>
      </c>
      <c r="F12" s="73">
        <f>-'CF 2019'!P111</f>
        <v>-300000000</v>
      </c>
    </row>
    <row r="13" spans="5:8">
      <c r="F13" s="73" t="e">
        <f>SUM(F9:F12)</f>
        <v>#REF!</v>
      </c>
      <c r="H13" s="194">
        <f>SUM(F5:F8)</f>
        <v>48821784534.883392</v>
      </c>
    </row>
    <row r="16" spans="5:8">
      <c r="H16" s="194" t="e">
        <f>F13+H13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1"/>
  <sheetViews>
    <sheetView workbookViewId="0">
      <selection activeCell="N82" sqref="N82"/>
    </sheetView>
  </sheetViews>
  <sheetFormatPr defaultRowHeight="15"/>
  <cols>
    <col min="1" max="1" width="2" customWidth="1"/>
    <col min="2" max="2" width="7" customWidth="1"/>
    <col min="3" max="3" width="26.42578125" customWidth="1"/>
    <col min="4" max="4" width="15.28515625" bestFit="1" customWidth="1"/>
    <col min="5" max="6" width="16" bestFit="1" customWidth="1"/>
    <col min="7" max="7" width="18" bestFit="1" customWidth="1"/>
    <col min="8" max="8" width="16.28515625" bestFit="1" customWidth="1"/>
    <col min="10" max="11" width="14.28515625" bestFit="1" customWidth="1"/>
  </cols>
  <sheetData>
    <row r="1" spans="1:8">
      <c r="A1" s="134" t="s">
        <v>225</v>
      </c>
      <c r="B1" s="134"/>
      <c r="C1" s="135"/>
      <c r="E1" s="124"/>
      <c r="F1" s="124"/>
      <c r="G1" s="124"/>
    </row>
    <row r="2" spans="1:8">
      <c r="A2" s="134" t="s">
        <v>226</v>
      </c>
      <c r="B2" s="134"/>
      <c r="C2" s="135"/>
      <c r="E2" s="124"/>
      <c r="F2" s="124"/>
      <c r="G2" s="124"/>
    </row>
    <row r="3" spans="1:8">
      <c r="A3" s="134" t="s">
        <v>227</v>
      </c>
      <c r="B3" s="134"/>
      <c r="C3" s="135"/>
      <c r="E3" s="124"/>
      <c r="F3" s="124"/>
      <c r="G3" s="124"/>
    </row>
    <row r="4" spans="1:8">
      <c r="A4" s="135"/>
      <c r="B4" s="135"/>
      <c r="C4" s="135"/>
      <c r="E4" s="124"/>
      <c r="F4" s="124"/>
      <c r="G4" s="124"/>
    </row>
    <row r="5" spans="1:8">
      <c r="A5" s="135"/>
      <c r="B5" s="135"/>
      <c r="C5" s="135"/>
      <c r="E5" s="124"/>
      <c r="F5" s="124"/>
      <c r="G5" s="124"/>
    </row>
    <row r="6" spans="1:8">
      <c r="A6" s="518" t="s">
        <v>1</v>
      </c>
      <c r="B6" s="519"/>
      <c r="C6" s="519"/>
      <c r="D6" s="522" t="s">
        <v>227</v>
      </c>
      <c r="E6" s="522" t="s">
        <v>228</v>
      </c>
      <c r="F6" s="524" t="s">
        <v>229</v>
      </c>
      <c r="G6" s="524" t="s">
        <v>232</v>
      </c>
      <c r="H6" s="516" t="s">
        <v>421</v>
      </c>
    </row>
    <row r="7" spans="1:8">
      <c r="A7" s="520"/>
      <c r="B7" s="521"/>
      <c r="C7" s="521"/>
      <c r="D7" s="523"/>
      <c r="E7" s="523"/>
      <c r="F7" s="525"/>
      <c r="G7" s="525"/>
      <c r="H7" s="517"/>
    </row>
    <row r="8" spans="1:8">
      <c r="A8" s="520"/>
      <c r="B8" s="521"/>
      <c r="C8" s="521"/>
      <c r="D8" s="523"/>
      <c r="E8" s="523"/>
      <c r="F8" s="525"/>
      <c r="G8" s="525"/>
      <c r="H8" s="517"/>
    </row>
    <row r="9" spans="1:8">
      <c r="A9" s="520" t="s">
        <v>236</v>
      </c>
      <c r="B9" s="521"/>
      <c r="C9" s="521"/>
      <c r="D9" s="231"/>
      <c r="E9" s="157"/>
      <c r="F9" s="232"/>
      <c r="G9" s="232"/>
      <c r="H9" s="91"/>
    </row>
    <row r="10" spans="1:8">
      <c r="A10" s="527" t="s">
        <v>134</v>
      </c>
      <c r="B10" s="528"/>
      <c r="C10" s="528"/>
      <c r="D10" s="143">
        <v>82.298333333333332</v>
      </c>
      <c r="E10" s="143">
        <v>82.249166666666667</v>
      </c>
      <c r="F10" s="232">
        <v>82</v>
      </c>
      <c r="G10" s="232">
        <v>82</v>
      </c>
      <c r="H10" s="91">
        <v>82</v>
      </c>
    </row>
    <row r="11" spans="1:8">
      <c r="A11" s="146" t="s">
        <v>10</v>
      </c>
      <c r="B11" s="529" t="s">
        <v>11</v>
      </c>
      <c r="C11" s="529"/>
      <c r="D11" s="143">
        <v>509102793.48072398</v>
      </c>
      <c r="E11" s="143"/>
      <c r="F11" s="232"/>
      <c r="G11" s="232"/>
      <c r="H11" s="91"/>
    </row>
    <row r="12" spans="1:8">
      <c r="A12" s="146"/>
      <c r="B12" s="222"/>
      <c r="C12" s="222"/>
      <c r="D12" s="143"/>
      <c r="E12" s="143"/>
      <c r="F12" s="232"/>
      <c r="G12" s="232"/>
      <c r="H12" s="91"/>
    </row>
    <row r="13" spans="1:8">
      <c r="A13" s="146" t="s">
        <v>12</v>
      </c>
      <c r="B13" s="529" t="s">
        <v>159</v>
      </c>
      <c r="C13" s="529"/>
      <c r="D13" s="143"/>
      <c r="E13" s="143"/>
      <c r="F13" s="232"/>
      <c r="G13" s="232"/>
      <c r="H13" s="91"/>
    </row>
    <row r="14" spans="1:8">
      <c r="A14" s="146"/>
      <c r="B14" s="526" t="s">
        <v>13</v>
      </c>
      <c r="C14" s="526"/>
      <c r="D14" s="143">
        <v>14979392111.845728</v>
      </c>
      <c r="E14" s="143">
        <v>14457807806.722359</v>
      </c>
      <c r="F14" s="143">
        <v>15475682575.463276</v>
      </c>
      <c r="G14" s="143">
        <v>18985742759.562939</v>
      </c>
      <c r="H14" s="233">
        <v>63898625253.594299</v>
      </c>
    </row>
    <row r="15" spans="1:8">
      <c r="A15" s="146"/>
      <c r="B15" s="526" t="s">
        <v>14</v>
      </c>
      <c r="C15" s="526"/>
      <c r="D15" s="143">
        <v>3793047038</v>
      </c>
      <c r="E15" s="143">
        <v>3807771308.1421647</v>
      </c>
      <c r="F15" s="143">
        <v>4075850286.0554967</v>
      </c>
      <c r="G15" s="143">
        <v>5000299319.9299412</v>
      </c>
      <c r="H15" s="233">
        <v>16676967952.127602</v>
      </c>
    </row>
    <row r="16" spans="1:8">
      <c r="A16" s="146"/>
      <c r="B16" s="526" t="s">
        <v>252</v>
      </c>
      <c r="C16" s="526"/>
      <c r="D16" s="143"/>
      <c r="E16" s="143">
        <v>175000000</v>
      </c>
      <c r="F16" s="143">
        <v>1050000000</v>
      </c>
      <c r="G16" s="143">
        <v>1200000000</v>
      </c>
      <c r="H16" s="233">
        <v>2425000000</v>
      </c>
    </row>
    <row r="17" spans="1:8">
      <c r="A17" s="146"/>
      <c r="B17" s="526" t="s">
        <v>233</v>
      </c>
      <c r="C17" s="526"/>
      <c r="D17" s="143">
        <v>25036365069</v>
      </c>
      <c r="E17" s="143">
        <v>26151432617.744949</v>
      </c>
      <c r="F17" s="143">
        <v>27202585361.921169</v>
      </c>
      <c r="G17" s="143">
        <v>31333990828.66288</v>
      </c>
      <c r="H17" s="233">
        <v>109724373877.32901</v>
      </c>
    </row>
    <row r="18" spans="1:8">
      <c r="A18" s="146"/>
      <c r="B18" s="526" t="s">
        <v>234</v>
      </c>
      <c r="C18" s="526"/>
      <c r="D18" s="143">
        <v>4613981907.9499998</v>
      </c>
      <c r="E18" s="143">
        <v>4189051802.4953437</v>
      </c>
      <c r="F18" s="143">
        <v>3930642155.9963136</v>
      </c>
      <c r="G18" s="143">
        <v>4555919999.2227621</v>
      </c>
      <c r="H18" s="233">
        <v>17289595865.664417</v>
      </c>
    </row>
    <row r="19" spans="1:8" ht="38.25">
      <c r="A19" s="146"/>
      <c r="B19" s="221" t="s">
        <v>15</v>
      </c>
      <c r="C19" s="221"/>
      <c r="D19" s="143">
        <v>10000000</v>
      </c>
      <c r="E19" s="143">
        <v>0</v>
      </c>
      <c r="F19" s="232"/>
      <c r="G19" s="232"/>
      <c r="H19" s="233">
        <v>10000000</v>
      </c>
    </row>
    <row r="20" spans="1:8">
      <c r="A20" s="146"/>
      <c r="B20" s="526" t="s">
        <v>218</v>
      </c>
      <c r="C20" s="526"/>
      <c r="D20" s="143">
        <v>20250000</v>
      </c>
      <c r="E20" s="232"/>
      <c r="F20" s="232"/>
      <c r="G20" s="232"/>
      <c r="H20" s="233">
        <v>20250000</v>
      </c>
    </row>
    <row r="21" spans="1:8">
      <c r="A21" s="146"/>
      <c r="B21" s="526" t="s">
        <v>16</v>
      </c>
      <c r="C21" s="526"/>
      <c r="D21" s="143">
        <v>69323705</v>
      </c>
      <c r="E21" s="143">
        <v>0</v>
      </c>
      <c r="F21" s="232"/>
      <c r="G21" s="232"/>
      <c r="H21" s="233">
        <v>69323705</v>
      </c>
    </row>
    <row r="22" spans="1:8">
      <c r="A22" s="146"/>
      <c r="B22" s="526" t="s">
        <v>17</v>
      </c>
      <c r="C22" s="526"/>
      <c r="D22" s="143">
        <v>17000000</v>
      </c>
      <c r="E22" s="143">
        <v>0</v>
      </c>
      <c r="F22" s="232"/>
      <c r="G22" s="232"/>
      <c r="H22" s="233">
        <v>17000000</v>
      </c>
    </row>
    <row r="23" spans="1:8">
      <c r="A23" s="146"/>
      <c r="B23" s="526" t="s">
        <v>18</v>
      </c>
      <c r="C23" s="526"/>
      <c r="D23" s="143">
        <v>38000000</v>
      </c>
      <c r="E23" s="143">
        <v>0</v>
      </c>
      <c r="F23" s="232"/>
      <c r="G23" s="232"/>
      <c r="H23" s="233">
        <v>38000000</v>
      </c>
    </row>
    <row r="24" spans="1:8">
      <c r="A24" s="146"/>
      <c r="B24" s="526" t="s">
        <v>219</v>
      </c>
      <c r="C24" s="526"/>
      <c r="D24" s="143">
        <v>2702788430.7583995</v>
      </c>
      <c r="E24" s="143">
        <v>3076896600.0209379</v>
      </c>
      <c r="F24" s="143">
        <v>3052204576.3189049</v>
      </c>
      <c r="G24" s="143">
        <v>3764536779.1717372</v>
      </c>
      <c r="H24" s="233">
        <v>12596426386.269979</v>
      </c>
    </row>
    <row r="25" spans="1:8">
      <c r="A25" s="146"/>
      <c r="B25" s="526" t="s">
        <v>220</v>
      </c>
      <c r="C25" s="526"/>
      <c r="D25" s="143">
        <v>3750964.75</v>
      </c>
      <c r="E25" s="232"/>
      <c r="F25" s="232"/>
      <c r="G25" s="232"/>
      <c r="H25" s="233">
        <v>3750964.75</v>
      </c>
    </row>
    <row r="26" spans="1:8">
      <c r="A26" s="146"/>
      <c r="B26" s="529" t="s">
        <v>216</v>
      </c>
      <c r="C26" s="529"/>
      <c r="D26" s="147">
        <v>51283899227.304123</v>
      </c>
      <c r="E26" s="147">
        <v>51857960135.125755</v>
      </c>
      <c r="F26" s="147">
        <v>54786964955.755157</v>
      </c>
      <c r="G26" s="147">
        <v>64840489686.550262</v>
      </c>
      <c r="H26" s="234">
        <v>222769314004.73529</v>
      </c>
    </row>
    <row r="27" spans="1:8">
      <c r="A27" s="146"/>
      <c r="B27" s="223"/>
      <c r="C27" s="223"/>
      <c r="D27" s="147">
        <v>0</v>
      </c>
      <c r="E27" s="147"/>
      <c r="F27" s="147"/>
      <c r="G27" s="147"/>
      <c r="H27" s="234">
        <v>0</v>
      </c>
    </row>
    <row r="28" spans="1:8">
      <c r="A28" s="146" t="s">
        <v>19</v>
      </c>
      <c r="B28" s="529" t="s">
        <v>217</v>
      </c>
      <c r="C28" s="529"/>
      <c r="D28" s="147">
        <v>51793002020.784843</v>
      </c>
      <c r="E28" s="147">
        <v>51857960135.125755</v>
      </c>
      <c r="F28" s="147">
        <v>54786964955.755157</v>
      </c>
      <c r="G28" s="147">
        <v>64840489686.550262</v>
      </c>
      <c r="H28" s="234">
        <v>223278416798.21603</v>
      </c>
    </row>
    <row r="29" spans="1:8">
      <c r="A29" s="146"/>
      <c r="B29" s="222"/>
      <c r="C29" s="223"/>
      <c r="D29" s="143">
        <v>0</v>
      </c>
      <c r="E29" s="232"/>
      <c r="F29" s="232"/>
      <c r="G29" s="232"/>
      <c r="H29" s="233">
        <v>0</v>
      </c>
    </row>
    <row r="30" spans="1:8">
      <c r="A30" s="146"/>
      <c r="B30" s="90" t="s">
        <v>20</v>
      </c>
      <c r="C30" s="90"/>
      <c r="D30" s="143">
        <v>0</v>
      </c>
      <c r="E30" s="143">
        <v>0</v>
      </c>
      <c r="F30" s="232"/>
      <c r="G30" s="232"/>
      <c r="H30" s="233">
        <v>0</v>
      </c>
    </row>
    <row r="31" spans="1:8">
      <c r="A31" s="146"/>
      <c r="B31" s="3" t="s">
        <v>21</v>
      </c>
      <c r="C31" s="150"/>
      <c r="D31" s="143">
        <v>0</v>
      </c>
      <c r="E31" s="143">
        <v>0</v>
      </c>
      <c r="F31" s="232"/>
      <c r="G31" s="232"/>
      <c r="H31" s="233">
        <v>0</v>
      </c>
    </row>
    <row r="32" spans="1:8">
      <c r="A32" s="146"/>
      <c r="B32" s="3"/>
      <c r="C32" s="150"/>
      <c r="D32" s="143">
        <v>0</v>
      </c>
      <c r="E32" s="143">
        <v>0</v>
      </c>
      <c r="F32" s="232"/>
      <c r="G32" s="232"/>
      <c r="H32" s="233">
        <v>0</v>
      </c>
    </row>
    <row r="33" spans="1:8">
      <c r="A33" s="146"/>
      <c r="B33" s="150">
        <v>6400</v>
      </c>
      <c r="C33" s="150" t="s">
        <v>22</v>
      </c>
      <c r="D33" s="143">
        <v>6869135622</v>
      </c>
      <c r="E33" s="143">
        <v>7938000000</v>
      </c>
      <c r="F33" s="143">
        <v>8533350000</v>
      </c>
      <c r="G33" s="172">
        <v>9386685000.0000019</v>
      </c>
      <c r="H33" s="233">
        <v>32727170622</v>
      </c>
    </row>
    <row r="34" spans="1:8">
      <c r="A34" s="146"/>
      <c r="B34" s="150">
        <v>6401</v>
      </c>
      <c r="C34" s="150" t="s">
        <v>23</v>
      </c>
      <c r="D34" s="143">
        <v>60204969</v>
      </c>
      <c r="E34" s="143">
        <v>68188940.560025379</v>
      </c>
      <c r="F34" s="143">
        <v>69654909.885886326</v>
      </c>
      <c r="G34" s="172">
        <v>81569185.856858015</v>
      </c>
      <c r="H34" s="233">
        <v>279618005.30276972</v>
      </c>
    </row>
    <row r="35" spans="1:8">
      <c r="A35" s="146"/>
      <c r="B35" s="150">
        <v>6402</v>
      </c>
      <c r="C35" s="4" t="s">
        <v>24</v>
      </c>
      <c r="D35" s="143">
        <v>103706716.5</v>
      </c>
      <c r="E35" s="143">
        <v>99040760.153210059</v>
      </c>
      <c r="F35" s="143">
        <v>106893971.8108049</v>
      </c>
      <c r="G35" s="172">
        <v>120703906.10629803</v>
      </c>
      <c r="H35" s="233">
        <v>430345354.57031298</v>
      </c>
    </row>
    <row r="36" spans="1:8">
      <c r="A36" s="146"/>
      <c r="B36" s="150">
        <v>6403</v>
      </c>
      <c r="C36" s="4" t="s">
        <v>25</v>
      </c>
      <c r="D36" s="143">
        <v>568267130</v>
      </c>
      <c r="E36" s="143">
        <v>661500000</v>
      </c>
      <c r="F36" s="143">
        <v>711112500</v>
      </c>
      <c r="G36" s="172">
        <v>782223750.00000012</v>
      </c>
      <c r="H36" s="233">
        <v>2723103380</v>
      </c>
    </row>
    <row r="37" spans="1:8">
      <c r="A37" s="146"/>
      <c r="B37" s="150">
        <v>6404</v>
      </c>
      <c r="C37" s="150" t="s">
        <v>26</v>
      </c>
      <c r="D37" s="143">
        <v>0</v>
      </c>
      <c r="E37" s="143">
        <v>0</v>
      </c>
      <c r="F37" s="143">
        <v>0</v>
      </c>
      <c r="G37" s="172">
        <v>0</v>
      </c>
      <c r="H37" s="233">
        <v>0</v>
      </c>
    </row>
    <row r="38" spans="1:8">
      <c r="A38" s="146"/>
      <c r="B38" s="150">
        <v>6405</v>
      </c>
      <c r="C38" s="150" t="s">
        <v>27</v>
      </c>
      <c r="D38" s="143">
        <v>3102788</v>
      </c>
      <c r="E38" s="143">
        <v>4339296.2174561601</v>
      </c>
      <c r="F38" s="143">
        <v>4432585.1745564006</v>
      </c>
      <c r="G38" s="172">
        <v>5190766.3727091448</v>
      </c>
      <c r="H38" s="233">
        <v>17065435.764721707</v>
      </c>
    </row>
    <row r="39" spans="1:8">
      <c r="A39" s="146"/>
      <c r="B39" s="150">
        <v>6406</v>
      </c>
      <c r="C39" s="4" t="s">
        <v>28</v>
      </c>
      <c r="D39" s="143">
        <v>0</v>
      </c>
      <c r="E39" s="143">
        <v>0</v>
      </c>
      <c r="F39" s="143">
        <v>0</v>
      </c>
      <c r="G39" s="172">
        <v>0</v>
      </c>
      <c r="H39" s="233">
        <v>0</v>
      </c>
    </row>
    <row r="40" spans="1:8">
      <c r="A40" s="146"/>
      <c r="B40" s="150">
        <v>6407</v>
      </c>
      <c r="C40" s="150" t="s">
        <v>29</v>
      </c>
      <c r="D40" s="143">
        <v>5000000</v>
      </c>
      <c r="E40" s="143">
        <v>12397989.192731885</v>
      </c>
      <c r="F40" s="143">
        <v>12664529.070161149</v>
      </c>
      <c r="G40" s="172">
        <v>14830761.064883273</v>
      </c>
      <c r="H40" s="233">
        <v>44893279.327776313</v>
      </c>
    </row>
    <row r="41" spans="1:8">
      <c r="A41" s="146"/>
      <c r="B41" s="150">
        <v>6408</v>
      </c>
      <c r="C41" s="150" t="s">
        <v>30</v>
      </c>
      <c r="D41" s="143">
        <v>152491013</v>
      </c>
      <c r="E41" s="143">
        <v>210765816.27644205</v>
      </c>
      <c r="F41" s="143">
        <v>215296994.19273949</v>
      </c>
      <c r="G41" s="172">
        <v>252122938.10301563</v>
      </c>
      <c r="H41" s="233">
        <v>830676761.5721972</v>
      </c>
    </row>
    <row r="42" spans="1:8">
      <c r="A42" s="146"/>
      <c r="B42" s="150">
        <v>6409</v>
      </c>
      <c r="C42" s="150" t="s">
        <v>31</v>
      </c>
      <c r="D42" s="143">
        <v>2500000</v>
      </c>
      <c r="E42" s="143">
        <v>6198994.5963659426</v>
      </c>
      <c r="F42" s="143">
        <v>6332264.5350805745</v>
      </c>
      <c r="G42" s="172">
        <v>7415380.5324416365</v>
      </c>
      <c r="H42" s="233">
        <v>22446639.663888156</v>
      </c>
    </row>
    <row r="43" spans="1:8">
      <c r="A43" s="146"/>
      <c r="B43" s="150">
        <v>6410</v>
      </c>
      <c r="C43" s="150" t="s">
        <v>32</v>
      </c>
      <c r="D43" s="143">
        <v>575266800</v>
      </c>
      <c r="E43" s="143">
        <v>619899459.6365943</v>
      </c>
      <c r="F43" s="143">
        <v>633226453.50805736</v>
      </c>
      <c r="G43" s="172">
        <v>741538053.24416363</v>
      </c>
      <c r="H43" s="233">
        <v>2569930766.3888154</v>
      </c>
    </row>
    <row r="44" spans="1:8">
      <c r="A44" s="146"/>
      <c r="B44" s="150">
        <v>6411</v>
      </c>
      <c r="C44" s="150" t="s">
        <v>33</v>
      </c>
      <c r="D44" s="143">
        <v>45130000</v>
      </c>
      <c r="E44" s="143">
        <v>18596983.789097831</v>
      </c>
      <c r="F44" s="143">
        <v>18996793.605241723</v>
      </c>
      <c r="G44" s="172">
        <v>22246141.597324912</v>
      </c>
      <c r="H44" s="233">
        <v>104969918.99166447</v>
      </c>
    </row>
    <row r="45" spans="1:8">
      <c r="A45" s="146"/>
      <c r="B45" s="150">
        <v>6412</v>
      </c>
      <c r="C45" s="150" t="s">
        <v>34</v>
      </c>
      <c r="D45" s="143">
        <v>655492206</v>
      </c>
      <c r="E45" s="143">
        <v>743879351.56391323</v>
      </c>
      <c r="F45" s="143">
        <v>759871744.20966876</v>
      </c>
      <c r="G45" s="172">
        <v>889845663.89299619</v>
      </c>
      <c r="H45" s="233">
        <v>3049088965.6665783</v>
      </c>
    </row>
    <row r="46" spans="1:8">
      <c r="A46" s="146"/>
      <c r="B46" s="150">
        <v>6413</v>
      </c>
      <c r="C46" s="150" t="s">
        <v>35</v>
      </c>
      <c r="D46" s="143">
        <v>132353606</v>
      </c>
      <c r="E46" s="143">
        <v>105382908.13822103</v>
      </c>
      <c r="F46" s="143">
        <v>107648497.09636974</v>
      </c>
      <c r="G46" s="172">
        <v>126061469.05150782</v>
      </c>
      <c r="H46" s="233">
        <v>471446480.2860986</v>
      </c>
    </row>
    <row r="47" spans="1:8">
      <c r="A47" s="146"/>
      <c r="B47" s="150">
        <v>6414</v>
      </c>
      <c r="C47" s="150" t="s">
        <v>36</v>
      </c>
      <c r="D47" s="143">
        <v>0</v>
      </c>
      <c r="E47" s="143">
        <v>0</v>
      </c>
      <c r="F47" s="143">
        <v>0</v>
      </c>
      <c r="G47" s="172">
        <v>0</v>
      </c>
      <c r="H47" s="233">
        <v>0</v>
      </c>
    </row>
    <row r="48" spans="1:8">
      <c r="A48" s="146"/>
      <c r="B48" s="150">
        <v>6415</v>
      </c>
      <c r="C48" s="150" t="s">
        <v>37</v>
      </c>
      <c r="D48" s="143">
        <v>0</v>
      </c>
      <c r="E48" s="143">
        <v>0</v>
      </c>
      <c r="F48" s="143">
        <v>0</v>
      </c>
      <c r="G48" s="172">
        <v>0</v>
      </c>
      <c r="H48" s="233">
        <v>0</v>
      </c>
    </row>
    <row r="49" spans="1:8">
      <c r="A49" s="146"/>
      <c r="B49" s="150">
        <v>6416</v>
      </c>
      <c r="C49" s="150" t="s">
        <v>38</v>
      </c>
      <c r="D49" s="143">
        <v>116274927</v>
      </c>
      <c r="E49" s="143">
        <v>161173859.50551453</v>
      </c>
      <c r="F49" s="143">
        <v>164638877.91209492</v>
      </c>
      <c r="G49" s="172">
        <v>192799893.84348258</v>
      </c>
      <c r="H49" s="233">
        <v>634887558.26109207</v>
      </c>
    </row>
    <row r="50" spans="1:8">
      <c r="A50" s="146"/>
      <c r="B50" s="150">
        <v>6417</v>
      </c>
      <c r="C50" s="150" t="s">
        <v>39</v>
      </c>
      <c r="D50" s="143">
        <v>39510407</v>
      </c>
      <c r="E50" s="143">
        <v>49591956.770927541</v>
      </c>
      <c r="F50" s="143">
        <v>50658116.280644596</v>
      </c>
      <c r="G50" s="172">
        <v>59323044.259533092</v>
      </c>
      <c r="H50" s="233">
        <v>199083524.31110525</v>
      </c>
    </row>
    <row r="51" spans="1:8">
      <c r="A51" s="146"/>
      <c r="B51" s="150">
        <v>6418</v>
      </c>
      <c r="C51" s="4" t="s">
        <v>40</v>
      </c>
      <c r="D51" s="143">
        <v>81638309</v>
      </c>
      <c r="E51" s="143">
        <v>81826728.672030464</v>
      </c>
      <c r="F51" s="143">
        <v>83585891.863063574</v>
      </c>
      <c r="G51" s="172">
        <v>97883023.028229639</v>
      </c>
      <c r="H51" s="233">
        <v>344933952.56332368</v>
      </c>
    </row>
    <row r="52" spans="1:8">
      <c r="A52" s="146"/>
      <c r="B52" s="150">
        <v>6419</v>
      </c>
      <c r="C52" s="4" t="s">
        <v>41</v>
      </c>
      <c r="D52" s="143">
        <v>65500000</v>
      </c>
      <c r="E52" s="143">
        <v>74387935.156391323</v>
      </c>
      <c r="F52" s="143">
        <v>75987174.420966893</v>
      </c>
      <c r="G52" s="172">
        <v>88984566.389299646</v>
      </c>
      <c r="H52" s="233">
        <v>304859675.96665788</v>
      </c>
    </row>
    <row r="53" spans="1:8">
      <c r="A53" s="146"/>
      <c r="B53" s="150">
        <v>6420</v>
      </c>
      <c r="C53" s="150" t="s">
        <v>42</v>
      </c>
      <c r="D53" s="143">
        <v>98626255</v>
      </c>
      <c r="E53" s="143">
        <v>30994972.981829714</v>
      </c>
      <c r="F53" s="143">
        <v>31661322.675402857</v>
      </c>
      <c r="G53" s="172">
        <v>37076902.662208177</v>
      </c>
      <c r="H53" s="233">
        <v>198359453.31944075</v>
      </c>
    </row>
    <row r="54" spans="1:8">
      <c r="A54" s="146"/>
      <c r="B54" s="150">
        <v>6421</v>
      </c>
      <c r="C54" s="4" t="s">
        <v>43</v>
      </c>
      <c r="D54" s="143">
        <v>43366987</v>
      </c>
      <c r="E54" s="143">
        <v>23615217.509965494</v>
      </c>
      <c r="F54" s="143">
        <v>24122912.514592674</v>
      </c>
      <c r="G54" s="172">
        <v>28249068.695015773</v>
      </c>
      <c r="H54" s="233">
        <v>119354185.71957394</v>
      </c>
    </row>
    <row r="55" spans="1:8">
      <c r="A55" s="146"/>
      <c r="B55" s="150">
        <v>6422</v>
      </c>
      <c r="C55" s="150" t="s">
        <v>44</v>
      </c>
      <c r="D55" s="143">
        <v>158759273</v>
      </c>
      <c r="E55" s="143">
        <v>185969837.89097831</v>
      </c>
      <c r="F55" s="143">
        <v>189967936.05241719</v>
      </c>
      <c r="G55" s="172">
        <v>222461415.97324905</v>
      </c>
      <c r="H55" s="233">
        <v>757158462.91664457</v>
      </c>
    </row>
    <row r="56" spans="1:8">
      <c r="A56" s="146"/>
      <c r="B56" s="150">
        <v>6423</v>
      </c>
      <c r="C56" s="150" t="s">
        <v>45</v>
      </c>
      <c r="D56" s="143">
        <v>132450400</v>
      </c>
      <c r="E56" s="143">
        <v>161173859.50551453</v>
      </c>
      <c r="F56" s="143">
        <v>164638877.91209492</v>
      </c>
      <c r="G56" s="172">
        <v>192799893.84348258</v>
      </c>
      <c r="H56" s="233">
        <v>651063031.26109207</v>
      </c>
    </row>
    <row r="57" spans="1:8">
      <c r="A57" s="146"/>
      <c r="B57" s="150">
        <v>6424</v>
      </c>
      <c r="C57" s="150" t="s">
        <v>46</v>
      </c>
      <c r="D57" s="143">
        <v>207061602</v>
      </c>
      <c r="E57" s="235">
        <v>240000000</v>
      </c>
      <c r="F57" s="235">
        <v>240000000</v>
      </c>
      <c r="G57" s="235">
        <v>240000000</v>
      </c>
      <c r="H57" s="233">
        <v>927061602</v>
      </c>
    </row>
    <row r="58" spans="1:8">
      <c r="A58" s="146"/>
      <c r="B58" s="3" t="s">
        <v>47</v>
      </c>
      <c r="C58" s="150"/>
      <c r="D58" s="143">
        <v>0</v>
      </c>
      <c r="E58" s="143">
        <v>0</v>
      </c>
      <c r="F58" s="232"/>
      <c r="G58" s="232"/>
      <c r="H58" s="233">
        <v>0</v>
      </c>
    </row>
    <row r="59" spans="1:8">
      <c r="A59" s="146"/>
      <c r="B59" s="150">
        <v>6300</v>
      </c>
      <c r="C59" s="4" t="s">
        <v>48</v>
      </c>
      <c r="D59" s="143">
        <v>63037489</v>
      </c>
      <c r="E59" s="143">
        <v>68877717.737399384</v>
      </c>
      <c r="F59" s="235">
        <v>70358494.83422862</v>
      </c>
      <c r="G59" s="235">
        <v>82393117.027129337</v>
      </c>
      <c r="H59" s="233">
        <v>284666818.59875733</v>
      </c>
    </row>
    <row r="60" spans="1:8">
      <c r="A60" s="146"/>
      <c r="B60" s="150">
        <v>6301</v>
      </c>
      <c r="C60" s="4" t="s">
        <v>49</v>
      </c>
      <c r="D60" s="143">
        <v>247500</v>
      </c>
      <c r="E60" s="143">
        <v>10732540.006611198</v>
      </c>
      <c r="F60" s="235">
        <v>11419670.760553241</v>
      </c>
      <c r="G60" s="235">
        <v>13372973.250812232</v>
      </c>
      <c r="H60" s="233">
        <v>35772684.017976671</v>
      </c>
    </row>
    <row r="61" spans="1:8">
      <c r="A61" s="146"/>
      <c r="B61" s="150">
        <v>6302</v>
      </c>
      <c r="C61" s="4" t="s">
        <v>50</v>
      </c>
      <c r="D61" s="143">
        <v>512560249</v>
      </c>
      <c r="E61" s="143">
        <v>495919567.70927542</v>
      </c>
      <c r="F61" s="143">
        <v>506581162.80644572</v>
      </c>
      <c r="G61" s="235">
        <v>593230442.59533083</v>
      </c>
      <c r="H61" s="233">
        <v>2108291422.111052</v>
      </c>
    </row>
    <row r="62" spans="1:8">
      <c r="A62" s="146"/>
      <c r="B62" s="150">
        <v>6303</v>
      </c>
      <c r="C62" s="4" t="s">
        <v>51</v>
      </c>
      <c r="D62" s="143">
        <v>99943700</v>
      </c>
      <c r="E62" s="143">
        <v>61989945.963659428</v>
      </c>
      <c r="F62" s="143">
        <v>63322645.350805715</v>
      </c>
      <c r="G62" s="235">
        <v>74153805.324416354</v>
      </c>
      <c r="H62" s="233">
        <v>299410096.6388815</v>
      </c>
    </row>
    <row r="63" spans="1:8">
      <c r="A63" s="146"/>
      <c r="B63" s="150">
        <v>6304</v>
      </c>
      <c r="C63" s="4" t="s">
        <v>52</v>
      </c>
      <c r="D63" s="143">
        <v>77352000</v>
      </c>
      <c r="E63" s="143">
        <v>123979891.92731886</v>
      </c>
      <c r="F63" s="143">
        <v>126645290.70161143</v>
      </c>
      <c r="G63" s="235">
        <v>148307610.64883271</v>
      </c>
      <c r="H63" s="233">
        <v>476284793.27776301</v>
      </c>
    </row>
    <row r="64" spans="1:8">
      <c r="A64" s="146"/>
      <c r="B64" s="150">
        <v>6306</v>
      </c>
      <c r="C64" s="4" t="s">
        <v>53</v>
      </c>
      <c r="D64" s="143">
        <v>21350000</v>
      </c>
      <c r="E64" s="143">
        <v>52939413.852965154</v>
      </c>
      <c r="F64" s="143">
        <v>54077539.129588097</v>
      </c>
      <c r="G64" s="235">
        <v>63327349.747051582</v>
      </c>
      <c r="H64" s="233">
        <v>191694302.72960484</v>
      </c>
    </row>
    <row r="65" spans="1:8">
      <c r="A65" s="146"/>
      <c r="B65" s="150">
        <v>6307</v>
      </c>
      <c r="C65" s="4" t="s">
        <v>54</v>
      </c>
      <c r="D65" s="143">
        <v>720879776</v>
      </c>
      <c r="E65" s="143">
        <v>830665275.91303611</v>
      </c>
      <c r="F65" s="143">
        <v>848523447.70079684</v>
      </c>
      <c r="G65" s="235">
        <v>993660991.34717941</v>
      </c>
      <c r="H65" s="233">
        <v>3393729490.9610124</v>
      </c>
    </row>
    <row r="66" spans="1:8">
      <c r="A66" s="146"/>
      <c r="B66" s="150"/>
      <c r="C66" s="4"/>
      <c r="D66" s="143">
        <v>0</v>
      </c>
      <c r="E66" s="232"/>
      <c r="F66" s="232"/>
      <c r="G66" s="232"/>
      <c r="H66" s="233">
        <v>0</v>
      </c>
    </row>
    <row r="67" spans="1:8">
      <c r="A67" s="146"/>
      <c r="B67" s="3" t="s">
        <v>55</v>
      </c>
      <c r="C67" s="150"/>
      <c r="D67" s="143">
        <v>0</v>
      </c>
      <c r="E67" s="143">
        <v>0</v>
      </c>
      <c r="F67" s="232"/>
      <c r="G67" s="232"/>
      <c r="H67" s="233">
        <v>0</v>
      </c>
    </row>
    <row r="68" spans="1:8">
      <c r="A68" s="146"/>
      <c r="B68" s="150">
        <v>6500</v>
      </c>
      <c r="C68" s="150" t="s">
        <v>56</v>
      </c>
      <c r="D68" s="143">
        <v>15004245.039999999</v>
      </c>
      <c r="E68" s="143">
        <v>18596983.789097831</v>
      </c>
      <c r="F68" s="143">
        <v>18996793.605241723</v>
      </c>
      <c r="G68" s="235">
        <v>22246141.597324912</v>
      </c>
      <c r="H68" s="233">
        <v>74844164.031664461</v>
      </c>
    </row>
    <row r="69" spans="1:8">
      <c r="A69" s="146"/>
      <c r="B69" s="150">
        <v>6501</v>
      </c>
      <c r="C69" s="150" t="s">
        <v>57</v>
      </c>
      <c r="D69" s="143">
        <v>0</v>
      </c>
      <c r="E69" s="143">
        <v>0</v>
      </c>
      <c r="F69" s="232"/>
      <c r="G69" s="235">
        <v>0</v>
      </c>
      <c r="H69" s="233">
        <v>0</v>
      </c>
    </row>
    <row r="70" spans="1:8">
      <c r="A70" s="146"/>
      <c r="B70" s="150"/>
      <c r="C70" s="150"/>
      <c r="D70" s="143">
        <v>0</v>
      </c>
      <c r="E70" s="143">
        <v>0</v>
      </c>
      <c r="F70" s="232"/>
      <c r="G70" s="235">
        <v>0</v>
      </c>
      <c r="H70" s="233">
        <v>0</v>
      </c>
    </row>
    <row r="71" spans="1:8">
      <c r="A71" s="146"/>
      <c r="B71" s="3" t="s">
        <v>58</v>
      </c>
      <c r="C71" s="150"/>
      <c r="D71" s="143">
        <v>0</v>
      </c>
      <c r="E71" s="143">
        <v>0</v>
      </c>
      <c r="F71" s="232"/>
      <c r="G71" s="235">
        <v>0</v>
      </c>
      <c r="H71" s="233">
        <v>0</v>
      </c>
    </row>
    <row r="72" spans="1:8">
      <c r="A72" s="146"/>
      <c r="B72" s="150">
        <v>6600</v>
      </c>
      <c r="C72" s="150" t="s">
        <v>59</v>
      </c>
      <c r="D72" s="143">
        <v>89074191</v>
      </c>
      <c r="E72" s="143">
        <v>49591956.770927541</v>
      </c>
      <c r="F72" s="143">
        <v>50658116.280644596</v>
      </c>
      <c r="G72" s="235">
        <v>59323044.259533092</v>
      </c>
      <c r="H72" s="233">
        <v>248647308.31110525</v>
      </c>
    </row>
    <row r="73" spans="1:8">
      <c r="A73" s="146"/>
      <c r="B73" s="150">
        <v>6600</v>
      </c>
      <c r="C73" s="150" t="s">
        <v>60</v>
      </c>
      <c r="D73" s="143">
        <v>15184112</v>
      </c>
      <c r="E73" s="143">
        <v>17000000</v>
      </c>
      <c r="F73" s="143">
        <v>18000000</v>
      </c>
      <c r="G73" s="235">
        <v>19000000</v>
      </c>
      <c r="H73" s="233">
        <v>69184112</v>
      </c>
    </row>
    <row r="74" spans="1:8">
      <c r="A74" s="146"/>
      <c r="B74" s="150"/>
      <c r="C74" s="150"/>
      <c r="D74" s="143">
        <v>0</v>
      </c>
      <c r="E74" s="232"/>
      <c r="F74" s="143">
        <v>0</v>
      </c>
      <c r="G74" s="235">
        <v>0</v>
      </c>
      <c r="H74" s="233">
        <v>0</v>
      </c>
    </row>
    <row r="75" spans="1:8">
      <c r="A75" s="146"/>
      <c r="B75" s="3" t="s">
        <v>61</v>
      </c>
      <c r="C75" s="150"/>
      <c r="D75" s="143">
        <v>0</v>
      </c>
      <c r="E75" s="143">
        <v>0</v>
      </c>
      <c r="F75" s="143">
        <v>0</v>
      </c>
      <c r="G75" s="235">
        <v>0</v>
      </c>
      <c r="H75" s="233">
        <v>0</v>
      </c>
    </row>
    <row r="76" spans="1:8">
      <c r="A76" s="146"/>
      <c r="B76" s="150">
        <v>6200</v>
      </c>
      <c r="C76" s="150" t="s">
        <v>62</v>
      </c>
      <c r="D76" s="143">
        <v>194174100</v>
      </c>
      <c r="E76" s="143">
        <v>111581902.73458698</v>
      </c>
      <c r="F76" s="143">
        <v>113980761.63145034</v>
      </c>
      <c r="G76" s="235">
        <v>133476849.58394952</v>
      </c>
      <c r="H76" s="233">
        <v>553213613.94998682</v>
      </c>
    </row>
    <row r="77" spans="1:8">
      <c r="A77" s="146"/>
      <c r="B77" s="150">
        <v>6201</v>
      </c>
      <c r="C77" s="150" t="s">
        <v>63</v>
      </c>
      <c r="D77" s="143">
        <v>46548500</v>
      </c>
      <c r="E77" s="143">
        <v>49591956.770927541</v>
      </c>
      <c r="F77" s="143">
        <v>50658116.280644596</v>
      </c>
      <c r="G77" s="235">
        <v>59323044.259533092</v>
      </c>
      <c r="H77" s="233">
        <v>206121617.31110525</v>
      </c>
    </row>
    <row r="78" spans="1:8">
      <c r="A78" s="146"/>
      <c r="B78" s="150">
        <v>6210</v>
      </c>
      <c r="C78" s="150" t="s">
        <v>64</v>
      </c>
      <c r="D78" s="143">
        <v>7500000</v>
      </c>
      <c r="E78" s="143">
        <v>18596983.789097831</v>
      </c>
      <c r="F78" s="143">
        <v>18996793.605241723</v>
      </c>
      <c r="G78" s="235">
        <v>22246141.597324912</v>
      </c>
      <c r="H78" s="233">
        <v>67339918.991664469</v>
      </c>
    </row>
    <row r="79" spans="1:8">
      <c r="A79" s="146"/>
      <c r="B79" s="150">
        <v>6211</v>
      </c>
      <c r="C79" s="150" t="s">
        <v>65</v>
      </c>
      <c r="D79" s="143">
        <v>2500000</v>
      </c>
      <c r="E79" s="143">
        <v>6198994.5963659426</v>
      </c>
      <c r="F79" s="143">
        <v>6332264.5350805745</v>
      </c>
      <c r="G79" s="235">
        <v>7415380.5324416365</v>
      </c>
      <c r="H79" s="233">
        <v>22446639.663888156</v>
      </c>
    </row>
    <row r="80" spans="1:8">
      <c r="A80" s="146"/>
      <c r="B80" s="150">
        <v>6220</v>
      </c>
      <c r="C80" s="150" t="s">
        <v>66</v>
      </c>
      <c r="D80" s="143">
        <v>5000000</v>
      </c>
      <c r="E80" s="143">
        <v>12397989.192731885</v>
      </c>
      <c r="F80" s="143">
        <v>12664529.070161149</v>
      </c>
      <c r="G80" s="235">
        <v>14830761.064883273</v>
      </c>
      <c r="H80" s="233">
        <v>44893279.327776313</v>
      </c>
    </row>
    <row r="81" spans="1:8">
      <c r="A81" s="146"/>
      <c r="B81" s="150">
        <v>6221</v>
      </c>
      <c r="C81" s="150" t="s">
        <v>67</v>
      </c>
      <c r="D81" s="143">
        <v>2500000</v>
      </c>
      <c r="E81" s="143">
        <v>6198994.5963659426</v>
      </c>
      <c r="F81" s="143">
        <v>6332264.5350805745</v>
      </c>
      <c r="G81" s="235">
        <v>7415380.5324416365</v>
      </c>
      <c r="H81" s="233">
        <v>22446639.663888156</v>
      </c>
    </row>
    <row r="82" spans="1:8">
      <c r="A82" s="146"/>
      <c r="B82" s="150">
        <v>6230</v>
      </c>
      <c r="C82" s="150" t="s">
        <v>68</v>
      </c>
      <c r="D82" s="143">
        <v>17462500</v>
      </c>
      <c r="E82" s="143">
        <v>39989714.141156696</v>
      </c>
      <c r="F82" s="143">
        <v>40849438.51580479</v>
      </c>
      <c r="G82" s="235">
        <v>47836619.814781003</v>
      </c>
      <c r="H82" s="233">
        <v>146138272.47174248</v>
      </c>
    </row>
    <row r="83" spans="1:8">
      <c r="A83" s="146"/>
      <c r="B83" s="150">
        <v>6231</v>
      </c>
      <c r="C83" s="150" t="s">
        <v>69</v>
      </c>
      <c r="D83" s="143">
        <v>35392793</v>
      </c>
      <c r="E83" s="143">
        <v>99183913.541855082</v>
      </c>
      <c r="F83" s="143">
        <v>101316232.56128919</v>
      </c>
      <c r="G83" s="235">
        <v>118646088.51906618</v>
      </c>
      <c r="H83" s="233">
        <v>354539027.6222105</v>
      </c>
    </row>
    <row r="84" spans="1:8">
      <c r="A84" s="146"/>
      <c r="B84" s="150">
        <v>6240</v>
      </c>
      <c r="C84" s="4" t="s">
        <v>70</v>
      </c>
      <c r="D84" s="143">
        <v>115523550</v>
      </c>
      <c r="E84" s="143">
        <v>55790951.367293492</v>
      </c>
      <c r="F84" s="143">
        <v>56990380.81572517</v>
      </c>
      <c r="G84" s="235">
        <v>66738424.791974761</v>
      </c>
      <c r="H84" s="233">
        <v>295043306.97499341</v>
      </c>
    </row>
    <row r="85" spans="1:8">
      <c r="A85" s="146"/>
      <c r="B85" s="150">
        <v>6241</v>
      </c>
      <c r="C85" s="150" t="s">
        <v>71</v>
      </c>
      <c r="D85" s="143">
        <v>41934000</v>
      </c>
      <c r="E85" s="143">
        <v>24795978.38546377</v>
      </c>
      <c r="F85" s="143">
        <v>25329058.140322298</v>
      </c>
      <c r="G85" s="235">
        <v>29661522.129766546</v>
      </c>
      <c r="H85" s="233">
        <v>121720558.65555263</v>
      </c>
    </row>
    <row r="86" spans="1:8">
      <c r="A86" s="146"/>
      <c r="B86" s="150">
        <v>6250</v>
      </c>
      <c r="C86" s="150" t="s">
        <v>72</v>
      </c>
      <c r="D86" s="143">
        <v>420000000</v>
      </c>
      <c r="E86" s="143">
        <v>483521578.51654351</v>
      </c>
      <c r="F86" s="143">
        <v>493916633.73628473</v>
      </c>
      <c r="G86" s="235">
        <v>578399681.53044772</v>
      </c>
      <c r="H86" s="233">
        <v>1975837893.7832758</v>
      </c>
    </row>
    <row r="87" spans="1:8">
      <c r="A87" s="146"/>
      <c r="B87" s="150"/>
      <c r="C87" s="150"/>
      <c r="D87" s="143">
        <v>0</v>
      </c>
      <c r="E87" s="232"/>
      <c r="F87" s="143">
        <v>0</v>
      </c>
      <c r="G87" s="235">
        <v>0</v>
      </c>
      <c r="H87" s="233">
        <v>0</v>
      </c>
    </row>
    <row r="88" spans="1:8">
      <c r="A88" s="146"/>
      <c r="B88" s="3" t="s">
        <v>73</v>
      </c>
      <c r="C88" s="150"/>
      <c r="D88" s="143">
        <v>0</v>
      </c>
      <c r="E88" s="143">
        <v>0</v>
      </c>
      <c r="F88" s="143">
        <v>0</v>
      </c>
      <c r="G88" s="235">
        <v>0</v>
      </c>
      <c r="H88" s="233">
        <v>0</v>
      </c>
    </row>
    <row r="89" spans="1:8">
      <c r="A89" s="146"/>
      <c r="B89" s="150">
        <v>6000</v>
      </c>
      <c r="C89" s="150" t="s">
        <v>74</v>
      </c>
      <c r="D89" s="143">
        <v>0</v>
      </c>
      <c r="E89" s="143">
        <v>0</v>
      </c>
      <c r="F89" s="143">
        <v>0</v>
      </c>
      <c r="G89" s="235">
        <v>0</v>
      </c>
      <c r="H89" s="233">
        <v>0</v>
      </c>
    </row>
    <row r="90" spans="1:8">
      <c r="A90" s="146"/>
      <c r="B90" s="150">
        <v>6001</v>
      </c>
      <c r="C90" s="150" t="s">
        <v>75</v>
      </c>
      <c r="D90" s="143">
        <v>13415105811</v>
      </c>
      <c r="E90" s="143">
        <v>13637788112.005075</v>
      </c>
      <c r="F90" s="143">
        <v>13930981977.177263</v>
      </c>
      <c r="G90" s="235">
        <v>16313837171.371605</v>
      </c>
      <c r="H90" s="233">
        <v>57297713071.55394</v>
      </c>
    </row>
    <row r="91" spans="1:8">
      <c r="A91" s="146"/>
      <c r="B91" s="150">
        <v>6002</v>
      </c>
      <c r="C91" s="150" t="s">
        <v>76</v>
      </c>
      <c r="D91" s="143">
        <v>977745648</v>
      </c>
      <c r="E91" s="143">
        <v>1115819027.3458698</v>
      </c>
      <c r="F91" s="143">
        <v>1139807616.3145037</v>
      </c>
      <c r="G91" s="235">
        <v>1334768495.8394952</v>
      </c>
      <c r="H91" s="233">
        <v>4568140787.4998684</v>
      </c>
    </row>
    <row r="92" spans="1:8">
      <c r="A92" s="146"/>
      <c r="B92" s="150">
        <v>6020</v>
      </c>
      <c r="C92" s="150" t="s">
        <v>77</v>
      </c>
      <c r="D92" s="143">
        <v>13942401037</v>
      </c>
      <c r="E92" s="143">
        <v>16117385950.551451</v>
      </c>
      <c r="F92" s="143">
        <v>16463887791.209494</v>
      </c>
      <c r="G92" s="235">
        <v>19279989384.348259</v>
      </c>
      <c r="H92" s="233">
        <v>65803664163.109207</v>
      </c>
    </row>
    <row r="93" spans="1:8">
      <c r="A93" s="146"/>
      <c r="B93" s="150">
        <v>6021</v>
      </c>
      <c r="C93" s="150" t="s">
        <v>78</v>
      </c>
      <c r="D93" s="143">
        <v>1136345228</v>
      </c>
      <c r="E93" s="143">
        <v>1115819027.3458698</v>
      </c>
      <c r="F93" s="143">
        <v>1139807616.3145037</v>
      </c>
      <c r="G93" s="235">
        <v>1334768495.8394952</v>
      </c>
      <c r="H93" s="233">
        <v>4726740367.4998684</v>
      </c>
    </row>
    <row r="94" spans="1:8">
      <c r="A94" s="146"/>
      <c r="B94" s="150">
        <v>6030</v>
      </c>
      <c r="C94" s="150" t="s">
        <v>79</v>
      </c>
      <c r="D94" s="143">
        <v>40825670</v>
      </c>
      <c r="E94" s="143">
        <v>49591956.770927541</v>
      </c>
      <c r="F94" s="143">
        <v>50658116.280644596</v>
      </c>
      <c r="G94" s="235">
        <v>59323044.259533092</v>
      </c>
      <c r="H94" s="233">
        <v>200398787.31110525</v>
      </c>
    </row>
    <row r="95" spans="1:8">
      <c r="A95" s="146"/>
      <c r="B95" s="150">
        <v>6040</v>
      </c>
      <c r="C95" s="150" t="s">
        <v>80</v>
      </c>
      <c r="D95" s="143">
        <v>0</v>
      </c>
      <c r="E95" s="232"/>
      <c r="F95" s="143">
        <v>0</v>
      </c>
      <c r="G95" s="235">
        <v>0</v>
      </c>
      <c r="H95" s="233">
        <v>0</v>
      </c>
    </row>
    <row r="96" spans="1:8">
      <c r="A96" s="146"/>
      <c r="B96" s="150">
        <v>6041</v>
      </c>
      <c r="C96" s="150" t="s">
        <v>81</v>
      </c>
      <c r="D96" s="143">
        <v>0</v>
      </c>
      <c r="E96" s="143">
        <v>0</v>
      </c>
      <c r="F96" s="143">
        <v>0</v>
      </c>
      <c r="G96" s="235">
        <v>0</v>
      </c>
      <c r="H96" s="233">
        <v>0</v>
      </c>
    </row>
    <row r="97" spans="1:8">
      <c r="A97" s="146"/>
      <c r="B97" s="150">
        <v>6050</v>
      </c>
      <c r="C97" s="150" t="s">
        <v>82</v>
      </c>
      <c r="D97" s="143">
        <v>1353198800</v>
      </c>
      <c r="E97" s="143">
        <v>1425768757.1641669</v>
      </c>
      <c r="F97" s="143">
        <v>1456420843.068532</v>
      </c>
      <c r="G97" s="235">
        <v>1705537522.4615767</v>
      </c>
      <c r="H97" s="233">
        <v>5940925922.6942759</v>
      </c>
    </row>
    <row r="98" spans="1:8">
      <c r="A98" s="146"/>
      <c r="B98" s="150">
        <v>6051</v>
      </c>
      <c r="C98" s="150" t="s">
        <v>83</v>
      </c>
      <c r="D98" s="143">
        <v>7689000</v>
      </c>
      <c r="E98" s="143">
        <v>7438793.515639131</v>
      </c>
      <c r="F98" s="143">
        <v>7598717.4420966879</v>
      </c>
      <c r="G98" s="235">
        <v>8898456.6389299631</v>
      </c>
      <c r="H98" s="233">
        <v>31624967.596665781</v>
      </c>
    </row>
    <row r="99" spans="1:8">
      <c r="A99" s="146"/>
      <c r="B99" s="150">
        <v>6052</v>
      </c>
      <c r="C99" s="150" t="s">
        <v>84</v>
      </c>
      <c r="D99" s="143">
        <v>2970000</v>
      </c>
      <c r="E99" s="143">
        <v>6198994.5963659426</v>
      </c>
      <c r="F99" s="143">
        <v>6332264.5350805745</v>
      </c>
      <c r="G99" s="235">
        <v>7415380.5324416365</v>
      </c>
      <c r="H99" s="233">
        <v>22916639.663888156</v>
      </c>
    </row>
    <row r="100" spans="1:8">
      <c r="A100" s="146"/>
      <c r="B100" s="150">
        <v>6090</v>
      </c>
      <c r="C100" s="150" t="s">
        <v>85</v>
      </c>
      <c r="D100" s="143">
        <v>5000000</v>
      </c>
      <c r="E100" s="143">
        <v>12397989.192731885</v>
      </c>
      <c r="F100" s="143">
        <v>12664529.070161149</v>
      </c>
      <c r="G100" s="235">
        <v>14830761.064883273</v>
      </c>
      <c r="H100" s="233">
        <v>44893279.327776313</v>
      </c>
    </row>
    <row r="101" spans="1:8">
      <c r="A101" s="146"/>
      <c r="B101" s="150"/>
      <c r="C101" s="150" t="s">
        <v>86</v>
      </c>
      <c r="D101" s="143">
        <v>614320000</v>
      </c>
      <c r="E101" s="143">
        <v>805869297.52757239</v>
      </c>
      <c r="F101" s="143">
        <v>823194389.56047451</v>
      </c>
      <c r="G101" s="235">
        <v>963999469.21741235</v>
      </c>
      <c r="H101" s="233">
        <v>3207383156.3054595</v>
      </c>
    </row>
    <row r="102" spans="1:8">
      <c r="A102" s="146"/>
      <c r="B102" s="150"/>
      <c r="C102" s="150" t="s">
        <v>87</v>
      </c>
      <c r="D102" s="143">
        <v>65910000</v>
      </c>
      <c r="E102" s="232"/>
      <c r="F102" s="232"/>
      <c r="G102" s="232"/>
      <c r="H102" s="233">
        <v>65910000</v>
      </c>
    </row>
    <row r="103" spans="1:8">
      <c r="A103" s="146"/>
      <c r="B103" s="150"/>
      <c r="C103" s="150" t="s">
        <v>88</v>
      </c>
      <c r="D103" s="143">
        <v>0</v>
      </c>
      <c r="E103" s="143">
        <v>0</v>
      </c>
      <c r="F103" s="232"/>
      <c r="G103" s="232"/>
      <c r="H103" s="233">
        <v>0</v>
      </c>
    </row>
    <row r="104" spans="1:8">
      <c r="A104" s="146"/>
      <c r="B104" s="150"/>
      <c r="C104" s="150" t="s">
        <v>89</v>
      </c>
      <c r="D104" s="143">
        <v>10927920</v>
      </c>
      <c r="E104" s="143">
        <v>0</v>
      </c>
      <c r="F104" s="232"/>
      <c r="G104" s="232"/>
      <c r="H104" s="233">
        <v>10927920</v>
      </c>
    </row>
    <row r="105" spans="1:8">
      <c r="A105" s="146"/>
      <c r="B105" s="528" t="s">
        <v>90</v>
      </c>
      <c r="C105" s="528"/>
      <c r="D105" s="147">
        <v>44191446829.540001</v>
      </c>
      <c r="E105" s="147">
        <v>48429145025.435577</v>
      </c>
      <c r="F105" s="147">
        <v>49932045848.289604</v>
      </c>
      <c r="G105" s="147">
        <v>57768384376.244553</v>
      </c>
      <c r="H105" s="234">
        <v>200321022079.50977</v>
      </c>
    </row>
    <row r="106" spans="1:8">
      <c r="A106" s="146"/>
      <c r="B106" s="150"/>
      <c r="C106" s="150" t="s">
        <v>112</v>
      </c>
      <c r="D106" s="143">
        <v>445220000</v>
      </c>
      <c r="E106" s="232"/>
      <c r="F106" s="232"/>
      <c r="G106" s="232"/>
      <c r="H106" s="233">
        <v>445220000</v>
      </c>
    </row>
    <row r="107" spans="1:8">
      <c r="A107" s="146"/>
      <c r="B107" s="150"/>
      <c r="C107" s="150" t="s">
        <v>230</v>
      </c>
      <c r="D107" s="143">
        <v>125000000</v>
      </c>
      <c r="E107" s="143">
        <v>0</v>
      </c>
      <c r="F107" s="232"/>
      <c r="G107" s="232"/>
      <c r="H107" s="233">
        <v>125000000</v>
      </c>
    </row>
    <row r="108" spans="1:8">
      <c r="A108" s="146"/>
      <c r="B108" s="150"/>
      <c r="C108" s="150" t="s">
        <v>231</v>
      </c>
      <c r="D108" s="143">
        <v>40000000</v>
      </c>
      <c r="E108" s="143">
        <v>0</v>
      </c>
      <c r="F108" s="232"/>
      <c r="G108" s="232"/>
      <c r="H108" s="233">
        <v>40000000</v>
      </c>
    </row>
    <row r="109" spans="1:8">
      <c r="A109" s="146"/>
      <c r="B109" s="150"/>
      <c r="C109" s="150" t="s">
        <v>254</v>
      </c>
      <c r="D109" s="143">
        <v>400000000</v>
      </c>
      <c r="F109" s="232"/>
      <c r="G109" s="232"/>
      <c r="H109" s="233">
        <f>+D109</f>
        <v>400000000</v>
      </c>
    </row>
    <row r="110" spans="1:8">
      <c r="A110" s="146"/>
      <c r="B110" s="4"/>
      <c r="C110" s="150" t="s">
        <v>91</v>
      </c>
      <c r="D110" s="143">
        <v>97658890</v>
      </c>
      <c r="F110" s="232"/>
      <c r="G110" s="232"/>
      <c r="H110" s="233">
        <f>+D110</f>
        <v>97658890</v>
      </c>
    </row>
    <row r="111" spans="1:8">
      <c r="A111" s="146"/>
      <c r="B111" s="150"/>
      <c r="C111" s="4" t="s">
        <v>92</v>
      </c>
      <c r="D111" s="143">
        <v>124048775</v>
      </c>
      <c r="E111" s="143">
        <v>0</v>
      </c>
      <c r="F111" s="232"/>
      <c r="G111" s="232"/>
      <c r="H111" s="233">
        <v>124048775</v>
      </c>
    </row>
    <row r="112" spans="1:8">
      <c r="A112" s="146"/>
      <c r="B112" s="154"/>
      <c r="C112" s="221" t="s">
        <v>93</v>
      </c>
      <c r="D112" s="143">
        <v>130746000</v>
      </c>
      <c r="E112" s="143">
        <v>0</v>
      </c>
      <c r="F112" s="232"/>
      <c r="G112" s="232"/>
      <c r="H112" s="233">
        <v>130746000</v>
      </c>
    </row>
    <row r="113" spans="1:11">
      <c r="A113" s="146"/>
      <c r="B113" s="154"/>
      <c r="C113" s="221" t="s">
        <v>94</v>
      </c>
      <c r="D113" s="143">
        <v>169256500</v>
      </c>
      <c r="E113" s="143">
        <v>0</v>
      </c>
      <c r="F113" s="232"/>
      <c r="G113" s="232"/>
      <c r="H113" s="233">
        <v>169256500</v>
      </c>
      <c r="K113" s="77">
        <f>+H114</f>
        <v>729700000</v>
      </c>
    </row>
    <row r="114" spans="1:11">
      <c r="A114" s="146"/>
      <c r="B114" s="154"/>
      <c r="C114" s="221" t="s">
        <v>145</v>
      </c>
      <c r="D114" s="143">
        <v>329700000</v>
      </c>
      <c r="E114" s="143">
        <v>400000000</v>
      </c>
      <c r="F114" s="232"/>
      <c r="G114" s="232"/>
      <c r="H114" s="233">
        <f>+D114+E114</f>
        <v>729700000</v>
      </c>
      <c r="K114" s="77">
        <f>+H115</f>
        <v>1500000000</v>
      </c>
    </row>
    <row r="115" spans="1:11">
      <c r="A115" s="146"/>
      <c r="B115" s="154"/>
      <c r="C115" s="221" t="s">
        <v>237</v>
      </c>
      <c r="D115" s="143">
        <v>1500000000</v>
      </c>
      <c r="E115" s="143">
        <v>0</v>
      </c>
      <c r="F115" s="232"/>
      <c r="G115" s="232"/>
      <c r="H115" s="233">
        <v>1500000000</v>
      </c>
      <c r="K115" s="77">
        <f>+H109</f>
        <v>400000000</v>
      </c>
    </row>
    <row r="116" spans="1:11">
      <c r="A116" s="146"/>
      <c r="B116" s="154"/>
      <c r="C116" s="221" t="s">
        <v>238</v>
      </c>
      <c r="D116" s="143">
        <v>1500000000</v>
      </c>
      <c r="E116" s="143">
        <v>4000000000</v>
      </c>
      <c r="F116" s="232"/>
      <c r="G116" s="232"/>
      <c r="H116" s="233">
        <f>+D116+E116</f>
        <v>5500000000</v>
      </c>
      <c r="K116" s="77">
        <f>+H116</f>
        <v>5500000000</v>
      </c>
    </row>
    <row r="117" spans="1:11">
      <c r="A117" s="146"/>
      <c r="B117" s="154"/>
      <c r="C117" s="150" t="s">
        <v>95</v>
      </c>
      <c r="D117" s="143">
        <v>53000000</v>
      </c>
      <c r="E117" s="232"/>
      <c r="F117" s="232"/>
      <c r="G117" s="232"/>
      <c r="H117" s="233">
        <v>53000000</v>
      </c>
      <c r="K117" s="77">
        <f>SUM(K113:K116)</f>
        <v>8129700000</v>
      </c>
    </row>
    <row r="118" spans="1:11">
      <c r="A118" s="146"/>
      <c r="B118" s="154"/>
      <c r="C118" s="150" t="s">
        <v>221</v>
      </c>
      <c r="D118" s="143">
        <v>102643000</v>
      </c>
      <c r="E118" s="143">
        <v>0</v>
      </c>
      <c r="F118" s="232"/>
      <c r="G118" s="232"/>
      <c r="H118" s="233">
        <v>102643000</v>
      </c>
    </row>
    <row r="119" spans="1:11">
      <c r="A119" s="146"/>
      <c r="B119" s="154"/>
      <c r="C119" s="221" t="s">
        <v>96</v>
      </c>
      <c r="D119" s="143">
        <v>0</v>
      </c>
      <c r="E119" s="143">
        <v>0</v>
      </c>
      <c r="F119" s="232"/>
      <c r="G119" s="232"/>
      <c r="H119" s="233">
        <v>0</v>
      </c>
    </row>
    <row r="120" spans="1:11" ht="25.5">
      <c r="A120" s="146"/>
      <c r="B120" s="154"/>
      <c r="C120" s="170" t="s">
        <v>97</v>
      </c>
      <c r="D120" s="143">
        <v>520000000</v>
      </c>
      <c r="E120" s="232"/>
      <c r="F120" s="232"/>
      <c r="G120" s="232"/>
      <c r="H120" s="233">
        <v>520000000</v>
      </c>
    </row>
    <row r="121" spans="1:11" ht="25.5">
      <c r="A121" s="146"/>
      <c r="B121" s="154"/>
      <c r="C121" s="170" t="s">
        <v>144</v>
      </c>
      <c r="D121" s="143">
        <v>1323577387</v>
      </c>
      <c r="E121" s="143">
        <v>1440000000</v>
      </c>
      <c r="F121" s="143">
        <v>1440000000</v>
      </c>
      <c r="G121" s="235">
        <v>1440000000</v>
      </c>
      <c r="H121" s="233">
        <v>5643577387</v>
      </c>
    </row>
    <row r="122" spans="1:11">
      <c r="A122" s="146"/>
      <c r="B122" s="154"/>
      <c r="C122" s="170" t="s">
        <v>255</v>
      </c>
      <c r="D122" s="143">
        <v>1430300000</v>
      </c>
      <c r="E122" s="143">
        <v>3300000000</v>
      </c>
      <c r="F122" s="143">
        <v>3600000000</v>
      </c>
      <c r="G122" s="235">
        <v>3300000000</v>
      </c>
      <c r="H122" s="233">
        <v>11630300000</v>
      </c>
    </row>
    <row r="123" spans="1:11">
      <c r="A123" s="146"/>
      <c r="B123" s="154"/>
      <c r="C123" s="170" t="s">
        <v>99</v>
      </c>
      <c r="D123" s="143">
        <v>612674503</v>
      </c>
      <c r="E123" s="232"/>
      <c r="F123" s="232"/>
      <c r="G123" s="232"/>
      <c r="H123" s="233">
        <v>612674503</v>
      </c>
    </row>
    <row r="124" spans="1:11">
      <c r="A124" s="146"/>
      <c r="B124" s="4"/>
      <c r="C124" s="171" t="s">
        <v>100</v>
      </c>
      <c r="D124" s="143">
        <v>121221961</v>
      </c>
      <c r="E124" s="143">
        <v>32026815</v>
      </c>
      <c r="F124" s="232"/>
      <c r="G124" s="232"/>
      <c r="H124" s="233">
        <v>153248776</v>
      </c>
    </row>
    <row r="125" spans="1:11">
      <c r="A125" s="146"/>
      <c r="B125" s="4"/>
      <c r="C125" s="171" t="s">
        <v>101</v>
      </c>
      <c r="D125" s="143">
        <v>1353892128</v>
      </c>
      <c r="E125" s="143">
        <v>1241067784</v>
      </c>
      <c r="F125" s="232"/>
      <c r="G125" s="232"/>
      <c r="H125" s="233">
        <v>2594959912</v>
      </c>
    </row>
    <row r="126" spans="1:11">
      <c r="A126" s="146"/>
      <c r="B126" s="4"/>
      <c r="C126" s="171" t="s">
        <v>89</v>
      </c>
      <c r="D126" s="143">
        <v>38159520</v>
      </c>
      <c r="E126" s="232"/>
      <c r="F126" s="232"/>
      <c r="G126" s="232"/>
      <c r="H126" s="233">
        <v>38159520</v>
      </c>
    </row>
    <row r="127" spans="1:11">
      <c r="A127" s="146"/>
      <c r="B127" s="4"/>
      <c r="C127" s="171" t="s">
        <v>239</v>
      </c>
      <c r="D127" s="143"/>
      <c r="E127" s="143">
        <v>19846125000</v>
      </c>
      <c r="F127" s="143">
        <v>17449875000</v>
      </c>
      <c r="G127" s="232"/>
      <c r="H127" s="233">
        <v>37296000000</v>
      </c>
    </row>
    <row r="128" spans="1:11">
      <c r="A128" s="530" t="s">
        <v>102</v>
      </c>
      <c r="B128" s="531"/>
      <c r="C128" s="531"/>
      <c r="D128" s="147">
        <v>54608545493.540001</v>
      </c>
      <c r="E128" s="147">
        <v>78688364624.435577</v>
      </c>
      <c r="F128" s="147">
        <v>72421920848.289612</v>
      </c>
      <c r="G128" s="147">
        <v>62508384376.244553</v>
      </c>
      <c r="H128" s="149">
        <v>268227215342.50977</v>
      </c>
    </row>
    <row r="129" spans="1:8">
      <c r="A129" s="146"/>
      <c r="B129" s="3"/>
      <c r="C129" s="150"/>
      <c r="D129" s="143">
        <v>0</v>
      </c>
      <c r="E129" s="143"/>
      <c r="F129" s="143"/>
      <c r="G129" s="143"/>
      <c r="H129" s="145"/>
    </row>
    <row r="130" spans="1:8">
      <c r="A130" s="532" t="s">
        <v>103</v>
      </c>
      <c r="B130" s="533"/>
      <c r="C130" s="533"/>
      <c r="D130" s="151">
        <v>-2815543472.7551575</v>
      </c>
      <c r="E130" s="151">
        <v>-26830404489.309822</v>
      </c>
      <c r="F130" s="151">
        <v>-17634955892.534454</v>
      </c>
      <c r="G130" s="151">
        <v>2332105310.3057098</v>
      </c>
      <c r="H130" s="152">
        <v>-44948798544.293732</v>
      </c>
    </row>
    <row r="131" spans="1:8">
      <c r="A131" s="126"/>
      <c r="B131" s="126"/>
      <c r="C131" s="126"/>
      <c r="E131" s="124"/>
      <c r="F131" s="124"/>
      <c r="G131" s="124"/>
    </row>
  </sheetData>
  <mergeCells count="26">
    <mergeCell ref="A128:C128"/>
    <mergeCell ref="A130:C130"/>
    <mergeCell ref="B23:C23"/>
    <mergeCell ref="B24:C24"/>
    <mergeCell ref="B25:C25"/>
    <mergeCell ref="B26:C26"/>
    <mergeCell ref="B28:C28"/>
    <mergeCell ref="B105:C105"/>
    <mergeCell ref="B22:C22"/>
    <mergeCell ref="A9:C9"/>
    <mergeCell ref="A10:C10"/>
    <mergeCell ref="B11:C11"/>
    <mergeCell ref="B13:C13"/>
    <mergeCell ref="B14:C14"/>
    <mergeCell ref="B15:C15"/>
    <mergeCell ref="B16:C16"/>
    <mergeCell ref="B17:C17"/>
    <mergeCell ref="B18:C18"/>
    <mergeCell ref="B20:C20"/>
    <mergeCell ref="B21:C21"/>
    <mergeCell ref="H6:H8"/>
    <mergeCell ref="A6:C8"/>
    <mergeCell ref="D6:D8"/>
    <mergeCell ref="E6:E8"/>
    <mergeCell ref="F6:F8"/>
    <mergeCell ref="G6:G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3:W45"/>
  <sheetViews>
    <sheetView topLeftCell="A28" workbookViewId="0">
      <selection activeCell="A38" sqref="A38:A42"/>
    </sheetView>
  </sheetViews>
  <sheetFormatPr defaultRowHeight="15"/>
  <cols>
    <col min="3" max="3" width="16.5703125" customWidth="1"/>
    <col min="5" max="5" width="16.85546875" bestFit="1" customWidth="1"/>
    <col min="7" max="7" width="14.28515625" bestFit="1" customWidth="1"/>
    <col min="8" max="8" width="18" bestFit="1" customWidth="1"/>
    <col min="12" max="12" width="16.85546875" bestFit="1" customWidth="1"/>
    <col min="13" max="13" width="17.7109375" bestFit="1" customWidth="1"/>
    <col min="16" max="16" width="19.5703125" bestFit="1" customWidth="1"/>
    <col min="17" max="17" width="29" bestFit="1" customWidth="1"/>
    <col min="22" max="23" width="18" bestFit="1" customWidth="1"/>
  </cols>
  <sheetData>
    <row r="3" spans="4:8">
      <c r="D3" t="s">
        <v>278</v>
      </c>
    </row>
    <row r="4" spans="4:8">
      <c r="D4" t="s">
        <v>279</v>
      </c>
      <c r="H4" s="73">
        <f>80000000/5</f>
        <v>16000000</v>
      </c>
    </row>
    <row r="6" spans="4:8">
      <c r="D6" t="s">
        <v>280</v>
      </c>
      <c r="E6" s="194">
        <f>H4</f>
        <v>16000000</v>
      </c>
      <c r="H6" s="73">
        <v>4600000000</v>
      </c>
    </row>
    <row r="7" spans="4:8">
      <c r="E7" t="s">
        <v>281</v>
      </c>
      <c r="H7" s="73">
        <v>4500000000</v>
      </c>
    </row>
    <row r="8" spans="4:8">
      <c r="H8" s="73">
        <v>4050000000</v>
      </c>
    </row>
    <row r="9" spans="4:8">
      <c r="H9" s="73">
        <f>SUM(H6:H8)/3</f>
        <v>4383333333.333333</v>
      </c>
    </row>
    <row r="11" spans="4:8">
      <c r="H11" s="196">
        <f>E6/H9</f>
        <v>3.6501901140684415E-3</v>
      </c>
    </row>
    <row r="13" spans="4:8">
      <c r="D13" t="s">
        <v>282</v>
      </c>
      <c r="E13" t="s">
        <v>283</v>
      </c>
    </row>
    <row r="14" spans="4:8">
      <c r="E14" s="194">
        <f>E6</f>
        <v>16000000</v>
      </c>
    </row>
    <row r="15" spans="4:8">
      <c r="D15" s="197"/>
      <c r="E15" s="194"/>
      <c r="G15" t="s">
        <v>304</v>
      </c>
    </row>
    <row r="16" spans="4:8">
      <c r="D16" s="197"/>
      <c r="E16" s="194"/>
      <c r="G16" s="194">
        <f>E14+(E14*10%)</f>
        <v>17600000</v>
      </c>
    </row>
    <row r="17" spans="1:23">
      <c r="A17" t="s">
        <v>284</v>
      </c>
      <c r="E17" s="194">
        <f>G16+(G16*20%)</f>
        <v>21120000</v>
      </c>
      <c r="H17" s="194"/>
      <c r="I17" s="194"/>
    </row>
    <row r="19" spans="1:23">
      <c r="A19" t="s">
        <v>285</v>
      </c>
      <c r="E19" s="194">
        <f>G16*40</f>
        <v>704000000</v>
      </c>
    </row>
    <row r="21" spans="1:23">
      <c r="B21" s="197">
        <v>0.2</v>
      </c>
      <c r="C21" t="s">
        <v>286</v>
      </c>
      <c r="E21" s="198">
        <f>E19*20%</f>
        <v>140800000</v>
      </c>
      <c r="K21" s="197">
        <v>0.5</v>
      </c>
      <c r="L21" t="s">
        <v>286</v>
      </c>
      <c r="M21" s="194">
        <f>E19*50%</f>
        <v>352000000</v>
      </c>
      <c r="O21" s="197">
        <v>0.75</v>
      </c>
      <c r="P21" t="str">
        <f>L21</f>
        <v>DARI 40 BED</v>
      </c>
      <c r="Q21" s="194">
        <f>E19*O21</f>
        <v>528000000</v>
      </c>
      <c r="U21" s="197">
        <v>1</v>
      </c>
      <c r="V21" t="str">
        <f>P21</f>
        <v>DARI 40 BED</v>
      </c>
      <c r="W21" s="194">
        <f>E19*U21</f>
        <v>704000000</v>
      </c>
    </row>
    <row r="23" spans="1:23">
      <c r="A23" t="s">
        <v>287</v>
      </c>
      <c r="E23" s="199">
        <f>H9*9%</f>
        <v>394499999.99999994</v>
      </c>
    </row>
    <row r="25" spans="1:23">
      <c r="A25" t="s">
        <v>288</v>
      </c>
      <c r="E25" s="200">
        <f>E23*2</f>
        <v>788999999.99999988</v>
      </c>
      <c r="G25" t="s">
        <v>290</v>
      </c>
      <c r="L25" t="str">
        <f>A25</f>
        <v>PENDAPATN POLI 2 x</v>
      </c>
      <c r="M25" s="194">
        <f>E25</f>
        <v>788999999.99999988</v>
      </c>
      <c r="P25" t="str">
        <f>L25</f>
        <v>PENDAPATN POLI 2 x</v>
      </c>
      <c r="Q25" s="194">
        <f>M25</f>
        <v>788999999.99999988</v>
      </c>
      <c r="U25" t="str">
        <f>P25</f>
        <v>PENDAPATN POLI 2 x</v>
      </c>
      <c r="W25" s="194">
        <f>Q25</f>
        <v>788999999.99999988</v>
      </c>
    </row>
    <row r="27" spans="1:23">
      <c r="A27" t="s">
        <v>292</v>
      </c>
      <c r="E27" s="194">
        <f>H9*7%</f>
        <v>306833333.33333331</v>
      </c>
    </row>
    <row r="29" spans="1:23">
      <c r="A29" t="s">
        <v>289</v>
      </c>
      <c r="E29" s="200">
        <f>E27*2</f>
        <v>613666666.66666663</v>
      </c>
      <c r="G29" t="s">
        <v>291</v>
      </c>
      <c r="L29" t="str">
        <f>A29</f>
        <v>PENDAPTN LAB 2 X</v>
      </c>
      <c r="M29" s="194">
        <f>E29</f>
        <v>613666666.66666663</v>
      </c>
      <c r="P29" t="str">
        <f>L29</f>
        <v>PENDAPTN LAB 2 X</v>
      </c>
      <c r="Q29" s="194">
        <f>M29</f>
        <v>613666666.66666663</v>
      </c>
      <c r="U29" t="str">
        <f>P29</f>
        <v>PENDAPTN LAB 2 X</v>
      </c>
      <c r="W29" s="194">
        <f>Q29</f>
        <v>613666666.66666663</v>
      </c>
    </row>
    <row r="32" spans="1:23">
      <c r="M32" s="194">
        <f>SUM(M21:M31)</f>
        <v>1754666666.6666665</v>
      </c>
      <c r="Q32" s="194">
        <f>SUM(Q21:Q31)</f>
        <v>1930666666.6666665</v>
      </c>
      <c r="W32" s="194">
        <f>SUM(W21:W31)</f>
        <v>2106666666.6666665</v>
      </c>
    </row>
    <row r="33" spans="1:23">
      <c r="E33" s="200">
        <f>E29+E25+E21</f>
        <v>1543466666.6666665</v>
      </c>
      <c r="F33" t="s">
        <v>293</v>
      </c>
    </row>
    <row r="38" spans="1:23">
      <c r="A38" t="s">
        <v>13</v>
      </c>
      <c r="C38" s="73">
        <v>1431279729.7694414</v>
      </c>
      <c r="D38" s="195">
        <f>C38/$C$43</f>
        <v>0.24810857033817818</v>
      </c>
      <c r="E38" s="194">
        <f>$E$43*D38</f>
        <v>1814227037.8007414</v>
      </c>
      <c r="J38" s="73" t="s">
        <v>13</v>
      </c>
      <c r="K38" s="73"/>
      <c r="L38" s="73">
        <v>1922790336.9533956</v>
      </c>
      <c r="M38" s="194">
        <f>$M$43*D38</f>
        <v>2358138175.0401187</v>
      </c>
      <c r="P38" s="73">
        <v>2474057529.8381267</v>
      </c>
      <c r="Q38" s="194">
        <f>$Q$43*D38</f>
        <v>2953072476.3043694</v>
      </c>
      <c r="V38" s="73">
        <v>3222666283.3264451</v>
      </c>
      <c r="W38" s="194">
        <f>$W$43*D38</f>
        <v>3745348338.1722074</v>
      </c>
    </row>
    <row r="39" spans="1:23">
      <c r="A39" t="s">
        <v>14</v>
      </c>
      <c r="C39" s="73">
        <v>376957970.51662999</v>
      </c>
      <c r="D39" s="195">
        <f t="shared" ref="D39:D42" si="0">C39/$C$43</f>
        <v>6.5344671064074919E-2</v>
      </c>
      <c r="E39" s="194">
        <f t="shared" ref="E39:E42" si="1">$E$43*D39</f>
        <v>477815292.14832747</v>
      </c>
      <c r="J39" s="73" t="s">
        <v>14</v>
      </c>
      <c r="K39" s="73"/>
      <c r="L39" s="73">
        <v>506407746.90751451</v>
      </c>
      <c r="M39" s="194">
        <f t="shared" ref="M39:M42" si="2">$M$43*D39</f>
        <v>621065863.06794465</v>
      </c>
      <c r="P39" s="73">
        <v>651595691.59789467</v>
      </c>
      <c r="Q39" s="194">
        <f t="shared" ref="Q39:Q42" si="3">$Q$43*D39</f>
        <v>777754469.86560202</v>
      </c>
      <c r="V39" s="73">
        <v>848757735.15691161</v>
      </c>
      <c r="W39" s="194">
        <f t="shared" ref="W39:W42" si="4">$W$43*D39</f>
        <v>986417175.53189623</v>
      </c>
    </row>
    <row r="40" spans="1:23">
      <c r="C40" s="73">
        <v>0</v>
      </c>
      <c r="D40" s="195">
        <f t="shared" si="0"/>
        <v>0</v>
      </c>
      <c r="E40" s="194">
        <f t="shared" si="1"/>
        <v>0</v>
      </c>
      <c r="J40" s="73"/>
      <c r="K40" s="73"/>
      <c r="L40" s="73">
        <v>0</v>
      </c>
      <c r="M40" s="194">
        <f t="shared" si="2"/>
        <v>0</v>
      </c>
      <c r="P40" s="73">
        <v>0</v>
      </c>
      <c r="Q40" s="194">
        <f t="shared" si="3"/>
        <v>0</v>
      </c>
      <c r="V40" s="73">
        <v>0</v>
      </c>
      <c r="W40" s="194">
        <f t="shared" si="4"/>
        <v>0</v>
      </c>
    </row>
    <row r="41" spans="1:23">
      <c r="A41" t="s">
        <v>244</v>
      </c>
      <c r="C41" s="73">
        <v>3441975264.5073085</v>
      </c>
      <c r="D41" s="195">
        <f t="shared" si="0"/>
        <v>0.59665734395179726</v>
      </c>
      <c r="E41" s="194">
        <f t="shared" si="1"/>
        <v>4362895986.3187761</v>
      </c>
      <c r="J41" s="73" t="s">
        <v>244</v>
      </c>
      <c r="K41" s="73"/>
      <c r="L41" s="73">
        <v>4623971569.619977</v>
      </c>
      <c r="M41" s="194">
        <f t="shared" si="2"/>
        <v>5670906322.4740639</v>
      </c>
      <c r="P41" s="73">
        <v>5949671921.9538126</v>
      </c>
      <c r="Q41" s="194">
        <f t="shared" si="3"/>
        <v>7101618367.3434153</v>
      </c>
      <c r="V41" s="73">
        <v>7749943915.4064894</v>
      </c>
      <c r="W41" s="194">
        <f t="shared" si="4"/>
        <v>9006902053.3316097</v>
      </c>
    </row>
    <row r="42" spans="1:23">
      <c r="A42" t="s">
        <v>245</v>
      </c>
      <c r="C42" s="73">
        <v>518550797.85525155</v>
      </c>
      <c r="D42" s="195">
        <f t="shared" si="0"/>
        <v>8.988941464594967E-2</v>
      </c>
      <c r="E42" s="194">
        <f t="shared" si="1"/>
        <v>657292113.0474534</v>
      </c>
      <c r="J42" s="73" t="s">
        <v>245</v>
      </c>
      <c r="K42" s="73"/>
      <c r="L42" s="73">
        <v>696624456.1404947</v>
      </c>
      <c r="M42" s="194">
        <f t="shared" si="2"/>
        <v>854350415.70592105</v>
      </c>
      <c r="P42" s="73">
        <v>896347848.26025188</v>
      </c>
      <c r="Q42" s="194">
        <f t="shared" si="3"/>
        <v>1069894344.8033653</v>
      </c>
      <c r="V42" s="73">
        <v>1167567832.955574</v>
      </c>
      <c r="W42" s="194">
        <f t="shared" si="4"/>
        <v>1356934866.4763749</v>
      </c>
    </row>
    <row r="43" spans="1:23">
      <c r="C43" s="73">
        <v>5768763762.6486311</v>
      </c>
      <c r="D43" s="197">
        <f>SUM(D38:D42)</f>
        <v>1</v>
      </c>
      <c r="E43" s="194">
        <f>C43+E33</f>
        <v>7312230429.3152981</v>
      </c>
      <c r="J43" s="73"/>
      <c r="K43" s="73"/>
      <c r="L43" s="73">
        <f>SUM(L38:L42)</f>
        <v>7749794109.6213808</v>
      </c>
      <c r="M43" s="194">
        <f>L43+M32</f>
        <v>9504460776.2880478</v>
      </c>
      <c r="P43" s="73">
        <f>SUM(P38:P42)</f>
        <v>9971672991.6500854</v>
      </c>
      <c r="Q43" s="194">
        <f>P43+Q32</f>
        <v>11902339658.316751</v>
      </c>
      <c r="V43" s="194">
        <f>SUM(V38:V42)</f>
        <v>12988935766.845421</v>
      </c>
      <c r="W43" s="194">
        <f>V43+W32</f>
        <v>15095602433.512087</v>
      </c>
    </row>
    <row r="45" spans="1:23">
      <c r="M45" s="19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</sheetPr>
  <dimension ref="A1:CN511"/>
  <sheetViews>
    <sheetView workbookViewId="0">
      <pane xSplit="3" ySplit="7" topLeftCell="I8" activePane="bottomRight" state="frozen"/>
      <selection pane="topRight" activeCell="D1" sqref="D1"/>
      <selection pane="bottomLeft" activeCell="A4" sqref="A4"/>
      <selection pane="bottomRight" activeCell="Q7" sqref="Q7"/>
    </sheetView>
  </sheetViews>
  <sheetFormatPr defaultRowHeight="15"/>
  <cols>
    <col min="1" max="1" width="3.5703125" style="135" customWidth="1"/>
    <col min="2" max="2" width="7.140625" style="135" customWidth="1"/>
    <col min="3" max="3" width="27.28515625" style="135" customWidth="1"/>
    <col min="4" max="4" width="17.140625" style="136" hidden="1" customWidth="1"/>
    <col min="5" max="7" width="16.5703125" style="136" hidden="1" customWidth="1"/>
    <col min="8" max="8" width="16.42578125" style="136" hidden="1" customWidth="1"/>
    <col min="9" max="13" width="16.5703125" style="136" customWidth="1"/>
    <col min="14" max="15" width="16.5703125" style="136" hidden="1" customWidth="1"/>
    <col min="16" max="16" width="18" style="136" hidden="1" customWidth="1"/>
    <col min="17" max="53" width="18" style="136" customWidth="1"/>
    <col min="54" max="64" width="17" style="136" customWidth="1"/>
    <col min="65" max="76" width="16" style="74" customWidth="1"/>
    <col min="77" max="77" width="16.85546875" style="74" bestFit="1" customWidth="1"/>
    <col min="78" max="90" width="15" style="74" customWidth="1"/>
    <col min="91" max="91" width="9.85546875" customWidth="1"/>
    <col min="92" max="92" width="12.5703125" bestFit="1" customWidth="1"/>
  </cols>
  <sheetData>
    <row r="1" spans="1:90" s="7" customFormat="1" ht="15.75">
      <c r="A1" s="237" t="s">
        <v>537</v>
      </c>
      <c r="B1" s="385"/>
      <c r="C1" s="385"/>
      <c r="D1" s="385"/>
      <c r="E1" s="313"/>
      <c r="F1" s="313"/>
      <c r="G1" s="313"/>
      <c r="H1" s="313"/>
      <c r="I1" s="128"/>
      <c r="J1" s="128" t="s">
        <v>272</v>
      </c>
      <c r="K1" s="128"/>
      <c r="L1" s="128"/>
      <c r="M1" s="128"/>
      <c r="N1" s="128"/>
      <c r="O1" s="128"/>
      <c r="P1" s="12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</row>
    <row r="2" spans="1:90" s="7" customFormat="1">
      <c r="A2" s="376" t="s">
        <v>226</v>
      </c>
      <c r="B2" s="263"/>
      <c r="C2" s="263"/>
      <c r="D2" s="313"/>
      <c r="E2" s="313" t="s">
        <v>334</v>
      </c>
      <c r="F2" s="313"/>
      <c r="G2" s="313"/>
      <c r="H2" s="313"/>
      <c r="I2" s="128"/>
      <c r="J2" s="128"/>
      <c r="K2" s="128"/>
      <c r="L2" s="128"/>
      <c r="M2" s="128"/>
      <c r="N2" s="128"/>
      <c r="O2" s="128"/>
      <c r="P2" s="12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</row>
    <row r="3" spans="1:90" s="7" customFormat="1">
      <c r="A3" s="376" t="s">
        <v>335</v>
      </c>
      <c r="B3" s="263"/>
      <c r="C3" s="263"/>
      <c r="D3" s="313">
        <v>84</v>
      </c>
      <c r="E3" s="313">
        <v>86</v>
      </c>
      <c r="F3" s="313">
        <v>84</v>
      </c>
      <c r="G3" s="313">
        <v>84</v>
      </c>
      <c r="H3" s="313">
        <v>84</v>
      </c>
      <c r="I3" s="128">
        <v>86</v>
      </c>
      <c r="J3" s="128">
        <v>86</v>
      </c>
      <c r="K3" s="128">
        <v>86</v>
      </c>
      <c r="L3" s="128">
        <v>86</v>
      </c>
      <c r="M3" s="128">
        <v>86</v>
      </c>
      <c r="N3" s="128">
        <v>86</v>
      </c>
      <c r="O3" s="128">
        <v>86</v>
      </c>
      <c r="P3" s="12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74">
        <f>200000000*12</f>
        <v>2400000000</v>
      </c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</row>
    <row r="4" spans="1:90">
      <c r="A4" s="262"/>
      <c r="B4" s="262"/>
      <c r="C4" s="262"/>
      <c r="D4" s="313"/>
      <c r="E4" s="313"/>
      <c r="F4" s="313"/>
      <c r="G4" s="313"/>
      <c r="H4" s="313"/>
      <c r="I4" s="128"/>
      <c r="J4" s="128" t="s">
        <v>274</v>
      </c>
      <c r="BM4" s="74">
        <f>BM3/5</f>
        <v>480000000</v>
      </c>
    </row>
    <row r="5" spans="1:90">
      <c r="A5" s="602" t="s">
        <v>1</v>
      </c>
      <c r="B5" s="603"/>
      <c r="C5" s="603"/>
      <c r="D5" s="588" t="s">
        <v>3</v>
      </c>
      <c r="E5" s="589"/>
      <c r="F5" s="589"/>
      <c r="G5" s="589"/>
      <c r="H5" s="351"/>
      <c r="I5" s="597" t="s">
        <v>3</v>
      </c>
      <c r="J5" s="598"/>
      <c r="K5" s="598"/>
      <c r="L5" s="598"/>
      <c r="M5" s="649"/>
      <c r="N5" s="597" t="s">
        <v>3</v>
      </c>
      <c r="O5" s="649"/>
      <c r="P5" s="600" t="s">
        <v>235</v>
      </c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</row>
    <row r="6" spans="1:90">
      <c r="A6" s="604"/>
      <c r="B6" s="605"/>
      <c r="C6" s="605"/>
      <c r="D6" s="619" t="s">
        <v>126</v>
      </c>
      <c r="E6" s="621"/>
      <c r="F6" s="621"/>
      <c r="G6" s="621"/>
      <c r="H6" s="346"/>
      <c r="I6" s="650" t="s">
        <v>126</v>
      </c>
      <c r="J6" s="651"/>
      <c r="K6" s="651"/>
      <c r="L6" s="651"/>
      <c r="M6" s="652"/>
      <c r="N6" s="650" t="s">
        <v>126</v>
      </c>
      <c r="O6" s="652"/>
      <c r="P6" s="601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</row>
    <row r="7" spans="1:90">
      <c r="A7" s="604"/>
      <c r="B7" s="605"/>
      <c r="C7" s="605"/>
      <c r="D7" s="264" t="s">
        <v>4</v>
      </c>
      <c r="E7" s="264" t="s">
        <v>5</v>
      </c>
      <c r="F7" s="264" t="s">
        <v>6</v>
      </c>
      <c r="G7" s="264" t="s">
        <v>7</v>
      </c>
      <c r="H7" s="264" t="s">
        <v>8</v>
      </c>
      <c r="I7" s="143" t="s">
        <v>9</v>
      </c>
      <c r="J7" s="143" t="s">
        <v>127</v>
      </c>
      <c r="K7" s="143" t="s">
        <v>129</v>
      </c>
      <c r="L7" s="143" t="s">
        <v>130</v>
      </c>
      <c r="M7" s="143" t="s">
        <v>131</v>
      </c>
      <c r="N7" s="360" t="s">
        <v>132</v>
      </c>
      <c r="O7" s="143" t="s">
        <v>133</v>
      </c>
      <c r="P7" s="601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</row>
    <row r="8" spans="1:90">
      <c r="A8" s="361"/>
      <c r="B8" s="605" t="s">
        <v>215</v>
      </c>
      <c r="C8" s="605"/>
      <c r="D8" s="264">
        <f>D9-'CF 2018'!O11</f>
        <v>-2</v>
      </c>
      <c r="E8" s="359">
        <f>E9-D9</f>
        <v>0</v>
      </c>
      <c r="F8" s="359">
        <f t="shared" ref="F8" si="0">F9-E9</f>
        <v>0</v>
      </c>
      <c r="G8" s="359">
        <f>G9-F9</f>
        <v>0</v>
      </c>
      <c r="H8" s="359">
        <f t="shared" ref="H8:O8" si="1">H9-G9</f>
        <v>0</v>
      </c>
      <c r="I8" s="157">
        <f t="shared" si="1"/>
        <v>2</v>
      </c>
      <c r="J8" s="157">
        <f t="shared" si="1"/>
        <v>0</v>
      </c>
      <c r="K8" s="157">
        <f t="shared" si="1"/>
        <v>0</v>
      </c>
      <c r="L8" s="157">
        <f t="shared" si="1"/>
        <v>0</v>
      </c>
      <c r="M8" s="157">
        <f t="shared" si="1"/>
        <v>0</v>
      </c>
      <c r="N8" s="157">
        <f t="shared" si="1"/>
        <v>0</v>
      </c>
      <c r="O8" s="157">
        <f t="shared" si="1"/>
        <v>0</v>
      </c>
      <c r="P8" s="158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</row>
    <row r="9" spans="1:90" s="124" customFormat="1">
      <c r="A9" s="606" t="s">
        <v>134</v>
      </c>
      <c r="B9" s="607"/>
      <c r="C9" s="607"/>
      <c r="D9" s="275">
        <v>84</v>
      </c>
      <c r="E9" s="275">
        <v>84</v>
      </c>
      <c r="F9" s="275">
        <v>84</v>
      </c>
      <c r="G9" s="275">
        <v>84</v>
      </c>
      <c r="H9" s="275">
        <v>84</v>
      </c>
      <c r="I9" s="142">
        <v>86</v>
      </c>
      <c r="J9" s="142">
        <v>86</v>
      </c>
      <c r="K9" s="143">
        <v>86</v>
      </c>
      <c r="L9" s="143">
        <v>86</v>
      </c>
      <c r="M9" s="143">
        <v>86</v>
      </c>
      <c r="N9" s="143">
        <v>86</v>
      </c>
      <c r="O9" s="143">
        <v>86</v>
      </c>
      <c r="P9" s="145">
        <f>SUM(D9:O9)/12</f>
        <v>85.166666666666671</v>
      </c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80"/>
      <c r="BN9" s="80">
        <f>+P16+'CF 2018'!P17+'CF 2017'!P16+'CF 2016'!P16</f>
        <v>9765000000</v>
      </c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</row>
    <row r="10" spans="1:90">
      <c r="A10" s="378"/>
      <c r="B10" s="379"/>
      <c r="C10" s="379"/>
      <c r="D10" s="275"/>
      <c r="E10" s="275"/>
      <c r="F10" s="275"/>
      <c r="G10" s="275"/>
      <c r="H10" s="275"/>
      <c r="I10" s="142"/>
      <c r="J10" s="142"/>
      <c r="K10" s="143"/>
      <c r="L10" s="143"/>
      <c r="M10" s="143"/>
      <c r="N10" s="143"/>
      <c r="O10" s="143"/>
      <c r="P10" s="145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</row>
    <row r="11" spans="1:90">
      <c r="A11" s="265" t="s">
        <v>10</v>
      </c>
      <c r="B11" s="594" t="s">
        <v>11</v>
      </c>
      <c r="C11" s="594"/>
      <c r="D11" s="264">
        <f>+'CF 2019'!O119</f>
        <v>1418329624.1860428</v>
      </c>
      <c r="E11" s="264">
        <f>+D120</f>
        <v>1648305626.2466145</v>
      </c>
      <c r="F11" s="264">
        <f t="shared" ref="F11:O11" si="2">+E120</f>
        <v>2647251944.6881485</v>
      </c>
      <c r="G11" s="264">
        <f t="shared" si="2"/>
        <v>2626159571.8926163</v>
      </c>
      <c r="H11" s="264">
        <f t="shared" si="2"/>
        <v>2988573796.1826038</v>
      </c>
      <c r="I11" s="143">
        <f t="shared" si="2"/>
        <v>3537598359.8887959</v>
      </c>
      <c r="J11" s="143">
        <f t="shared" si="2"/>
        <v>2133480064.9423752</v>
      </c>
      <c r="K11" s="143">
        <f t="shared" si="2"/>
        <v>2267909943.0982533</v>
      </c>
      <c r="L11" s="143">
        <f t="shared" si="2"/>
        <v>2515703034.7625675</v>
      </c>
      <c r="M11" s="143">
        <f t="shared" si="2"/>
        <v>2743097056.8065186</v>
      </c>
      <c r="N11" s="143">
        <f t="shared" si="2"/>
        <v>1462375421.6590099</v>
      </c>
      <c r="O11" s="143">
        <f t="shared" si="2"/>
        <v>772623437.22469711</v>
      </c>
      <c r="P11" s="145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117">
        <v>-684592114.15999985</v>
      </c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</row>
    <row r="12" spans="1:90">
      <c r="A12" s="265"/>
      <c r="B12" s="266"/>
      <c r="C12" s="266"/>
      <c r="D12" s="264"/>
      <c r="E12" s="264"/>
      <c r="F12" s="264"/>
      <c r="G12" s="264"/>
      <c r="H12" s="264"/>
      <c r="I12" s="143"/>
      <c r="J12" s="143"/>
      <c r="K12" s="143"/>
      <c r="L12" s="143"/>
      <c r="M12" s="143"/>
      <c r="N12" s="143"/>
      <c r="O12" s="143"/>
      <c r="P12" s="145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117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</row>
    <row r="13" spans="1:90" ht="15" customHeight="1">
      <c r="A13" s="265" t="s">
        <v>12</v>
      </c>
      <c r="B13" s="594" t="s">
        <v>159</v>
      </c>
      <c r="C13" s="594"/>
      <c r="D13" s="264"/>
      <c r="E13" s="264"/>
      <c r="F13" s="264"/>
      <c r="G13" s="264"/>
      <c r="H13" s="264"/>
      <c r="I13" s="143"/>
      <c r="J13" s="143"/>
      <c r="K13" s="143"/>
      <c r="L13" s="143"/>
      <c r="M13" s="143"/>
      <c r="N13" s="143"/>
      <c r="O13" s="143"/>
      <c r="P13" s="145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117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</row>
    <row r="14" spans="1:90" ht="15" customHeight="1">
      <c r="A14" s="265"/>
      <c r="B14" s="587" t="s">
        <v>13</v>
      </c>
      <c r="C14" s="587"/>
      <c r="D14" s="264">
        <f>+D226</f>
        <v>2532441615.1274791</v>
      </c>
      <c r="E14" s="264">
        <f t="shared" ref="E14:O14" si="3">+E226</f>
        <v>2997371675.8844399</v>
      </c>
      <c r="F14" s="264">
        <f t="shared" si="3"/>
        <v>3057319109.4021287</v>
      </c>
      <c r="G14" s="264">
        <f t="shared" si="3"/>
        <v>2935026345.0260434</v>
      </c>
      <c r="H14" s="264">
        <f t="shared" si="3"/>
        <v>2964376608.4763041</v>
      </c>
      <c r="I14" s="143">
        <f t="shared" si="3"/>
        <v>2994020374.5610671</v>
      </c>
      <c r="J14" s="143">
        <f t="shared" si="3"/>
        <v>2934139967.0698457</v>
      </c>
      <c r="K14" s="143">
        <f t="shared" si="3"/>
        <v>2992822766.4112425</v>
      </c>
      <c r="L14" s="143">
        <f t="shared" si="3"/>
        <v>3052679221.7394671</v>
      </c>
      <c r="M14" s="143">
        <f t="shared" si="3"/>
        <v>3113732806.1742563</v>
      </c>
      <c r="N14" s="143">
        <f t="shared" si="3"/>
        <v>3238282118.4212265</v>
      </c>
      <c r="O14" s="143">
        <f t="shared" si="3"/>
        <v>3303047760.7896509</v>
      </c>
      <c r="P14" s="145">
        <f>SUM(D14:O14)</f>
        <v>36115260369.083153</v>
      </c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82">
        <f>+'[5]CF 2019'!P14</f>
        <v>18985742759.562939</v>
      </c>
      <c r="BN14" s="80">
        <f>+'CF 2018'!O15</f>
        <v>1619417259.2310407</v>
      </c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118">
        <v>1250000000</v>
      </c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</row>
    <row r="15" spans="1:90" s="124" customFormat="1" ht="15" customHeight="1">
      <c r="A15" s="265"/>
      <c r="B15" s="587" t="s">
        <v>14</v>
      </c>
      <c r="C15" s="587"/>
      <c r="D15" s="264">
        <f>+D227</f>
        <v>692758868.44827855</v>
      </c>
      <c r="E15" s="264">
        <f t="shared" ref="E15:O15" si="4">+E227</f>
        <v>819942224.17645049</v>
      </c>
      <c r="F15" s="264">
        <f t="shared" si="4"/>
        <v>836341068.65997946</v>
      </c>
      <c r="G15" s="264">
        <f t="shared" si="4"/>
        <v>802887425.9135803</v>
      </c>
      <c r="H15" s="264">
        <f t="shared" si="4"/>
        <v>810916300.17271614</v>
      </c>
      <c r="I15" s="143">
        <f t="shared" si="4"/>
        <v>819025463.17444324</v>
      </c>
      <c r="J15" s="143">
        <f t="shared" si="4"/>
        <v>802644953.91095436</v>
      </c>
      <c r="K15" s="143">
        <f t="shared" si="4"/>
        <v>818697852.98917341</v>
      </c>
      <c r="L15" s="143">
        <f t="shared" si="4"/>
        <v>835071810.04895687</v>
      </c>
      <c r="M15" s="143">
        <f t="shared" si="4"/>
        <v>851773246.24993598</v>
      </c>
      <c r="N15" s="143">
        <f t="shared" si="4"/>
        <v>885844176.09993339</v>
      </c>
      <c r="O15" s="143">
        <f t="shared" si="4"/>
        <v>903561059.62193203</v>
      </c>
      <c r="P15" s="145">
        <f t="shared" ref="P15:P21" si="5">SUM(D15:O15)</f>
        <v>9879464449.4663353</v>
      </c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82">
        <f>+'[5]CF 2019'!P15</f>
        <v>5000299319.9299412</v>
      </c>
      <c r="BN15" s="80">
        <f>+'CF 2018'!O16</f>
        <v>721857291.21278775</v>
      </c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118">
        <v>350000000</v>
      </c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</row>
    <row r="16" spans="1:90" s="182" customFormat="1" ht="15" customHeight="1">
      <c r="A16" s="265"/>
      <c r="B16" s="595" t="str">
        <f>+'CF 2018'!B17:C17</f>
        <v>Pendapatan Alat Jantung</v>
      </c>
      <c r="C16" s="596"/>
      <c r="D16" s="264">
        <f>'CF 2019'!O16</f>
        <v>375000000</v>
      </c>
      <c r="E16" s="264">
        <f>D16</f>
        <v>375000000</v>
      </c>
      <c r="F16" s="264">
        <f t="shared" ref="F16:O16" si="6">E16</f>
        <v>375000000</v>
      </c>
      <c r="G16" s="264">
        <f t="shared" si="6"/>
        <v>375000000</v>
      </c>
      <c r="H16" s="264">
        <f t="shared" si="6"/>
        <v>375000000</v>
      </c>
      <c r="I16" s="143">
        <f t="shared" si="6"/>
        <v>375000000</v>
      </c>
      <c r="J16" s="143">
        <f t="shared" si="6"/>
        <v>375000000</v>
      </c>
      <c r="K16" s="143">
        <f t="shared" si="6"/>
        <v>375000000</v>
      </c>
      <c r="L16" s="143">
        <f t="shared" si="6"/>
        <v>375000000</v>
      </c>
      <c r="M16" s="143">
        <f t="shared" si="6"/>
        <v>375000000</v>
      </c>
      <c r="N16" s="143">
        <f t="shared" si="6"/>
        <v>375000000</v>
      </c>
      <c r="O16" s="143">
        <f t="shared" si="6"/>
        <v>375000000</v>
      </c>
      <c r="P16" s="145">
        <f t="shared" si="5"/>
        <v>4500000000</v>
      </c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90"/>
      <c r="BF16" s="190"/>
      <c r="BG16" s="190"/>
      <c r="BH16" s="190"/>
      <c r="BI16" s="190"/>
      <c r="BJ16" s="190"/>
      <c r="BK16" s="190"/>
      <c r="BL16" s="190"/>
      <c r="BM16" s="187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81"/>
      <c r="BY16" s="188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</row>
    <row r="17" spans="1:92" s="124" customFormat="1" ht="33" customHeight="1">
      <c r="A17" s="265"/>
      <c r="B17" s="587" t="s">
        <v>244</v>
      </c>
      <c r="C17" s="587"/>
      <c r="D17" s="264">
        <f>+'CF 2019'!N380</f>
        <v>5296676331.8964739</v>
      </c>
      <c r="E17" s="264">
        <f>+'CF 2019'!O380</f>
        <v>5402609858.5344038</v>
      </c>
      <c r="F17" s="264">
        <f>+D229</f>
        <v>5121477937.4730072</v>
      </c>
      <c r="G17" s="264">
        <f t="shared" ref="G17:O17" si="7">+E229</f>
        <v>5714298888.834466</v>
      </c>
      <c r="H17" s="264">
        <f t="shared" si="7"/>
        <v>5828584866.6111555</v>
      </c>
      <c r="I17" s="143">
        <f t="shared" si="7"/>
        <v>5595441471.9467096</v>
      </c>
      <c r="J17" s="143">
        <f t="shared" si="7"/>
        <v>5651395886.6661768</v>
      </c>
      <c r="K17" s="143">
        <f t="shared" si="7"/>
        <v>5707909845.5328388</v>
      </c>
      <c r="L17" s="143">
        <f t="shared" si="7"/>
        <v>5593751648.6221819</v>
      </c>
      <c r="M17" s="143">
        <f t="shared" si="7"/>
        <v>5705626681.5946255</v>
      </c>
      <c r="N17" s="143">
        <f t="shared" si="7"/>
        <v>5819739215.2265177</v>
      </c>
      <c r="O17" s="143">
        <f t="shared" si="7"/>
        <v>5936133999.5310478</v>
      </c>
      <c r="P17" s="145">
        <f t="shared" si="5"/>
        <v>67373646632.469604</v>
      </c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163"/>
      <c r="BK17" s="163"/>
      <c r="BL17" s="163"/>
      <c r="BM17" s="82">
        <f>+'[5]CF 2019'!P17</f>
        <v>31333990828.66288</v>
      </c>
      <c r="BN17" s="80">
        <f>+'CF 2018'!O18</f>
        <v>2953023962.2944031</v>
      </c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118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</row>
    <row r="18" spans="1:92" s="124" customFormat="1" ht="30.75" customHeight="1">
      <c r="A18" s="265"/>
      <c r="B18" s="587" t="s">
        <v>245</v>
      </c>
      <c r="C18" s="587"/>
      <c r="D18" s="264">
        <f>+'CF 2019'!O381</f>
        <v>813930210.81012309</v>
      </c>
      <c r="E18" s="264">
        <f>+D230</f>
        <v>771576280.06802213</v>
      </c>
      <c r="F18" s="264">
        <f>+E230</f>
        <v>895323231.89113545</v>
      </c>
      <c r="G18" s="264">
        <f t="shared" ref="G18:O18" si="8">+F230</f>
        <v>913229696.5289582</v>
      </c>
      <c r="H18" s="264">
        <f t="shared" si="8"/>
        <v>876700508.66779983</v>
      </c>
      <c r="I18" s="143">
        <f t="shared" si="8"/>
        <v>885467513.75447786</v>
      </c>
      <c r="J18" s="143">
        <f t="shared" si="8"/>
        <v>894322188.89202261</v>
      </c>
      <c r="K18" s="143">
        <f t="shared" si="8"/>
        <v>876435745.11418211</v>
      </c>
      <c r="L18" s="143">
        <f t="shared" si="8"/>
        <v>893964460.01646578</v>
      </c>
      <c r="M18" s="143">
        <f t="shared" si="8"/>
        <v>911843749.21679509</v>
      </c>
      <c r="N18" s="143">
        <f t="shared" si="8"/>
        <v>930080624.20113099</v>
      </c>
      <c r="O18" s="143">
        <f t="shared" si="8"/>
        <v>967283849.16917622</v>
      </c>
      <c r="P18" s="145">
        <f t="shared" si="5"/>
        <v>10630158058.330292</v>
      </c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82">
        <f>+'[5]CF 2019'!P18</f>
        <v>4555919999.2227621</v>
      </c>
      <c r="BN18" s="80">
        <f>+'CF 2018'!O19</f>
        <v>436078177.23139209</v>
      </c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118">
        <v>2450000000</v>
      </c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</row>
    <row r="19" spans="1:92" s="124" customFormat="1" ht="25.5" customHeight="1">
      <c r="A19" s="265"/>
      <c r="B19" s="595" t="str">
        <f>'CF 2018'!B20:C20</f>
        <v>Penerimaan Pinjaman Dari Pihak Ke 3</v>
      </c>
      <c r="C19" s="596"/>
      <c r="D19" s="264">
        <f>+'CF 2019'!O19*1.1</f>
        <v>0</v>
      </c>
      <c r="E19" s="264">
        <f t="shared" ref="E19:O19" si="9">+D19+($E$8*D19%)</f>
        <v>0</v>
      </c>
      <c r="F19" s="264">
        <f t="shared" si="9"/>
        <v>0</v>
      </c>
      <c r="G19" s="264">
        <f t="shared" si="9"/>
        <v>0</v>
      </c>
      <c r="H19" s="264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3">
        <f t="shared" si="9"/>
        <v>0</v>
      </c>
      <c r="O19" s="143">
        <f t="shared" si="9"/>
        <v>0</v>
      </c>
      <c r="P19" s="145">
        <f t="shared" si="5"/>
        <v>0</v>
      </c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>
        <f>+P19+'CF 2018'!P20+'CF 2017'!P24</f>
        <v>25000000000</v>
      </c>
      <c r="BD19" s="163"/>
      <c r="BE19" s="163"/>
      <c r="BF19" s="163"/>
      <c r="BG19" s="163"/>
      <c r="BH19" s="163"/>
      <c r="BI19" s="163"/>
      <c r="BJ19" s="163"/>
      <c r="BK19" s="163"/>
      <c r="BL19" s="163"/>
      <c r="BM19" s="82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118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</row>
    <row r="20" spans="1:92" s="124" customFormat="1" ht="15" customHeight="1">
      <c r="A20" s="265"/>
      <c r="B20" s="587" t="s">
        <v>219</v>
      </c>
      <c r="C20" s="587"/>
      <c r="D20" s="264">
        <f>'CF 2019'!O20</f>
        <v>323357786.57400852</v>
      </c>
      <c r="E20" s="264">
        <f>+D20+(E8*D20%)</f>
        <v>323357786.57400852</v>
      </c>
      <c r="F20" s="264">
        <f t="shared" ref="F20:O20" si="10">+E20+(F8*E20%)</f>
        <v>323357786.57400852</v>
      </c>
      <c r="G20" s="264">
        <f t="shared" si="10"/>
        <v>323357786.57400852</v>
      </c>
      <c r="H20" s="264">
        <f t="shared" si="10"/>
        <v>323357786.57400852</v>
      </c>
      <c r="I20" s="143">
        <f t="shared" si="10"/>
        <v>329824942.30548871</v>
      </c>
      <c r="J20" s="143">
        <f t="shared" si="10"/>
        <v>329824942.30548871</v>
      </c>
      <c r="K20" s="143">
        <f t="shared" si="10"/>
        <v>329824942.30548871</v>
      </c>
      <c r="L20" s="143">
        <f t="shared" si="10"/>
        <v>329824942.30548871</v>
      </c>
      <c r="M20" s="143">
        <f t="shared" si="10"/>
        <v>329824942.30548871</v>
      </c>
      <c r="N20" s="143">
        <f t="shared" si="10"/>
        <v>329824942.30548871</v>
      </c>
      <c r="O20" s="143">
        <f t="shared" si="10"/>
        <v>329824942.30548871</v>
      </c>
      <c r="P20" s="145">
        <f t="shared" si="5"/>
        <v>3925563529.0084629</v>
      </c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82">
        <f>+'[5]CF 2019'!P19</f>
        <v>3764536779.1717372</v>
      </c>
      <c r="BN20" s="80">
        <f>+'CF 2018'!O21</f>
        <v>306926224.86549902</v>
      </c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118">
        <v>280000000</v>
      </c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</row>
    <row r="21" spans="1:92" s="124" customFormat="1" ht="15" customHeight="1">
      <c r="A21" s="265"/>
      <c r="B21" s="587" t="s">
        <v>220</v>
      </c>
      <c r="C21" s="587"/>
      <c r="D21" s="264">
        <f>'CF 2017'!O26*1.1</f>
        <v>0</v>
      </c>
      <c r="E21" s="264"/>
      <c r="F21" s="264">
        <f t="shared" ref="F21:G21" si="11">E21+(E21*$E$8%)</f>
        <v>0</v>
      </c>
      <c r="G21" s="264">
        <f t="shared" si="11"/>
        <v>0</v>
      </c>
      <c r="H21" s="264"/>
      <c r="I21" s="143"/>
      <c r="J21" s="143"/>
      <c r="K21" s="143"/>
      <c r="L21" s="143"/>
      <c r="M21" s="143"/>
      <c r="N21" s="143"/>
      <c r="O21" s="143"/>
      <c r="P21" s="145">
        <f t="shared" si="5"/>
        <v>0</v>
      </c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82">
        <f>+'[5]CF 2019'!P20</f>
        <v>0</v>
      </c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118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</row>
    <row r="22" spans="1:92" s="124" customFormat="1" ht="15" customHeight="1">
      <c r="A22" s="265"/>
      <c r="B22" s="594" t="s">
        <v>216</v>
      </c>
      <c r="C22" s="594"/>
      <c r="D22" s="267">
        <f>SUM(D14:D21)</f>
        <v>10034164812.856363</v>
      </c>
      <c r="E22" s="267">
        <f t="shared" ref="E22:P22" si="12">SUM(E14:E21)</f>
        <v>10689857825.237326</v>
      </c>
      <c r="F22" s="267">
        <f t="shared" si="12"/>
        <v>10608819134.000259</v>
      </c>
      <c r="G22" s="267">
        <f t="shared" si="12"/>
        <v>11063800142.877056</v>
      </c>
      <c r="H22" s="267">
        <f t="shared" si="12"/>
        <v>11178936070.501984</v>
      </c>
      <c r="I22" s="147">
        <f t="shared" si="12"/>
        <v>10998779765.742187</v>
      </c>
      <c r="J22" s="147">
        <f t="shared" si="12"/>
        <v>10987327938.844488</v>
      </c>
      <c r="K22" s="147">
        <f t="shared" si="12"/>
        <v>11100691152.352924</v>
      </c>
      <c r="L22" s="147">
        <f t="shared" si="12"/>
        <v>11080292082.732561</v>
      </c>
      <c r="M22" s="147">
        <f t="shared" si="12"/>
        <v>11287801425.541101</v>
      </c>
      <c r="N22" s="147">
        <f t="shared" si="12"/>
        <v>11578771076.254297</v>
      </c>
      <c r="O22" s="147">
        <f t="shared" si="12"/>
        <v>11814851611.417295</v>
      </c>
      <c r="P22" s="149">
        <f t="shared" si="12"/>
        <v>132424093038.35785</v>
      </c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82">
        <f>SUM(BM14:BM21)</f>
        <v>63640489686.550262</v>
      </c>
      <c r="BN22" s="82"/>
      <c r="BO22" s="82"/>
      <c r="BP22" s="82">
        <f>+BN18*10%</f>
        <v>43607817.723139212</v>
      </c>
      <c r="BQ22" s="82"/>
      <c r="BR22" s="82"/>
      <c r="BS22" s="82"/>
      <c r="BT22" s="82"/>
      <c r="BU22" s="82"/>
      <c r="BV22" s="82"/>
      <c r="BW22" s="82"/>
      <c r="BX22" s="82"/>
      <c r="BY22" s="119">
        <v>4330000000</v>
      </c>
      <c r="BZ22" s="82">
        <f>SUM(D22:O22)</f>
        <v>132424093038.35785</v>
      </c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</row>
    <row r="23" spans="1:92" s="124" customFormat="1">
      <c r="A23" s="265"/>
      <c r="B23" s="268"/>
      <c r="C23" s="268"/>
      <c r="D23" s="267"/>
      <c r="E23" s="267"/>
      <c r="F23" s="267"/>
      <c r="G23" s="267"/>
      <c r="H23" s="267"/>
      <c r="I23" s="147"/>
      <c r="J23" s="147"/>
      <c r="K23" s="147"/>
      <c r="L23" s="147"/>
      <c r="M23" s="147"/>
      <c r="N23" s="147"/>
      <c r="O23" s="147"/>
      <c r="P23" s="149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82"/>
      <c r="BN23" s="82">
        <f>+P22-BM22</f>
        <v>68783603351.807587</v>
      </c>
      <c r="BO23" s="82"/>
      <c r="BP23" s="82">
        <f>+BN18+BP22</f>
        <v>479685994.95453131</v>
      </c>
      <c r="BQ23" s="82"/>
      <c r="BR23" s="82"/>
      <c r="BS23" s="82"/>
      <c r="BT23" s="82"/>
      <c r="BU23" s="82"/>
      <c r="BV23" s="82"/>
      <c r="BW23" s="82"/>
      <c r="BX23" s="82"/>
      <c r="BY23" s="119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</row>
    <row r="24" spans="1:92" s="124" customFormat="1" ht="29.25" customHeight="1">
      <c r="A24" s="265" t="s">
        <v>19</v>
      </c>
      <c r="B24" s="594" t="s">
        <v>217</v>
      </c>
      <c r="C24" s="594"/>
      <c r="D24" s="267">
        <f>+D22+D11</f>
        <v>11452494437.042406</v>
      </c>
      <c r="E24" s="267">
        <f t="shared" ref="E24:O24" si="13">+E22+E11</f>
        <v>12338163451.48394</v>
      </c>
      <c r="F24" s="267">
        <f t="shared" si="13"/>
        <v>13256071078.688408</v>
      </c>
      <c r="G24" s="267">
        <f t="shared" si="13"/>
        <v>13689959714.769672</v>
      </c>
      <c r="H24" s="267">
        <f t="shared" si="13"/>
        <v>14167509866.684587</v>
      </c>
      <c r="I24" s="147">
        <f t="shared" si="13"/>
        <v>14536378125.630983</v>
      </c>
      <c r="J24" s="147">
        <f t="shared" si="13"/>
        <v>13120808003.786863</v>
      </c>
      <c r="K24" s="147">
        <f t="shared" si="13"/>
        <v>13368601095.451178</v>
      </c>
      <c r="L24" s="147">
        <f t="shared" si="13"/>
        <v>13595995117.495129</v>
      </c>
      <c r="M24" s="147">
        <f t="shared" si="13"/>
        <v>14030898482.34762</v>
      </c>
      <c r="N24" s="147">
        <f t="shared" si="13"/>
        <v>13041146497.913307</v>
      </c>
      <c r="O24" s="147">
        <f t="shared" si="13"/>
        <v>12587475048.641993</v>
      </c>
      <c r="P24" s="149">
        <f>P22+D11</f>
        <v>133842422662.54388</v>
      </c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119">
        <v>3645407885.8400002</v>
      </c>
      <c r="BZ24" s="82">
        <v>80274020647.660248</v>
      </c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</row>
    <row r="25" spans="1:92" s="124" customFormat="1">
      <c r="A25" s="265"/>
      <c r="B25" s="266"/>
      <c r="C25" s="268"/>
      <c r="D25" s="264"/>
      <c r="E25" s="264"/>
      <c r="F25" s="264"/>
      <c r="G25" s="264"/>
      <c r="H25" s="264"/>
      <c r="I25" s="143"/>
      <c r="J25" s="143"/>
      <c r="K25" s="143"/>
      <c r="L25" s="143"/>
      <c r="M25" s="143"/>
      <c r="N25" s="143"/>
      <c r="O25" s="143"/>
      <c r="P25" s="145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118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</row>
    <row r="26" spans="1:92" s="124" customFormat="1">
      <c r="A26" s="265"/>
      <c r="B26" s="594" t="s">
        <v>20</v>
      </c>
      <c r="C26" s="594"/>
      <c r="D26" s="594"/>
      <c r="E26" s="264"/>
      <c r="F26" s="264"/>
      <c r="G26" s="264"/>
      <c r="H26" s="264"/>
      <c r="I26" s="143"/>
      <c r="J26" s="143"/>
      <c r="K26" s="143"/>
      <c r="L26" s="143"/>
      <c r="M26" s="143"/>
      <c r="N26" s="143"/>
      <c r="O26" s="143"/>
      <c r="P26" s="145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80"/>
      <c r="BN26" s="80">
        <f>+BM22-P22</f>
        <v>-68783603351.807587</v>
      </c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118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</row>
    <row r="27" spans="1:92" s="124" customFormat="1">
      <c r="A27" s="265"/>
      <c r="B27" s="269" t="s">
        <v>21</v>
      </c>
      <c r="C27" s="270"/>
      <c r="D27" s="264"/>
      <c r="E27" s="264"/>
      <c r="F27" s="264"/>
      <c r="G27" s="264"/>
      <c r="H27" s="264"/>
      <c r="I27" s="143"/>
      <c r="J27" s="143"/>
      <c r="K27" s="143"/>
      <c r="L27" s="143"/>
      <c r="M27" s="143"/>
      <c r="N27" s="143"/>
      <c r="O27" s="143"/>
      <c r="P27" s="145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118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</row>
    <row r="28" spans="1:92" s="124" customFormat="1">
      <c r="A28" s="265"/>
      <c r="B28" s="269"/>
      <c r="C28" s="270"/>
      <c r="D28" s="264"/>
      <c r="E28" s="264"/>
      <c r="F28" s="264"/>
      <c r="G28" s="264"/>
      <c r="H28" s="264"/>
      <c r="I28" s="143"/>
      <c r="J28" s="143"/>
      <c r="K28" s="143"/>
      <c r="L28" s="143"/>
      <c r="M28" s="143"/>
      <c r="N28" s="143"/>
      <c r="O28" s="143"/>
      <c r="P28" s="145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118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</row>
    <row r="29" spans="1:92" s="124" customFormat="1">
      <c r="A29" s="265"/>
      <c r="B29" s="270">
        <v>6400</v>
      </c>
      <c r="C29" s="270" t="s">
        <v>22</v>
      </c>
      <c r="D29" s="264">
        <v>1550000000</v>
      </c>
      <c r="E29" s="264">
        <f>D29</f>
        <v>1550000000</v>
      </c>
      <c r="F29" s="264">
        <f t="shared" ref="F29:O29" si="14">E29</f>
        <v>1550000000</v>
      </c>
      <c r="G29" s="264">
        <f t="shared" si="14"/>
        <v>1550000000</v>
      </c>
      <c r="H29" s="264">
        <f t="shared" si="14"/>
        <v>1550000000</v>
      </c>
      <c r="I29" s="143">
        <f t="shared" si="14"/>
        <v>1550000000</v>
      </c>
      <c r="J29" s="143">
        <f t="shared" si="14"/>
        <v>1550000000</v>
      </c>
      <c r="K29" s="143">
        <f t="shared" si="14"/>
        <v>1550000000</v>
      </c>
      <c r="L29" s="143">
        <f t="shared" si="14"/>
        <v>1550000000</v>
      </c>
      <c r="M29" s="143">
        <f t="shared" si="14"/>
        <v>1550000000</v>
      </c>
      <c r="N29" s="143">
        <f t="shared" si="14"/>
        <v>1550000000</v>
      </c>
      <c r="O29" s="143">
        <f t="shared" si="14"/>
        <v>1550000000</v>
      </c>
      <c r="P29" s="145">
        <f t="shared" ref="P29:P92" si="15">SUM(D29:O29)</f>
        <v>18600000000</v>
      </c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118">
        <v>630000000</v>
      </c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N29" s="129">
        <v>500</v>
      </c>
    </row>
    <row r="30" spans="1:92" s="124" customFormat="1">
      <c r="A30" s="265"/>
      <c r="B30" s="270">
        <v>6401</v>
      </c>
      <c r="C30" s="270" t="s">
        <v>23</v>
      </c>
      <c r="D30" s="264">
        <f>+'CF 2019'!O30*1.08</f>
        <v>11722683.786995141</v>
      </c>
      <c r="E30" s="264">
        <f>D30+(D30*$E$8%)</f>
        <v>11722683.786995141</v>
      </c>
      <c r="F30" s="264">
        <f>E30+(E30*$F$8%)</f>
        <v>11722683.786995141</v>
      </c>
      <c r="G30" s="264">
        <f>F30+(F30*$G$8%)</f>
        <v>11722683.786995141</v>
      </c>
      <c r="H30" s="264">
        <f>G30+(G30*$H$8%)</f>
        <v>11722683.786995141</v>
      </c>
      <c r="I30" s="143">
        <f>H30+(H30*$I$8%)</f>
        <v>11957137.462735044</v>
      </c>
      <c r="J30" s="143">
        <f>I30+(I30*$J$8%)</f>
        <v>11957137.462735044</v>
      </c>
      <c r="K30" s="143">
        <f t="shared" ref="K30:K93" si="16">J30+(J30*$K$8%)</f>
        <v>11957137.462735044</v>
      </c>
      <c r="L30" s="143">
        <f t="shared" ref="L30:O45" si="17">K30+(K30*$J$8%)</f>
        <v>11957137.462735044</v>
      </c>
      <c r="M30" s="143">
        <f t="shared" si="17"/>
        <v>11957137.462735044</v>
      </c>
      <c r="N30" s="143">
        <f t="shared" si="17"/>
        <v>11957137.462735044</v>
      </c>
      <c r="O30" s="143">
        <f t="shared" si="17"/>
        <v>11957137.462735044</v>
      </c>
      <c r="P30" s="145">
        <f t="shared" si="15"/>
        <v>142313381.17412102</v>
      </c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118">
        <v>5500000</v>
      </c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N30" s="129">
        <v>5.5</v>
      </c>
    </row>
    <row r="31" spans="1:92" s="124" customFormat="1">
      <c r="A31" s="265"/>
      <c r="B31" s="270">
        <v>6402</v>
      </c>
      <c r="C31" s="270" t="s">
        <v>24</v>
      </c>
      <c r="D31" s="264">
        <f>+'CF 2019'!O31*1.08</f>
        <v>4192774.7657734551</v>
      </c>
      <c r="E31" s="264">
        <f t="shared" ref="E31:E94" si="18">D31+(D31*$E$8%)</f>
        <v>4192774.7657734551</v>
      </c>
      <c r="F31" s="264">
        <f t="shared" ref="F31:F94" si="19">E31+(E31*$F$8%)</f>
        <v>4192774.7657734551</v>
      </c>
      <c r="G31" s="264">
        <f t="shared" ref="G31:G94" si="20">F31+(F31*$G$8%)</f>
        <v>4192774.7657734551</v>
      </c>
      <c r="H31" s="264">
        <f t="shared" ref="H31:H94" si="21">G31+(G31*$H$8%)</f>
        <v>4192774.7657734551</v>
      </c>
      <c r="I31" s="143">
        <f>+'CF 2018'!J32*1.1</f>
        <v>92446956.211500034</v>
      </c>
      <c r="J31" s="143">
        <f t="shared" ref="J31:J94" si="22">I31+(I31*$J$8%)</f>
        <v>92446956.211500034</v>
      </c>
      <c r="K31" s="143">
        <f t="shared" si="16"/>
        <v>92446956.211500034</v>
      </c>
      <c r="L31" s="143">
        <f t="shared" si="17"/>
        <v>92446956.211500034</v>
      </c>
      <c r="M31" s="143">
        <f t="shared" si="17"/>
        <v>92446956.211500034</v>
      </c>
      <c r="N31" s="143">
        <f t="shared" si="17"/>
        <v>92446956.211500034</v>
      </c>
      <c r="O31" s="143">
        <f t="shared" si="17"/>
        <v>92446956.211500034</v>
      </c>
      <c r="P31" s="145">
        <f t="shared" si="15"/>
        <v>668092567.30936754</v>
      </c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118">
        <v>2000000</v>
      </c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N31" s="129">
        <v>29.582894249999995</v>
      </c>
    </row>
    <row r="32" spans="1:92" s="124" customFormat="1">
      <c r="A32" s="265"/>
      <c r="B32" s="270">
        <v>6403</v>
      </c>
      <c r="C32" s="270" t="s">
        <v>25</v>
      </c>
      <c r="D32" s="264">
        <f>+'CF 2019'!O32*1.08</f>
        <v>0</v>
      </c>
      <c r="E32" s="264">
        <f t="shared" si="18"/>
        <v>0</v>
      </c>
      <c r="F32" s="264">
        <f t="shared" si="19"/>
        <v>0</v>
      </c>
      <c r="G32" s="264">
        <f t="shared" si="20"/>
        <v>0</v>
      </c>
      <c r="H32" s="264">
        <f t="shared" si="21"/>
        <v>0</v>
      </c>
      <c r="I32" s="143">
        <f>I29</f>
        <v>1550000000</v>
      </c>
      <c r="J32" s="143"/>
      <c r="K32" s="143">
        <f t="shared" si="16"/>
        <v>0</v>
      </c>
      <c r="L32" s="143">
        <f t="shared" si="17"/>
        <v>0</v>
      </c>
      <c r="M32" s="143">
        <f t="shared" si="17"/>
        <v>0</v>
      </c>
      <c r="N32" s="143">
        <f t="shared" si="17"/>
        <v>0</v>
      </c>
      <c r="O32" s="143">
        <f t="shared" si="17"/>
        <v>0</v>
      </c>
      <c r="P32" s="145">
        <f t="shared" si="15"/>
        <v>1550000000</v>
      </c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118">
        <v>0</v>
      </c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N32" s="129"/>
    </row>
    <row r="33" spans="1:92" s="124" customFormat="1">
      <c r="A33" s="265"/>
      <c r="B33" s="270">
        <v>6404</v>
      </c>
      <c r="C33" s="270" t="s">
        <v>26</v>
      </c>
      <c r="D33" s="264">
        <f>+'CF 2019'!O33*1.08</f>
        <v>0</v>
      </c>
      <c r="E33" s="264">
        <f t="shared" si="18"/>
        <v>0</v>
      </c>
      <c r="F33" s="264">
        <f t="shared" si="19"/>
        <v>0</v>
      </c>
      <c r="G33" s="264">
        <f t="shared" si="20"/>
        <v>0</v>
      </c>
      <c r="H33" s="264">
        <f t="shared" si="21"/>
        <v>0</v>
      </c>
      <c r="I33" s="143">
        <f t="shared" ref="I33:I96" si="23">H33+(H33*$I$8%)</f>
        <v>0</v>
      </c>
      <c r="J33" s="143">
        <f t="shared" si="22"/>
        <v>0</v>
      </c>
      <c r="K33" s="143">
        <f t="shared" si="16"/>
        <v>0</v>
      </c>
      <c r="L33" s="143">
        <f t="shared" si="17"/>
        <v>0</v>
      </c>
      <c r="M33" s="143">
        <f t="shared" si="17"/>
        <v>0</v>
      </c>
      <c r="N33" s="143">
        <f t="shared" si="17"/>
        <v>0</v>
      </c>
      <c r="O33" s="143">
        <f t="shared" si="17"/>
        <v>0</v>
      </c>
      <c r="P33" s="145">
        <f t="shared" si="15"/>
        <v>0</v>
      </c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118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N33" s="129">
        <v>120</v>
      </c>
    </row>
    <row r="34" spans="1:92" s="124" customFormat="1">
      <c r="A34" s="265"/>
      <c r="B34" s="270">
        <v>6405</v>
      </c>
      <c r="C34" s="270" t="s">
        <v>27</v>
      </c>
      <c r="D34" s="264">
        <f>+'CF 2019'!O34*1.08</f>
        <v>745988.96826332761</v>
      </c>
      <c r="E34" s="264">
        <f t="shared" si="18"/>
        <v>745988.96826332761</v>
      </c>
      <c r="F34" s="264">
        <f t="shared" si="19"/>
        <v>745988.96826332761</v>
      </c>
      <c r="G34" s="264">
        <f t="shared" si="20"/>
        <v>745988.96826332761</v>
      </c>
      <c r="H34" s="264">
        <f t="shared" si="21"/>
        <v>745988.96826332761</v>
      </c>
      <c r="I34" s="143">
        <f t="shared" si="23"/>
        <v>760908.74762859417</v>
      </c>
      <c r="J34" s="143">
        <f t="shared" si="22"/>
        <v>760908.74762859417</v>
      </c>
      <c r="K34" s="143">
        <f t="shared" si="16"/>
        <v>760908.74762859417</v>
      </c>
      <c r="L34" s="143">
        <f t="shared" si="17"/>
        <v>760908.74762859417</v>
      </c>
      <c r="M34" s="143">
        <f t="shared" si="17"/>
        <v>760908.74762859417</v>
      </c>
      <c r="N34" s="143">
        <f t="shared" si="17"/>
        <v>760908.74762859417</v>
      </c>
      <c r="O34" s="143">
        <f t="shared" si="17"/>
        <v>760908.74762859417</v>
      </c>
      <c r="P34" s="145">
        <f t="shared" si="15"/>
        <v>9056306.0747167952</v>
      </c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118">
        <v>250000</v>
      </c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N34" s="129">
        <v>0.25</v>
      </c>
    </row>
    <row r="35" spans="1:92" s="124" customFormat="1">
      <c r="A35" s="265"/>
      <c r="B35" s="270">
        <v>6406</v>
      </c>
      <c r="C35" s="270" t="s">
        <v>28</v>
      </c>
      <c r="D35" s="264">
        <f>+'CF 2019'!O35*1.08</f>
        <v>0</v>
      </c>
      <c r="E35" s="264">
        <f t="shared" si="18"/>
        <v>0</v>
      </c>
      <c r="F35" s="264">
        <f t="shared" si="19"/>
        <v>0</v>
      </c>
      <c r="G35" s="264">
        <f t="shared" si="20"/>
        <v>0</v>
      </c>
      <c r="H35" s="264">
        <f t="shared" si="21"/>
        <v>0</v>
      </c>
      <c r="I35" s="143">
        <f t="shared" si="23"/>
        <v>0</v>
      </c>
      <c r="J35" s="143">
        <f t="shared" si="22"/>
        <v>0</v>
      </c>
      <c r="K35" s="143">
        <f t="shared" si="16"/>
        <v>0</v>
      </c>
      <c r="L35" s="143">
        <f t="shared" si="17"/>
        <v>0</v>
      </c>
      <c r="M35" s="143">
        <f t="shared" si="17"/>
        <v>0</v>
      </c>
      <c r="N35" s="143">
        <f t="shared" si="17"/>
        <v>0</v>
      </c>
      <c r="O35" s="143">
        <f t="shared" si="17"/>
        <v>0</v>
      </c>
      <c r="P35" s="145">
        <f t="shared" si="15"/>
        <v>0</v>
      </c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118">
        <v>0</v>
      </c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N35" s="129"/>
    </row>
    <row r="36" spans="1:92" s="124" customFormat="1">
      <c r="A36" s="265"/>
      <c r="B36" s="270">
        <v>6407</v>
      </c>
      <c r="C36" s="270" t="s">
        <v>29</v>
      </c>
      <c r="D36" s="264">
        <f>+'CF 2019'!O36*1.08</f>
        <v>2131397.0521809356</v>
      </c>
      <c r="E36" s="264">
        <f t="shared" si="18"/>
        <v>2131397.0521809356</v>
      </c>
      <c r="F36" s="264">
        <f t="shared" si="19"/>
        <v>2131397.0521809356</v>
      </c>
      <c r="G36" s="264">
        <f t="shared" si="20"/>
        <v>2131397.0521809356</v>
      </c>
      <c r="H36" s="264">
        <f t="shared" si="21"/>
        <v>2131397.0521809356</v>
      </c>
      <c r="I36" s="143">
        <f t="shared" si="23"/>
        <v>2174024.9932245542</v>
      </c>
      <c r="J36" s="143">
        <f t="shared" si="22"/>
        <v>2174024.9932245542</v>
      </c>
      <c r="K36" s="143">
        <f t="shared" si="16"/>
        <v>2174024.9932245542</v>
      </c>
      <c r="L36" s="143">
        <f t="shared" si="17"/>
        <v>2174024.9932245542</v>
      </c>
      <c r="M36" s="143">
        <f t="shared" si="17"/>
        <v>2174024.9932245542</v>
      </c>
      <c r="N36" s="143">
        <f t="shared" si="17"/>
        <v>2174024.9932245542</v>
      </c>
      <c r="O36" s="143">
        <f t="shared" si="17"/>
        <v>2174024.9932245542</v>
      </c>
      <c r="P36" s="145">
        <f t="shared" si="15"/>
        <v>25875160.213476554</v>
      </c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118">
        <v>1000000</v>
      </c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N36" s="129">
        <v>1</v>
      </c>
    </row>
    <row r="37" spans="1:92" s="124" customFormat="1">
      <c r="A37" s="265"/>
      <c r="B37" s="270">
        <v>6408</v>
      </c>
      <c r="C37" s="270" t="s">
        <v>30</v>
      </c>
      <c r="D37" s="264">
        <f>+'CF 2019'!O37*1.08</f>
        <v>36233749.887075894</v>
      </c>
      <c r="E37" s="264">
        <f t="shared" si="18"/>
        <v>36233749.887075894</v>
      </c>
      <c r="F37" s="264">
        <f t="shared" si="19"/>
        <v>36233749.887075894</v>
      </c>
      <c r="G37" s="264">
        <f t="shared" si="20"/>
        <v>36233749.887075894</v>
      </c>
      <c r="H37" s="264">
        <f t="shared" si="21"/>
        <v>36233749.887075894</v>
      </c>
      <c r="I37" s="143">
        <f t="shared" si="23"/>
        <v>36958424.884817414</v>
      </c>
      <c r="J37" s="143">
        <f t="shared" si="22"/>
        <v>36958424.884817414</v>
      </c>
      <c r="K37" s="143">
        <f t="shared" si="16"/>
        <v>36958424.884817414</v>
      </c>
      <c r="L37" s="143">
        <f t="shared" si="17"/>
        <v>36958424.884817414</v>
      </c>
      <c r="M37" s="143">
        <f t="shared" si="17"/>
        <v>36958424.884817414</v>
      </c>
      <c r="N37" s="143">
        <f t="shared" si="17"/>
        <v>36958424.884817414</v>
      </c>
      <c r="O37" s="143">
        <f t="shared" si="17"/>
        <v>36958424.884817414</v>
      </c>
      <c r="P37" s="145">
        <f t="shared" si="15"/>
        <v>439877723.6291014</v>
      </c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118">
        <v>17000000</v>
      </c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N37" s="129">
        <v>17</v>
      </c>
    </row>
    <row r="38" spans="1:92" s="124" customFormat="1">
      <c r="A38" s="265"/>
      <c r="B38" s="270">
        <v>6409</v>
      </c>
      <c r="C38" s="270" t="s">
        <v>31</v>
      </c>
      <c r="D38" s="264">
        <f>+'CF 2019'!O38*1.08</f>
        <v>1065698.5260904678</v>
      </c>
      <c r="E38" s="264">
        <f t="shared" si="18"/>
        <v>1065698.5260904678</v>
      </c>
      <c r="F38" s="264">
        <f t="shared" si="19"/>
        <v>1065698.5260904678</v>
      </c>
      <c r="G38" s="264">
        <f t="shared" si="20"/>
        <v>1065698.5260904678</v>
      </c>
      <c r="H38" s="264">
        <f t="shared" si="21"/>
        <v>1065698.5260904678</v>
      </c>
      <c r="I38" s="143">
        <f t="shared" si="23"/>
        <v>1087012.4966122771</v>
      </c>
      <c r="J38" s="143">
        <f t="shared" si="22"/>
        <v>1087012.4966122771</v>
      </c>
      <c r="K38" s="143">
        <f t="shared" si="16"/>
        <v>1087012.4966122771</v>
      </c>
      <c r="L38" s="143">
        <f t="shared" si="17"/>
        <v>1087012.4966122771</v>
      </c>
      <c r="M38" s="143">
        <f t="shared" si="17"/>
        <v>1087012.4966122771</v>
      </c>
      <c r="N38" s="143">
        <f t="shared" si="17"/>
        <v>1087012.4966122771</v>
      </c>
      <c r="O38" s="143">
        <f t="shared" si="17"/>
        <v>1087012.4966122771</v>
      </c>
      <c r="P38" s="145">
        <f t="shared" si="15"/>
        <v>12937580.106738277</v>
      </c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118">
        <v>500000</v>
      </c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N38" s="129">
        <v>0.5</v>
      </c>
    </row>
    <row r="39" spans="1:92" s="124" customFormat="1">
      <c r="A39" s="265"/>
      <c r="B39" s="270">
        <v>6410</v>
      </c>
      <c r="C39" s="270" t="s">
        <v>32</v>
      </c>
      <c r="D39" s="264">
        <f>+'CF 2019'!O39*1.08</f>
        <v>106569852.60904679</v>
      </c>
      <c r="E39" s="264">
        <f t="shared" si="18"/>
        <v>106569852.60904679</v>
      </c>
      <c r="F39" s="264">
        <f t="shared" si="19"/>
        <v>106569852.60904679</v>
      </c>
      <c r="G39" s="264">
        <f t="shared" si="20"/>
        <v>106569852.60904679</v>
      </c>
      <c r="H39" s="264">
        <f t="shared" si="21"/>
        <v>106569852.60904679</v>
      </c>
      <c r="I39" s="143">
        <f t="shared" si="23"/>
        <v>108701249.66122772</v>
      </c>
      <c r="J39" s="143">
        <f t="shared" si="22"/>
        <v>108701249.66122772</v>
      </c>
      <c r="K39" s="143">
        <f t="shared" si="16"/>
        <v>108701249.66122772</v>
      </c>
      <c r="L39" s="143">
        <f t="shared" si="17"/>
        <v>108701249.66122772</v>
      </c>
      <c r="M39" s="143">
        <f t="shared" si="17"/>
        <v>108701249.66122772</v>
      </c>
      <c r="N39" s="143">
        <f t="shared" si="17"/>
        <v>108701249.66122772</v>
      </c>
      <c r="O39" s="143">
        <f t="shared" si="17"/>
        <v>108701249.66122772</v>
      </c>
      <c r="P39" s="145">
        <f t="shared" si="15"/>
        <v>1293758010.6738279</v>
      </c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118">
        <v>50000000</v>
      </c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N39" s="129">
        <v>24.756499999999999</v>
      </c>
    </row>
    <row r="40" spans="1:92" s="124" customFormat="1">
      <c r="A40" s="265"/>
      <c r="B40" s="270">
        <v>6411</v>
      </c>
      <c r="C40" s="270" t="s">
        <v>33</v>
      </c>
      <c r="D40" s="264">
        <f>+'CF 2019'!O40*1.08</f>
        <v>3197095.5782714025</v>
      </c>
      <c r="E40" s="264">
        <f t="shared" si="18"/>
        <v>3197095.5782714025</v>
      </c>
      <c r="F40" s="264">
        <f t="shared" si="19"/>
        <v>3197095.5782714025</v>
      </c>
      <c r="G40" s="264">
        <f t="shared" si="20"/>
        <v>3197095.5782714025</v>
      </c>
      <c r="H40" s="264">
        <f t="shared" si="21"/>
        <v>3197095.5782714025</v>
      </c>
      <c r="I40" s="143">
        <f t="shared" si="23"/>
        <v>3261037.4898368306</v>
      </c>
      <c r="J40" s="143">
        <f t="shared" si="22"/>
        <v>3261037.4898368306</v>
      </c>
      <c r="K40" s="143">
        <f t="shared" si="16"/>
        <v>3261037.4898368306</v>
      </c>
      <c r="L40" s="143">
        <f t="shared" si="17"/>
        <v>3261037.4898368306</v>
      </c>
      <c r="M40" s="143">
        <f t="shared" si="17"/>
        <v>3261037.4898368306</v>
      </c>
      <c r="N40" s="143">
        <f t="shared" si="17"/>
        <v>3261037.4898368306</v>
      </c>
      <c r="O40" s="143">
        <f t="shared" si="17"/>
        <v>3261037.4898368306</v>
      </c>
      <c r="P40" s="145">
        <f t="shared" si="15"/>
        <v>38812740.320214823</v>
      </c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3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118">
        <v>1500000</v>
      </c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N40" s="129">
        <v>1.5</v>
      </c>
    </row>
    <row r="41" spans="1:92" s="124" customFormat="1">
      <c r="A41" s="265"/>
      <c r="B41" s="270">
        <v>6412</v>
      </c>
      <c r="C41" s="270" t="s">
        <v>34</v>
      </c>
      <c r="D41" s="264">
        <f>+'CF 2019'!O41*1.08</f>
        <v>127883823.13085608</v>
      </c>
      <c r="E41" s="264">
        <f t="shared" si="18"/>
        <v>127883823.13085608</v>
      </c>
      <c r="F41" s="264">
        <f t="shared" si="19"/>
        <v>127883823.13085608</v>
      </c>
      <c r="G41" s="264">
        <f t="shared" si="20"/>
        <v>127883823.13085608</v>
      </c>
      <c r="H41" s="264">
        <f t="shared" si="21"/>
        <v>127883823.13085608</v>
      </c>
      <c r="I41" s="143">
        <f t="shared" si="23"/>
        <v>130441499.5934732</v>
      </c>
      <c r="J41" s="143">
        <f t="shared" si="22"/>
        <v>130441499.5934732</v>
      </c>
      <c r="K41" s="143">
        <f t="shared" si="16"/>
        <v>130441499.5934732</v>
      </c>
      <c r="L41" s="143">
        <f t="shared" si="17"/>
        <v>130441499.5934732</v>
      </c>
      <c r="M41" s="143">
        <f t="shared" si="17"/>
        <v>130441499.5934732</v>
      </c>
      <c r="N41" s="143">
        <f t="shared" si="17"/>
        <v>130441499.5934732</v>
      </c>
      <c r="O41" s="143">
        <f t="shared" si="17"/>
        <v>130441499.5934732</v>
      </c>
      <c r="P41" s="145">
        <f t="shared" si="15"/>
        <v>1552509612.8085928</v>
      </c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118">
        <v>60000000</v>
      </c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N41" s="129">
        <v>60</v>
      </c>
    </row>
    <row r="42" spans="1:92" s="124" customFormat="1">
      <c r="A42" s="265"/>
      <c r="B42" s="270">
        <v>6413</v>
      </c>
      <c r="C42" s="270" t="s">
        <v>35</v>
      </c>
      <c r="D42" s="264">
        <f>+'CF 2019'!O42*1.08</f>
        <v>18116874.943537947</v>
      </c>
      <c r="E42" s="264">
        <f t="shared" si="18"/>
        <v>18116874.943537947</v>
      </c>
      <c r="F42" s="264">
        <f t="shared" si="19"/>
        <v>18116874.943537947</v>
      </c>
      <c r="G42" s="264">
        <f t="shared" si="20"/>
        <v>18116874.943537947</v>
      </c>
      <c r="H42" s="264">
        <f t="shared" si="21"/>
        <v>18116874.943537947</v>
      </c>
      <c r="I42" s="143">
        <f t="shared" si="23"/>
        <v>18479212.442408707</v>
      </c>
      <c r="J42" s="143">
        <f t="shared" si="22"/>
        <v>18479212.442408707</v>
      </c>
      <c r="K42" s="143">
        <f t="shared" si="16"/>
        <v>18479212.442408707</v>
      </c>
      <c r="L42" s="143">
        <f t="shared" si="17"/>
        <v>18479212.442408707</v>
      </c>
      <c r="M42" s="143">
        <f t="shared" si="17"/>
        <v>18479212.442408707</v>
      </c>
      <c r="N42" s="143">
        <f t="shared" si="17"/>
        <v>18479212.442408707</v>
      </c>
      <c r="O42" s="143">
        <f t="shared" si="17"/>
        <v>18479212.442408707</v>
      </c>
      <c r="P42" s="145">
        <f t="shared" si="15"/>
        <v>219938861.8145507</v>
      </c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118">
        <v>8500000</v>
      </c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N42" s="129">
        <v>8.5</v>
      </c>
    </row>
    <row r="43" spans="1:92" s="124" customFormat="1">
      <c r="A43" s="265"/>
      <c r="B43" s="270">
        <v>6414</v>
      </c>
      <c r="C43" s="270" t="s">
        <v>36</v>
      </c>
      <c r="D43" s="264">
        <f>+'CF 2019'!O43*1.08</f>
        <v>0</v>
      </c>
      <c r="E43" s="264">
        <f t="shared" si="18"/>
        <v>0</v>
      </c>
      <c r="F43" s="264">
        <f t="shared" si="19"/>
        <v>0</v>
      </c>
      <c r="G43" s="264">
        <f t="shared" si="20"/>
        <v>0</v>
      </c>
      <c r="H43" s="264">
        <f t="shared" si="21"/>
        <v>0</v>
      </c>
      <c r="I43" s="143">
        <f t="shared" si="23"/>
        <v>0</v>
      </c>
      <c r="J43" s="143">
        <f t="shared" si="22"/>
        <v>0</v>
      </c>
      <c r="K43" s="143">
        <f t="shared" si="16"/>
        <v>0</v>
      </c>
      <c r="L43" s="143">
        <f t="shared" si="17"/>
        <v>0</v>
      </c>
      <c r="M43" s="143">
        <f t="shared" si="17"/>
        <v>0</v>
      </c>
      <c r="N43" s="143">
        <f t="shared" si="17"/>
        <v>0</v>
      </c>
      <c r="O43" s="143">
        <f t="shared" si="17"/>
        <v>0</v>
      </c>
      <c r="P43" s="145">
        <f t="shared" si="15"/>
        <v>0</v>
      </c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118">
        <v>0</v>
      </c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N43" s="129"/>
    </row>
    <row r="44" spans="1:92" s="124" customFormat="1">
      <c r="A44" s="265"/>
      <c r="B44" s="270">
        <v>6415</v>
      </c>
      <c r="C44" s="270" t="s">
        <v>37</v>
      </c>
      <c r="D44" s="264">
        <f>+'CF 2019'!O44*1.08</f>
        <v>0</v>
      </c>
      <c r="E44" s="264">
        <f t="shared" si="18"/>
        <v>0</v>
      </c>
      <c r="F44" s="264">
        <f t="shared" si="19"/>
        <v>0</v>
      </c>
      <c r="G44" s="264">
        <f t="shared" si="20"/>
        <v>0</v>
      </c>
      <c r="H44" s="264">
        <f t="shared" si="21"/>
        <v>0</v>
      </c>
      <c r="I44" s="143">
        <f t="shared" si="23"/>
        <v>0</v>
      </c>
      <c r="J44" s="143">
        <f t="shared" si="22"/>
        <v>0</v>
      </c>
      <c r="K44" s="143">
        <f t="shared" si="16"/>
        <v>0</v>
      </c>
      <c r="L44" s="143">
        <f t="shared" si="17"/>
        <v>0</v>
      </c>
      <c r="M44" s="143">
        <f t="shared" si="17"/>
        <v>0</v>
      </c>
      <c r="N44" s="143">
        <f t="shared" si="17"/>
        <v>0</v>
      </c>
      <c r="O44" s="143">
        <f t="shared" si="17"/>
        <v>0</v>
      </c>
      <c r="P44" s="145">
        <f t="shared" si="15"/>
        <v>0</v>
      </c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118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N44" s="129">
        <v>2.5</v>
      </c>
    </row>
    <row r="45" spans="1:92" s="124" customFormat="1">
      <c r="A45" s="265"/>
      <c r="B45" s="270">
        <v>6416</v>
      </c>
      <c r="C45" s="270" t="s">
        <v>38</v>
      </c>
      <c r="D45" s="264">
        <f>+'CF 2019'!O45*1.08</f>
        <v>27708161.678352155</v>
      </c>
      <c r="E45" s="264">
        <f t="shared" si="18"/>
        <v>27708161.678352155</v>
      </c>
      <c r="F45" s="264">
        <f t="shared" si="19"/>
        <v>27708161.678352155</v>
      </c>
      <c r="G45" s="264">
        <f t="shared" si="20"/>
        <v>27708161.678352155</v>
      </c>
      <c r="H45" s="264">
        <f t="shared" si="21"/>
        <v>27708161.678352155</v>
      </c>
      <c r="I45" s="143">
        <f t="shared" si="23"/>
        <v>28262324.911919199</v>
      </c>
      <c r="J45" s="143">
        <f t="shared" si="22"/>
        <v>28262324.911919199</v>
      </c>
      <c r="K45" s="143">
        <f t="shared" si="16"/>
        <v>28262324.911919199</v>
      </c>
      <c r="L45" s="143">
        <f t="shared" si="17"/>
        <v>28262324.911919199</v>
      </c>
      <c r="M45" s="143">
        <f t="shared" si="17"/>
        <v>28262324.911919199</v>
      </c>
      <c r="N45" s="143">
        <f t="shared" si="17"/>
        <v>28262324.911919199</v>
      </c>
      <c r="O45" s="143">
        <f t="shared" si="17"/>
        <v>28262324.911919199</v>
      </c>
      <c r="P45" s="145">
        <f t="shared" si="15"/>
        <v>336377082.77519512</v>
      </c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118">
        <v>13000000</v>
      </c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N45" s="129">
        <v>13</v>
      </c>
    </row>
    <row r="46" spans="1:92" s="124" customFormat="1">
      <c r="A46" s="265"/>
      <c r="B46" s="270">
        <v>6417</v>
      </c>
      <c r="C46" s="270" t="s">
        <v>39</v>
      </c>
      <c r="D46" s="264">
        <f>+'CF 2019'!O46*1.08</f>
        <v>8525588.2087237425</v>
      </c>
      <c r="E46" s="264">
        <f t="shared" si="18"/>
        <v>8525588.2087237425</v>
      </c>
      <c r="F46" s="264">
        <f t="shared" si="19"/>
        <v>8525588.2087237425</v>
      </c>
      <c r="G46" s="264">
        <f t="shared" si="20"/>
        <v>8525588.2087237425</v>
      </c>
      <c r="H46" s="264">
        <f t="shared" si="21"/>
        <v>8525588.2087237425</v>
      </c>
      <c r="I46" s="143">
        <f t="shared" si="23"/>
        <v>8696099.9728982169</v>
      </c>
      <c r="J46" s="143">
        <f t="shared" si="22"/>
        <v>8696099.9728982169</v>
      </c>
      <c r="K46" s="143">
        <f t="shared" si="16"/>
        <v>8696099.9728982169</v>
      </c>
      <c r="L46" s="143">
        <f t="shared" ref="L46:M98" si="24">K46+(K46*$J$8%)</f>
        <v>8696099.9728982169</v>
      </c>
      <c r="M46" s="143">
        <f t="shared" si="24"/>
        <v>8696099.9728982169</v>
      </c>
      <c r="N46" s="143">
        <f t="shared" ref="N46:O99" si="25">M46+(M46*$J$8%)</f>
        <v>8696099.9728982169</v>
      </c>
      <c r="O46" s="143">
        <f t="shared" si="25"/>
        <v>8696099.9728982169</v>
      </c>
      <c r="P46" s="145">
        <f t="shared" si="15"/>
        <v>103500640.85390621</v>
      </c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118">
        <v>4000000</v>
      </c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N46" s="129">
        <v>4</v>
      </c>
    </row>
    <row r="47" spans="1:92" s="124" customFormat="1">
      <c r="A47" s="265"/>
      <c r="B47" s="270">
        <v>6418</v>
      </c>
      <c r="C47" s="270" t="s">
        <v>40</v>
      </c>
      <c r="D47" s="264">
        <f>+'CF 2019'!O47*1.08</f>
        <v>14067220.544394171</v>
      </c>
      <c r="E47" s="264">
        <f t="shared" si="18"/>
        <v>14067220.544394171</v>
      </c>
      <c r="F47" s="264">
        <f t="shared" si="19"/>
        <v>14067220.544394171</v>
      </c>
      <c r="G47" s="264">
        <f t="shared" si="20"/>
        <v>14067220.544394171</v>
      </c>
      <c r="H47" s="264">
        <f t="shared" si="21"/>
        <v>14067220.544394171</v>
      </c>
      <c r="I47" s="143">
        <f t="shared" si="23"/>
        <v>14348564.955282055</v>
      </c>
      <c r="J47" s="143">
        <f t="shared" si="22"/>
        <v>14348564.955282055</v>
      </c>
      <c r="K47" s="143">
        <f t="shared" si="16"/>
        <v>14348564.955282055</v>
      </c>
      <c r="L47" s="143">
        <f t="shared" si="24"/>
        <v>14348564.955282055</v>
      </c>
      <c r="M47" s="143">
        <f t="shared" si="24"/>
        <v>14348564.955282055</v>
      </c>
      <c r="N47" s="143">
        <f t="shared" si="25"/>
        <v>14348564.955282055</v>
      </c>
      <c r="O47" s="143">
        <f t="shared" si="25"/>
        <v>14348564.955282055</v>
      </c>
      <c r="P47" s="145">
        <f t="shared" si="15"/>
        <v>170776057.40894529</v>
      </c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118">
        <v>6600000</v>
      </c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N47" s="129">
        <v>6.6</v>
      </c>
    </row>
    <row r="48" spans="1:92" s="124" customFormat="1">
      <c r="A48" s="265"/>
      <c r="B48" s="270">
        <v>6419</v>
      </c>
      <c r="C48" s="270" t="s">
        <v>41</v>
      </c>
      <c r="D48" s="264">
        <f>+'CF 2019'!O48*1.08</f>
        <v>12788382.31308561</v>
      </c>
      <c r="E48" s="264">
        <f t="shared" si="18"/>
        <v>12788382.31308561</v>
      </c>
      <c r="F48" s="264">
        <f t="shared" si="19"/>
        <v>12788382.31308561</v>
      </c>
      <c r="G48" s="264">
        <f t="shared" si="20"/>
        <v>12788382.31308561</v>
      </c>
      <c r="H48" s="264">
        <f t="shared" si="21"/>
        <v>12788382.31308561</v>
      </c>
      <c r="I48" s="143">
        <f t="shared" si="23"/>
        <v>13044149.959347323</v>
      </c>
      <c r="J48" s="143">
        <f t="shared" si="22"/>
        <v>13044149.959347323</v>
      </c>
      <c r="K48" s="143">
        <f t="shared" si="16"/>
        <v>13044149.959347323</v>
      </c>
      <c r="L48" s="143">
        <f t="shared" si="24"/>
        <v>13044149.959347323</v>
      </c>
      <c r="M48" s="143">
        <f t="shared" si="24"/>
        <v>13044149.959347323</v>
      </c>
      <c r="N48" s="143">
        <f t="shared" si="25"/>
        <v>13044149.959347323</v>
      </c>
      <c r="O48" s="143">
        <f t="shared" si="25"/>
        <v>13044149.959347323</v>
      </c>
      <c r="P48" s="145">
        <f t="shared" si="15"/>
        <v>155250961.28085929</v>
      </c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118">
        <v>6000000</v>
      </c>
      <c r="BZ48" s="80"/>
      <c r="CA48" s="80"/>
      <c r="CB48" s="80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N48" s="129">
        <v>6</v>
      </c>
    </row>
    <row r="49" spans="1:92" s="124" customFormat="1">
      <c r="A49" s="265"/>
      <c r="B49" s="270">
        <v>6420</v>
      </c>
      <c r="C49" s="270" t="s">
        <v>42</v>
      </c>
      <c r="D49" s="264">
        <f>+'CF 2019'!O49*1.08</f>
        <v>5328492.6304523386</v>
      </c>
      <c r="E49" s="264">
        <f t="shared" si="18"/>
        <v>5328492.6304523386</v>
      </c>
      <c r="F49" s="264">
        <f t="shared" si="19"/>
        <v>5328492.6304523386</v>
      </c>
      <c r="G49" s="264">
        <f t="shared" si="20"/>
        <v>5328492.6304523386</v>
      </c>
      <c r="H49" s="264">
        <f t="shared" si="21"/>
        <v>5328492.6304523386</v>
      </c>
      <c r="I49" s="143">
        <f t="shared" si="23"/>
        <v>5435062.4830613853</v>
      </c>
      <c r="J49" s="143">
        <f t="shared" si="22"/>
        <v>5435062.4830613853</v>
      </c>
      <c r="K49" s="143">
        <f t="shared" si="16"/>
        <v>5435062.4830613853</v>
      </c>
      <c r="L49" s="143">
        <f t="shared" si="24"/>
        <v>5435062.4830613853</v>
      </c>
      <c r="M49" s="143">
        <f t="shared" si="24"/>
        <v>5435062.4830613853</v>
      </c>
      <c r="N49" s="143">
        <f t="shared" si="25"/>
        <v>5435062.4830613853</v>
      </c>
      <c r="O49" s="143">
        <f t="shared" si="25"/>
        <v>5435062.4830613853</v>
      </c>
      <c r="P49" s="145">
        <f t="shared" si="15"/>
        <v>64687900.533691406</v>
      </c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118">
        <v>2500000</v>
      </c>
      <c r="BZ49" s="80"/>
      <c r="CA49" s="80"/>
      <c r="CB49" s="80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N49" s="129">
        <v>2.5</v>
      </c>
    </row>
    <row r="50" spans="1:92" s="124" customFormat="1">
      <c r="A50" s="265"/>
      <c r="B50" s="270">
        <v>6421</v>
      </c>
      <c r="C50" s="270" t="s">
        <v>43</v>
      </c>
      <c r="D50" s="264">
        <f>+'CF 2019'!O50*1.08</f>
        <v>6026569.4733044766</v>
      </c>
      <c r="E50" s="264">
        <f t="shared" si="18"/>
        <v>6026569.4733044766</v>
      </c>
      <c r="F50" s="264">
        <f t="shared" si="19"/>
        <v>6026569.4733044766</v>
      </c>
      <c r="G50" s="264">
        <f t="shared" si="20"/>
        <v>6026569.4733044766</v>
      </c>
      <c r="H50" s="264">
        <f t="shared" si="21"/>
        <v>6026569.4733044766</v>
      </c>
      <c r="I50" s="143">
        <f t="shared" si="23"/>
        <v>6147100.8627705658</v>
      </c>
      <c r="J50" s="143">
        <f t="shared" si="22"/>
        <v>6147100.8627705658</v>
      </c>
      <c r="K50" s="143">
        <f t="shared" si="16"/>
        <v>6147100.8627705658</v>
      </c>
      <c r="L50" s="143">
        <f t="shared" si="24"/>
        <v>6147100.8627705658</v>
      </c>
      <c r="M50" s="143">
        <f t="shared" si="24"/>
        <v>6147100.8627705658</v>
      </c>
      <c r="N50" s="143">
        <f t="shared" si="25"/>
        <v>6147100.8627705658</v>
      </c>
      <c r="O50" s="143">
        <f t="shared" si="25"/>
        <v>6147100.8627705658</v>
      </c>
      <c r="P50" s="145">
        <f t="shared" si="15"/>
        <v>73162553.405916348</v>
      </c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118">
        <v>0</v>
      </c>
      <c r="BZ50" s="80"/>
      <c r="CA50" s="80"/>
      <c r="CB50" s="80"/>
      <c r="CC50" s="80"/>
      <c r="CD50" s="80"/>
      <c r="CE50" s="80"/>
      <c r="CF50" s="80"/>
      <c r="CG50" s="80"/>
      <c r="CH50" s="80"/>
      <c r="CI50" s="80"/>
      <c r="CJ50" s="80"/>
      <c r="CK50" s="80"/>
      <c r="CL50" s="80"/>
      <c r="CN50" s="129"/>
    </row>
    <row r="51" spans="1:92" s="124" customFormat="1">
      <c r="A51" s="265"/>
      <c r="B51" s="270">
        <v>6422</v>
      </c>
      <c r="C51" s="270" t="s">
        <v>44</v>
      </c>
      <c r="D51" s="264">
        <f>+'CF 2019'!O51*1.08</f>
        <v>31970955.78271402</v>
      </c>
      <c r="E51" s="264">
        <f t="shared" si="18"/>
        <v>31970955.78271402</v>
      </c>
      <c r="F51" s="264">
        <f t="shared" si="19"/>
        <v>31970955.78271402</v>
      </c>
      <c r="G51" s="264">
        <f t="shared" si="20"/>
        <v>31970955.78271402</v>
      </c>
      <c r="H51" s="264">
        <f t="shared" si="21"/>
        <v>31970955.78271402</v>
      </c>
      <c r="I51" s="143">
        <f t="shared" si="23"/>
        <v>32610374.898368299</v>
      </c>
      <c r="J51" s="143">
        <f t="shared" si="22"/>
        <v>32610374.898368299</v>
      </c>
      <c r="K51" s="143">
        <f t="shared" si="16"/>
        <v>32610374.898368299</v>
      </c>
      <c r="L51" s="143">
        <f t="shared" si="24"/>
        <v>32610374.898368299</v>
      </c>
      <c r="M51" s="143">
        <f t="shared" si="24"/>
        <v>32610374.898368299</v>
      </c>
      <c r="N51" s="143">
        <f t="shared" si="25"/>
        <v>32610374.898368299</v>
      </c>
      <c r="O51" s="143">
        <f t="shared" si="25"/>
        <v>32610374.898368299</v>
      </c>
      <c r="P51" s="145">
        <f t="shared" si="15"/>
        <v>388127403.2021482</v>
      </c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118">
        <v>15000000</v>
      </c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N51" s="129">
        <v>11</v>
      </c>
    </row>
    <row r="52" spans="1:92" s="124" customFormat="1">
      <c r="A52" s="265"/>
      <c r="B52" s="270">
        <v>6423</v>
      </c>
      <c r="C52" s="270" t="s">
        <v>45</v>
      </c>
      <c r="D52" s="264">
        <f>+'CF 2019'!O52*1.08</f>
        <v>27708161.678352155</v>
      </c>
      <c r="E52" s="264">
        <f t="shared" si="18"/>
        <v>27708161.678352155</v>
      </c>
      <c r="F52" s="264">
        <f t="shared" si="19"/>
        <v>27708161.678352155</v>
      </c>
      <c r="G52" s="264">
        <f t="shared" si="20"/>
        <v>27708161.678352155</v>
      </c>
      <c r="H52" s="264">
        <f t="shared" si="21"/>
        <v>27708161.678352155</v>
      </c>
      <c r="I52" s="143">
        <f t="shared" si="23"/>
        <v>28262324.911919199</v>
      </c>
      <c r="J52" s="143">
        <f t="shared" si="22"/>
        <v>28262324.911919199</v>
      </c>
      <c r="K52" s="143">
        <f t="shared" si="16"/>
        <v>28262324.911919199</v>
      </c>
      <c r="L52" s="143">
        <f t="shared" si="24"/>
        <v>28262324.911919199</v>
      </c>
      <c r="M52" s="143">
        <f t="shared" si="24"/>
        <v>28262324.911919199</v>
      </c>
      <c r="N52" s="143">
        <f t="shared" si="25"/>
        <v>28262324.911919199</v>
      </c>
      <c r="O52" s="143">
        <f t="shared" si="25"/>
        <v>28262324.911919199</v>
      </c>
      <c r="P52" s="145">
        <f t="shared" si="15"/>
        <v>336377082.77519512</v>
      </c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118">
        <v>13000000</v>
      </c>
      <c r="BZ52" s="80"/>
      <c r="CA52" s="80"/>
      <c r="CB52" s="80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N52" s="129">
        <v>11</v>
      </c>
    </row>
    <row r="53" spans="1:92" s="124" customFormat="1">
      <c r="A53" s="265"/>
      <c r="B53" s="270">
        <v>6424</v>
      </c>
      <c r="C53" s="270" t="s">
        <v>46</v>
      </c>
      <c r="D53" s="264">
        <f>+'CF 2019'!O53*1.08</f>
        <v>30100109.675328005</v>
      </c>
      <c r="E53" s="264">
        <f>+D53</f>
        <v>30100109.675328005</v>
      </c>
      <c r="F53" s="264">
        <f>+E53</f>
        <v>30100109.675328005</v>
      </c>
      <c r="G53" s="264">
        <f t="shared" si="20"/>
        <v>30100109.675328005</v>
      </c>
      <c r="H53" s="264">
        <f t="shared" ref="H53:O53" si="26">+G53</f>
        <v>30100109.675328005</v>
      </c>
      <c r="I53" s="143">
        <f t="shared" si="26"/>
        <v>30100109.675328005</v>
      </c>
      <c r="J53" s="143">
        <f t="shared" si="22"/>
        <v>30100109.675328005</v>
      </c>
      <c r="K53" s="143">
        <f t="shared" si="26"/>
        <v>30100109.675328005</v>
      </c>
      <c r="L53" s="143">
        <f t="shared" si="26"/>
        <v>30100109.675328005</v>
      </c>
      <c r="M53" s="143">
        <f t="shared" si="24"/>
        <v>30100109.675328005</v>
      </c>
      <c r="N53" s="143">
        <f t="shared" si="26"/>
        <v>30100109.675328005</v>
      </c>
      <c r="O53" s="143">
        <f t="shared" si="26"/>
        <v>30100109.675328005</v>
      </c>
      <c r="P53" s="145">
        <f t="shared" si="15"/>
        <v>361201316.10393614</v>
      </c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118">
        <v>0</v>
      </c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N53" s="129"/>
    </row>
    <row r="54" spans="1:92" s="124" customFormat="1">
      <c r="A54" s="265"/>
      <c r="B54" s="269" t="s">
        <v>47</v>
      </c>
      <c r="C54" s="270"/>
      <c r="D54" s="264">
        <f>+'CF 2019'!O54*1.08</f>
        <v>0</v>
      </c>
      <c r="E54" s="264">
        <f t="shared" si="18"/>
        <v>0</v>
      </c>
      <c r="F54" s="264">
        <f t="shared" si="19"/>
        <v>0</v>
      </c>
      <c r="G54" s="264">
        <f t="shared" si="20"/>
        <v>0</v>
      </c>
      <c r="H54" s="264">
        <f t="shared" si="21"/>
        <v>0</v>
      </c>
      <c r="I54" s="143">
        <f t="shared" si="23"/>
        <v>0</v>
      </c>
      <c r="J54" s="143">
        <f t="shared" si="22"/>
        <v>0</v>
      </c>
      <c r="K54" s="143">
        <f t="shared" si="16"/>
        <v>0</v>
      </c>
      <c r="L54" s="143">
        <f t="shared" si="24"/>
        <v>0</v>
      </c>
      <c r="M54" s="143">
        <f t="shared" si="24"/>
        <v>0</v>
      </c>
      <c r="N54" s="143">
        <f t="shared" si="25"/>
        <v>0</v>
      </c>
      <c r="O54" s="143">
        <f t="shared" si="25"/>
        <v>0</v>
      </c>
      <c r="P54" s="145">
        <f t="shared" si="15"/>
        <v>0</v>
      </c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118">
        <v>0</v>
      </c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N54" s="129"/>
    </row>
    <row r="55" spans="1:92" s="124" customFormat="1">
      <c r="A55" s="265"/>
      <c r="B55" s="270">
        <v>6300</v>
      </c>
      <c r="C55" s="270" t="s">
        <v>48</v>
      </c>
      <c r="D55" s="264">
        <f>+'CF 2019'!O55*1.08</f>
        <v>6290370.2994169928</v>
      </c>
      <c r="E55" s="264">
        <f t="shared" si="18"/>
        <v>6290370.2994169928</v>
      </c>
      <c r="F55" s="264">
        <f t="shared" si="19"/>
        <v>6290370.2994169928</v>
      </c>
      <c r="G55" s="264">
        <f t="shared" si="20"/>
        <v>6290370.2994169928</v>
      </c>
      <c r="H55" s="264">
        <f t="shared" si="21"/>
        <v>6290370.2994169928</v>
      </c>
      <c r="I55" s="143">
        <f t="shared" si="23"/>
        <v>6416177.7054053331</v>
      </c>
      <c r="J55" s="143">
        <f t="shared" si="22"/>
        <v>6416177.7054053331</v>
      </c>
      <c r="K55" s="143">
        <f t="shared" si="16"/>
        <v>6416177.7054053331</v>
      </c>
      <c r="L55" s="143">
        <f t="shared" si="24"/>
        <v>6416177.7054053331</v>
      </c>
      <c r="M55" s="143">
        <f t="shared" si="24"/>
        <v>6416177.7054053331</v>
      </c>
      <c r="N55" s="143">
        <f t="shared" si="25"/>
        <v>6416177.7054053331</v>
      </c>
      <c r="O55" s="143">
        <f t="shared" si="25"/>
        <v>6416177.7054053331</v>
      </c>
      <c r="P55" s="145">
        <f t="shared" si="15"/>
        <v>76365095.434922308</v>
      </c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118">
        <v>0</v>
      </c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N55" s="129">
        <v>0</v>
      </c>
    </row>
    <row r="56" spans="1:92" s="124" customFormat="1">
      <c r="A56" s="265"/>
      <c r="B56" s="270">
        <v>6301</v>
      </c>
      <c r="C56" s="270" t="s">
        <v>49</v>
      </c>
      <c r="D56" s="264">
        <f>+'CF 2019'!O56*1.08</f>
        <v>788266.95481416001</v>
      </c>
      <c r="E56" s="264">
        <f t="shared" si="18"/>
        <v>788266.95481416001</v>
      </c>
      <c r="F56" s="264">
        <f t="shared" si="19"/>
        <v>788266.95481416001</v>
      </c>
      <c r="G56" s="264">
        <f t="shared" si="20"/>
        <v>788266.95481416001</v>
      </c>
      <c r="H56" s="264">
        <f t="shared" si="21"/>
        <v>788266.95481416001</v>
      </c>
      <c r="I56" s="143">
        <f t="shared" si="23"/>
        <v>804032.2939104432</v>
      </c>
      <c r="J56" s="143">
        <f t="shared" si="22"/>
        <v>804032.2939104432</v>
      </c>
      <c r="K56" s="143">
        <f t="shared" si="16"/>
        <v>804032.2939104432</v>
      </c>
      <c r="L56" s="143">
        <f t="shared" si="24"/>
        <v>804032.2939104432</v>
      </c>
      <c r="M56" s="143">
        <f t="shared" si="24"/>
        <v>804032.2939104432</v>
      </c>
      <c r="N56" s="143">
        <f t="shared" si="25"/>
        <v>804032.2939104432</v>
      </c>
      <c r="O56" s="143">
        <f t="shared" si="25"/>
        <v>804032.2939104432</v>
      </c>
      <c r="P56" s="145">
        <f t="shared" si="15"/>
        <v>9569560.8314439021</v>
      </c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118">
        <v>0</v>
      </c>
      <c r="BZ56" s="80"/>
      <c r="CA56" s="80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N56" s="129"/>
    </row>
    <row r="57" spans="1:92" s="124" customFormat="1">
      <c r="A57" s="265"/>
      <c r="B57" s="270">
        <v>6302</v>
      </c>
      <c r="C57" s="270" t="s">
        <v>50</v>
      </c>
      <c r="D57" s="264">
        <f>+'CF 2019'!O57*1.08</f>
        <v>85255882.087237418</v>
      </c>
      <c r="E57" s="264">
        <f t="shared" si="18"/>
        <v>85255882.087237418</v>
      </c>
      <c r="F57" s="264">
        <f t="shared" si="19"/>
        <v>85255882.087237418</v>
      </c>
      <c r="G57" s="264">
        <f t="shared" si="20"/>
        <v>85255882.087237418</v>
      </c>
      <c r="H57" s="264">
        <f t="shared" si="21"/>
        <v>85255882.087237418</v>
      </c>
      <c r="I57" s="143">
        <f t="shared" si="23"/>
        <v>86960999.728982165</v>
      </c>
      <c r="J57" s="143">
        <f t="shared" si="22"/>
        <v>86960999.728982165</v>
      </c>
      <c r="K57" s="143">
        <f t="shared" si="16"/>
        <v>86960999.728982165</v>
      </c>
      <c r="L57" s="143">
        <f t="shared" si="24"/>
        <v>86960999.728982165</v>
      </c>
      <c r="M57" s="143">
        <f t="shared" si="24"/>
        <v>86960999.728982165</v>
      </c>
      <c r="N57" s="143">
        <f t="shared" si="25"/>
        <v>86960999.728982165</v>
      </c>
      <c r="O57" s="143">
        <f t="shared" si="25"/>
        <v>86960999.728982165</v>
      </c>
      <c r="P57" s="145">
        <f t="shared" si="15"/>
        <v>1035006408.5390625</v>
      </c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163"/>
      <c r="BK57" s="163"/>
      <c r="BL57" s="163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118">
        <v>40000000</v>
      </c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N57" s="129">
        <v>17.661297916666669</v>
      </c>
    </row>
    <row r="58" spans="1:92" s="124" customFormat="1">
      <c r="A58" s="265"/>
      <c r="B58" s="270">
        <v>6303</v>
      </c>
      <c r="C58" s="270" t="s">
        <v>51</v>
      </c>
      <c r="D58" s="264">
        <f>+'CF 2019'!O58*1.08</f>
        <v>10656985.260904677</v>
      </c>
      <c r="E58" s="264">
        <f t="shared" si="18"/>
        <v>10656985.260904677</v>
      </c>
      <c r="F58" s="264">
        <f t="shared" si="19"/>
        <v>10656985.260904677</v>
      </c>
      <c r="G58" s="264">
        <f t="shared" si="20"/>
        <v>10656985.260904677</v>
      </c>
      <c r="H58" s="264">
        <f t="shared" si="21"/>
        <v>10656985.260904677</v>
      </c>
      <c r="I58" s="143">
        <f t="shared" si="23"/>
        <v>10870124.966122771</v>
      </c>
      <c r="J58" s="143">
        <f t="shared" si="22"/>
        <v>10870124.966122771</v>
      </c>
      <c r="K58" s="143">
        <f t="shared" si="16"/>
        <v>10870124.966122771</v>
      </c>
      <c r="L58" s="143">
        <f t="shared" si="24"/>
        <v>10870124.966122771</v>
      </c>
      <c r="M58" s="143">
        <f t="shared" si="24"/>
        <v>10870124.966122771</v>
      </c>
      <c r="N58" s="143">
        <f t="shared" si="25"/>
        <v>10870124.966122771</v>
      </c>
      <c r="O58" s="143">
        <f t="shared" si="25"/>
        <v>10870124.966122771</v>
      </c>
      <c r="P58" s="145">
        <f t="shared" si="15"/>
        <v>129375801.06738281</v>
      </c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163"/>
      <c r="BK58" s="163"/>
      <c r="BL58" s="163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118">
        <v>5000000</v>
      </c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N58" s="129">
        <v>5</v>
      </c>
    </row>
    <row r="59" spans="1:92" s="124" customFormat="1">
      <c r="A59" s="265"/>
      <c r="B59" s="270">
        <v>6304</v>
      </c>
      <c r="C59" s="270" t="s">
        <v>52</v>
      </c>
      <c r="D59" s="264">
        <f>+'CF 2019'!O59*1.08</f>
        <v>21313970.521809354</v>
      </c>
      <c r="E59" s="264">
        <f t="shared" si="18"/>
        <v>21313970.521809354</v>
      </c>
      <c r="F59" s="264">
        <f t="shared" si="19"/>
        <v>21313970.521809354</v>
      </c>
      <c r="G59" s="264">
        <f t="shared" si="20"/>
        <v>21313970.521809354</v>
      </c>
      <c r="H59" s="264">
        <f t="shared" si="21"/>
        <v>21313970.521809354</v>
      </c>
      <c r="I59" s="143">
        <f t="shared" si="23"/>
        <v>21740249.932245541</v>
      </c>
      <c r="J59" s="143">
        <f t="shared" si="22"/>
        <v>21740249.932245541</v>
      </c>
      <c r="K59" s="143">
        <f t="shared" si="16"/>
        <v>21740249.932245541</v>
      </c>
      <c r="L59" s="143">
        <f t="shared" si="24"/>
        <v>21740249.932245541</v>
      </c>
      <c r="M59" s="143">
        <f t="shared" si="24"/>
        <v>21740249.932245541</v>
      </c>
      <c r="N59" s="143">
        <f t="shared" si="25"/>
        <v>21740249.932245541</v>
      </c>
      <c r="O59" s="143">
        <f t="shared" si="25"/>
        <v>21740249.932245541</v>
      </c>
      <c r="P59" s="145">
        <f t="shared" si="15"/>
        <v>258751602.13476562</v>
      </c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163"/>
      <c r="BK59" s="163"/>
      <c r="BL59" s="163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118">
        <v>10000000</v>
      </c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N59" s="129">
        <v>10</v>
      </c>
    </row>
    <row r="60" spans="1:92" s="124" customFormat="1">
      <c r="A60" s="265"/>
      <c r="B60" s="270">
        <v>6306</v>
      </c>
      <c r="C60" s="270" t="s">
        <v>53</v>
      </c>
      <c r="D60" s="264">
        <f>+'CF 2019'!O60*1.08</f>
        <v>9101065.4128125943</v>
      </c>
      <c r="E60" s="264">
        <f t="shared" si="18"/>
        <v>9101065.4128125943</v>
      </c>
      <c r="F60" s="264">
        <f t="shared" si="19"/>
        <v>9101065.4128125943</v>
      </c>
      <c r="G60" s="264">
        <f t="shared" si="20"/>
        <v>9101065.4128125943</v>
      </c>
      <c r="H60" s="264">
        <f t="shared" si="21"/>
        <v>9101065.4128125943</v>
      </c>
      <c r="I60" s="143">
        <f t="shared" si="23"/>
        <v>9283086.7210688461</v>
      </c>
      <c r="J60" s="143">
        <f t="shared" si="22"/>
        <v>9283086.7210688461</v>
      </c>
      <c r="K60" s="143">
        <f t="shared" si="16"/>
        <v>9283086.7210688461</v>
      </c>
      <c r="L60" s="143">
        <f t="shared" si="24"/>
        <v>9283086.7210688461</v>
      </c>
      <c r="M60" s="143">
        <f t="shared" si="24"/>
        <v>9283086.7210688461</v>
      </c>
      <c r="N60" s="143">
        <f t="shared" si="25"/>
        <v>9283086.7210688461</v>
      </c>
      <c r="O60" s="143">
        <f t="shared" si="25"/>
        <v>9283086.7210688461</v>
      </c>
      <c r="P60" s="145">
        <f t="shared" si="15"/>
        <v>110486934.11154488</v>
      </c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118">
        <v>4270000</v>
      </c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N60" s="129">
        <v>4.2699999999999996</v>
      </c>
    </row>
    <row r="61" spans="1:92" s="124" customFormat="1">
      <c r="A61" s="265"/>
      <c r="B61" s="270">
        <v>6307</v>
      </c>
      <c r="C61" s="270" t="s">
        <v>54</v>
      </c>
      <c r="D61" s="264">
        <f>+'CF 2019'!O61*1.08</f>
        <v>142803602.49612269</v>
      </c>
      <c r="E61" s="264">
        <f t="shared" si="18"/>
        <v>142803602.49612269</v>
      </c>
      <c r="F61" s="264">
        <f t="shared" si="19"/>
        <v>142803602.49612269</v>
      </c>
      <c r="G61" s="264">
        <f t="shared" si="20"/>
        <v>142803602.49612269</v>
      </c>
      <c r="H61" s="264">
        <f t="shared" si="21"/>
        <v>142803602.49612269</v>
      </c>
      <c r="I61" s="143">
        <f t="shared" si="23"/>
        <v>145659674.54604515</v>
      </c>
      <c r="J61" s="143">
        <f t="shared" si="22"/>
        <v>145659674.54604515</v>
      </c>
      <c r="K61" s="143">
        <f t="shared" si="16"/>
        <v>145659674.54604515</v>
      </c>
      <c r="L61" s="143">
        <f t="shared" si="24"/>
        <v>145659674.54604515</v>
      </c>
      <c r="M61" s="143">
        <f t="shared" si="24"/>
        <v>145659674.54604515</v>
      </c>
      <c r="N61" s="143">
        <f t="shared" si="25"/>
        <v>145659674.54604515</v>
      </c>
      <c r="O61" s="143">
        <f t="shared" si="25"/>
        <v>145659674.54604515</v>
      </c>
      <c r="P61" s="145">
        <f t="shared" si="15"/>
        <v>1733635734.3029292</v>
      </c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118">
        <v>67000000</v>
      </c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N61" s="129">
        <v>67.479608333333331</v>
      </c>
    </row>
    <row r="62" spans="1:92" s="124" customFormat="1">
      <c r="A62" s="265"/>
      <c r="B62" s="270"/>
      <c r="C62" s="270"/>
      <c r="D62" s="264">
        <f>+'CF 2019'!O62*1.08</f>
        <v>0</v>
      </c>
      <c r="E62" s="264">
        <f t="shared" si="18"/>
        <v>0</v>
      </c>
      <c r="F62" s="264">
        <f t="shared" si="19"/>
        <v>0</v>
      </c>
      <c r="G62" s="264">
        <f t="shared" si="20"/>
        <v>0</v>
      </c>
      <c r="H62" s="264">
        <f t="shared" si="21"/>
        <v>0</v>
      </c>
      <c r="I62" s="143">
        <f t="shared" si="23"/>
        <v>0</v>
      </c>
      <c r="J62" s="143">
        <f t="shared" si="22"/>
        <v>0</v>
      </c>
      <c r="K62" s="143">
        <f t="shared" si="16"/>
        <v>0</v>
      </c>
      <c r="L62" s="143">
        <f t="shared" si="24"/>
        <v>0</v>
      </c>
      <c r="M62" s="143">
        <f t="shared" si="24"/>
        <v>0</v>
      </c>
      <c r="N62" s="143">
        <f t="shared" si="25"/>
        <v>0</v>
      </c>
      <c r="O62" s="143">
        <f t="shared" si="25"/>
        <v>0</v>
      </c>
      <c r="P62" s="145">
        <f t="shared" si="15"/>
        <v>0</v>
      </c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118">
        <v>0</v>
      </c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N62" s="129"/>
    </row>
    <row r="63" spans="1:92" s="124" customFormat="1">
      <c r="A63" s="265"/>
      <c r="B63" s="269" t="s">
        <v>55</v>
      </c>
      <c r="C63" s="270"/>
      <c r="D63" s="264">
        <f>+'CF 2019'!O63*1.08</f>
        <v>0</v>
      </c>
      <c r="E63" s="264">
        <f t="shared" si="18"/>
        <v>0</v>
      </c>
      <c r="F63" s="264">
        <f t="shared" si="19"/>
        <v>0</v>
      </c>
      <c r="G63" s="264">
        <f t="shared" si="20"/>
        <v>0</v>
      </c>
      <c r="H63" s="264">
        <f t="shared" si="21"/>
        <v>0</v>
      </c>
      <c r="I63" s="143">
        <f t="shared" si="23"/>
        <v>0</v>
      </c>
      <c r="J63" s="143">
        <f t="shared" si="22"/>
        <v>0</v>
      </c>
      <c r="K63" s="143">
        <f t="shared" si="16"/>
        <v>0</v>
      </c>
      <c r="L63" s="143">
        <f t="shared" si="24"/>
        <v>0</v>
      </c>
      <c r="M63" s="143">
        <f t="shared" si="24"/>
        <v>0</v>
      </c>
      <c r="N63" s="143">
        <f t="shared" si="25"/>
        <v>0</v>
      </c>
      <c r="O63" s="143">
        <f t="shared" si="25"/>
        <v>0</v>
      </c>
      <c r="P63" s="145">
        <f t="shared" si="15"/>
        <v>0</v>
      </c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118">
        <v>0</v>
      </c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N63" s="129"/>
    </row>
    <row r="64" spans="1:92" s="124" customFormat="1">
      <c r="A64" s="265"/>
      <c r="B64" s="270">
        <v>6500</v>
      </c>
      <c r="C64" s="270" t="s">
        <v>56</v>
      </c>
      <c r="D64" s="264">
        <f>+'CF 2019'!O64*1.08</f>
        <v>3197095.5782714025</v>
      </c>
      <c r="E64" s="264">
        <f t="shared" si="18"/>
        <v>3197095.5782714025</v>
      </c>
      <c r="F64" s="264">
        <f t="shared" si="19"/>
        <v>3197095.5782714025</v>
      </c>
      <c r="G64" s="264">
        <f t="shared" si="20"/>
        <v>3197095.5782714025</v>
      </c>
      <c r="H64" s="264">
        <f t="shared" si="21"/>
        <v>3197095.5782714025</v>
      </c>
      <c r="I64" s="143">
        <f t="shared" si="23"/>
        <v>3261037.4898368306</v>
      </c>
      <c r="J64" s="143">
        <f t="shared" si="22"/>
        <v>3261037.4898368306</v>
      </c>
      <c r="K64" s="143">
        <f t="shared" si="16"/>
        <v>3261037.4898368306</v>
      </c>
      <c r="L64" s="143">
        <f t="shared" si="24"/>
        <v>3261037.4898368306</v>
      </c>
      <c r="M64" s="143">
        <f t="shared" si="24"/>
        <v>3261037.4898368306</v>
      </c>
      <c r="N64" s="143">
        <f t="shared" si="25"/>
        <v>3261037.4898368306</v>
      </c>
      <c r="O64" s="143">
        <f t="shared" si="25"/>
        <v>3261037.4898368306</v>
      </c>
      <c r="P64" s="145">
        <f t="shared" si="15"/>
        <v>38812740.320214823</v>
      </c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118">
        <v>1500000</v>
      </c>
      <c r="BZ64" s="80"/>
      <c r="CA64" s="80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N64" s="129">
        <v>1.5</v>
      </c>
    </row>
    <row r="65" spans="1:92" s="124" customFormat="1">
      <c r="A65" s="265"/>
      <c r="B65" s="270">
        <v>6501</v>
      </c>
      <c r="C65" s="270" t="s">
        <v>57</v>
      </c>
      <c r="D65" s="264">
        <f>+'CF 2019'!O65*1.08</f>
        <v>0</v>
      </c>
      <c r="E65" s="264">
        <f t="shared" si="18"/>
        <v>0</v>
      </c>
      <c r="F65" s="264">
        <f t="shared" si="19"/>
        <v>0</v>
      </c>
      <c r="G65" s="264">
        <f t="shared" si="20"/>
        <v>0</v>
      </c>
      <c r="H65" s="264">
        <f t="shared" si="21"/>
        <v>0</v>
      </c>
      <c r="I65" s="143">
        <f t="shared" si="23"/>
        <v>0</v>
      </c>
      <c r="J65" s="143">
        <f t="shared" si="22"/>
        <v>0</v>
      </c>
      <c r="K65" s="143">
        <f t="shared" si="16"/>
        <v>0</v>
      </c>
      <c r="L65" s="143">
        <f t="shared" si="24"/>
        <v>0</v>
      </c>
      <c r="M65" s="143">
        <f t="shared" si="24"/>
        <v>0</v>
      </c>
      <c r="N65" s="143">
        <f t="shared" si="25"/>
        <v>0</v>
      </c>
      <c r="O65" s="143">
        <f t="shared" si="25"/>
        <v>0</v>
      </c>
      <c r="P65" s="145">
        <f t="shared" si="15"/>
        <v>0</v>
      </c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163"/>
      <c r="BK65" s="163"/>
      <c r="BL65" s="163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118">
        <v>0</v>
      </c>
      <c r="BZ65" s="80"/>
      <c r="CA65" s="80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N65" s="129"/>
    </row>
    <row r="66" spans="1:92" s="124" customFormat="1">
      <c r="A66" s="265"/>
      <c r="B66" s="270"/>
      <c r="C66" s="270"/>
      <c r="D66" s="264">
        <f>+'CF 2019'!O66*1.08</f>
        <v>0</v>
      </c>
      <c r="E66" s="264">
        <f t="shared" si="18"/>
        <v>0</v>
      </c>
      <c r="F66" s="264">
        <f t="shared" si="19"/>
        <v>0</v>
      </c>
      <c r="G66" s="264">
        <f t="shared" si="20"/>
        <v>0</v>
      </c>
      <c r="H66" s="264">
        <f t="shared" si="21"/>
        <v>0</v>
      </c>
      <c r="I66" s="143">
        <f t="shared" si="23"/>
        <v>0</v>
      </c>
      <c r="J66" s="143">
        <f t="shared" si="22"/>
        <v>0</v>
      </c>
      <c r="K66" s="143">
        <f t="shared" si="16"/>
        <v>0</v>
      </c>
      <c r="L66" s="143">
        <f t="shared" si="24"/>
        <v>0</v>
      </c>
      <c r="M66" s="143">
        <f t="shared" si="24"/>
        <v>0</v>
      </c>
      <c r="N66" s="143">
        <f t="shared" si="25"/>
        <v>0</v>
      </c>
      <c r="O66" s="143">
        <f t="shared" si="25"/>
        <v>0</v>
      </c>
      <c r="P66" s="145">
        <f t="shared" si="15"/>
        <v>0</v>
      </c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118">
        <v>0</v>
      </c>
      <c r="BZ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N66" s="129"/>
    </row>
    <row r="67" spans="1:92" s="124" customFormat="1">
      <c r="A67" s="265"/>
      <c r="B67" s="269" t="s">
        <v>58</v>
      </c>
      <c r="C67" s="270"/>
      <c r="D67" s="264">
        <f>+'CF 2019'!O67*1.08</f>
        <v>0</v>
      </c>
      <c r="E67" s="264">
        <f t="shared" si="18"/>
        <v>0</v>
      </c>
      <c r="F67" s="264">
        <f t="shared" si="19"/>
        <v>0</v>
      </c>
      <c r="G67" s="264">
        <f t="shared" si="20"/>
        <v>0</v>
      </c>
      <c r="H67" s="264">
        <f t="shared" si="21"/>
        <v>0</v>
      </c>
      <c r="I67" s="143">
        <f t="shared" si="23"/>
        <v>0</v>
      </c>
      <c r="J67" s="143">
        <f t="shared" si="22"/>
        <v>0</v>
      </c>
      <c r="K67" s="143">
        <f t="shared" si="16"/>
        <v>0</v>
      </c>
      <c r="L67" s="143">
        <f t="shared" si="24"/>
        <v>0</v>
      </c>
      <c r="M67" s="143">
        <f t="shared" si="24"/>
        <v>0</v>
      </c>
      <c r="N67" s="143">
        <f t="shared" si="25"/>
        <v>0</v>
      </c>
      <c r="O67" s="143">
        <f t="shared" si="25"/>
        <v>0</v>
      </c>
      <c r="P67" s="145">
        <f t="shared" si="15"/>
        <v>0</v>
      </c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118">
        <v>0</v>
      </c>
      <c r="BZ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N67" s="129"/>
    </row>
    <row r="68" spans="1:92" s="124" customFormat="1">
      <c r="A68" s="265"/>
      <c r="B68" s="270">
        <v>6600</v>
      </c>
      <c r="C68" s="270" t="s">
        <v>59</v>
      </c>
      <c r="D68" s="264">
        <f>+'CF 2019'!O68*1.08</f>
        <v>8525588.2087237425</v>
      </c>
      <c r="E68" s="264">
        <f t="shared" si="18"/>
        <v>8525588.2087237425</v>
      </c>
      <c r="F68" s="264">
        <f t="shared" si="19"/>
        <v>8525588.2087237425</v>
      </c>
      <c r="G68" s="264">
        <v>60000000</v>
      </c>
      <c r="H68" s="264">
        <f>F68</f>
        <v>8525588.2087237425</v>
      </c>
      <c r="I68" s="143">
        <f t="shared" si="23"/>
        <v>8696099.9728982169</v>
      </c>
      <c r="J68" s="143">
        <f t="shared" si="22"/>
        <v>8696099.9728982169</v>
      </c>
      <c r="K68" s="143">
        <f t="shared" si="16"/>
        <v>8696099.9728982169</v>
      </c>
      <c r="L68" s="143">
        <f t="shared" si="24"/>
        <v>8696099.9728982169</v>
      </c>
      <c r="M68" s="143">
        <f t="shared" si="24"/>
        <v>8696099.9728982169</v>
      </c>
      <c r="N68" s="143">
        <f t="shared" si="25"/>
        <v>8696099.9728982169</v>
      </c>
      <c r="O68" s="143">
        <f t="shared" si="25"/>
        <v>8696099.9728982169</v>
      </c>
      <c r="P68" s="145">
        <f t="shared" si="15"/>
        <v>154975052.64518249</v>
      </c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118">
        <v>4000000</v>
      </c>
      <c r="BZ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N68" s="129">
        <v>4</v>
      </c>
    </row>
    <row r="69" spans="1:92" s="124" customFormat="1">
      <c r="A69" s="265"/>
      <c r="B69" s="270">
        <v>6600</v>
      </c>
      <c r="C69" s="270" t="s">
        <v>60</v>
      </c>
      <c r="D69" s="264">
        <f>+'CF 2019'!O69*1.08</f>
        <v>0</v>
      </c>
      <c r="E69" s="264">
        <f t="shared" si="18"/>
        <v>0</v>
      </c>
      <c r="F69" s="264">
        <f t="shared" si="19"/>
        <v>0</v>
      </c>
      <c r="G69" s="264">
        <v>20000000</v>
      </c>
      <c r="H69" s="264"/>
      <c r="I69" s="143">
        <f t="shared" si="23"/>
        <v>0</v>
      </c>
      <c r="J69" s="143">
        <f t="shared" si="22"/>
        <v>0</v>
      </c>
      <c r="K69" s="143">
        <f t="shared" si="16"/>
        <v>0</v>
      </c>
      <c r="L69" s="143">
        <f t="shared" si="24"/>
        <v>0</v>
      </c>
      <c r="M69" s="143">
        <f t="shared" si="24"/>
        <v>0</v>
      </c>
      <c r="N69" s="143">
        <f t="shared" si="25"/>
        <v>0</v>
      </c>
      <c r="O69" s="143">
        <f t="shared" si="25"/>
        <v>0</v>
      </c>
      <c r="P69" s="145">
        <f t="shared" si="15"/>
        <v>20000000</v>
      </c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118">
        <v>0</v>
      </c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N69" s="129"/>
    </row>
    <row r="70" spans="1:92">
      <c r="A70" s="265"/>
      <c r="B70" s="270"/>
      <c r="C70" s="270"/>
      <c r="D70" s="264">
        <f>+'CF 2019'!O70*1.08</f>
        <v>0</v>
      </c>
      <c r="E70" s="264">
        <f t="shared" si="18"/>
        <v>0</v>
      </c>
      <c r="F70" s="264">
        <f t="shared" si="19"/>
        <v>0</v>
      </c>
      <c r="G70" s="264">
        <f t="shared" si="20"/>
        <v>0</v>
      </c>
      <c r="H70" s="264">
        <f t="shared" si="21"/>
        <v>0</v>
      </c>
      <c r="I70" s="143">
        <f t="shared" si="23"/>
        <v>0</v>
      </c>
      <c r="J70" s="143">
        <f t="shared" si="22"/>
        <v>0</v>
      </c>
      <c r="K70" s="143">
        <f t="shared" si="16"/>
        <v>0</v>
      </c>
      <c r="L70" s="143">
        <f t="shared" si="24"/>
        <v>0</v>
      </c>
      <c r="M70" s="143">
        <f t="shared" si="24"/>
        <v>0</v>
      </c>
      <c r="N70" s="143">
        <f t="shared" si="25"/>
        <v>0</v>
      </c>
      <c r="O70" s="143">
        <f t="shared" si="25"/>
        <v>0</v>
      </c>
      <c r="P70" s="145">
        <f t="shared" si="15"/>
        <v>0</v>
      </c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117">
        <v>0</v>
      </c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N70" s="73"/>
    </row>
    <row r="71" spans="1:92">
      <c r="A71" s="265"/>
      <c r="B71" s="269" t="s">
        <v>61</v>
      </c>
      <c r="C71" s="270"/>
      <c r="D71" s="264">
        <f>+'CF 2019'!O71*1.08</f>
        <v>0</v>
      </c>
      <c r="E71" s="264">
        <f t="shared" si="18"/>
        <v>0</v>
      </c>
      <c r="F71" s="264">
        <f t="shared" si="19"/>
        <v>0</v>
      </c>
      <c r="G71" s="264">
        <f t="shared" si="20"/>
        <v>0</v>
      </c>
      <c r="H71" s="264">
        <f t="shared" si="21"/>
        <v>0</v>
      </c>
      <c r="I71" s="143">
        <f t="shared" si="23"/>
        <v>0</v>
      </c>
      <c r="J71" s="143">
        <f t="shared" si="22"/>
        <v>0</v>
      </c>
      <c r="K71" s="143">
        <f t="shared" si="16"/>
        <v>0</v>
      </c>
      <c r="L71" s="143">
        <f t="shared" si="24"/>
        <v>0</v>
      </c>
      <c r="M71" s="143">
        <f t="shared" si="24"/>
        <v>0</v>
      </c>
      <c r="N71" s="143">
        <f t="shared" si="25"/>
        <v>0</v>
      </c>
      <c r="O71" s="143">
        <f t="shared" si="25"/>
        <v>0</v>
      </c>
      <c r="P71" s="145">
        <f t="shared" si="15"/>
        <v>0</v>
      </c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117">
        <v>0</v>
      </c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N71" s="73"/>
    </row>
    <row r="72" spans="1:92">
      <c r="A72" s="265"/>
      <c r="B72" s="270">
        <v>6200</v>
      </c>
      <c r="C72" s="270" t="s">
        <v>62</v>
      </c>
      <c r="D72" s="264">
        <f>+'CF 2019'!O72*1.08</f>
        <v>19182573.469628416</v>
      </c>
      <c r="E72" s="264">
        <f t="shared" si="18"/>
        <v>19182573.469628416</v>
      </c>
      <c r="F72" s="264">
        <f t="shared" si="19"/>
        <v>19182573.469628416</v>
      </c>
      <c r="G72" s="264">
        <f t="shared" si="20"/>
        <v>19182573.469628416</v>
      </c>
      <c r="H72" s="264">
        <f t="shared" si="21"/>
        <v>19182573.469628416</v>
      </c>
      <c r="I72" s="143">
        <f t="shared" si="23"/>
        <v>19566224.939020984</v>
      </c>
      <c r="J72" s="143">
        <f t="shared" si="22"/>
        <v>19566224.939020984</v>
      </c>
      <c r="K72" s="143">
        <f t="shared" si="16"/>
        <v>19566224.939020984</v>
      </c>
      <c r="L72" s="143">
        <f t="shared" si="24"/>
        <v>19566224.939020984</v>
      </c>
      <c r="M72" s="143">
        <f t="shared" si="24"/>
        <v>19566224.939020984</v>
      </c>
      <c r="N72" s="143">
        <f t="shared" si="25"/>
        <v>19566224.939020984</v>
      </c>
      <c r="O72" s="143">
        <f t="shared" si="25"/>
        <v>19566224.939020984</v>
      </c>
      <c r="P72" s="145">
        <f t="shared" si="15"/>
        <v>232876441.92128903</v>
      </c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163"/>
      <c r="BK72" s="163"/>
      <c r="BL72" s="163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117">
        <v>9000000</v>
      </c>
      <c r="BZ72" s="81"/>
      <c r="CA72" s="81"/>
      <c r="CB72" s="81"/>
      <c r="CC72" s="81"/>
      <c r="CD72" s="81"/>
      <c r="CE72" s="81"/>
      <c r="CF72" s="81"/>
      <c r="CG72" s="81"/>
      <c r="CH72" s="81"/>
      <c r="CI72" s="81"/>
      <c r="CJ72" s="81"/>
      <c r="CK72" s="81"/>
      <c r="CL72" s="81"/>
      <c r="CN72" s="73">
        <v>9</v>
      </c>
    </row>
    <row r="73" spans="1:92">
      <c r="A73" s="265"/>
      <c r="B73" s="270">
        <v>6201</v>
      </c>
      <c r="C73" s="270" t="s">
        <v>63</v>
      </c>
      <c r="D73" s="264">
        <f>+'CF 2019'!O73*1.08</f>
        <v>8525588.2087237425</v>
      </c>
      <c r="E73" s="264">
        <f t="shared" si="18"/>
        <v>8525588.2087237425</v>
      </c>
      <c r="F73" s="264">
        <f t="shared" si="19"/>
        <v>8525588.2087237425</v>
      </c>
      <c r="G73" s="264">
        <f t="shared" si="20"/>
        <v>8525588.2087237425</v>
      </c>
      <c r="H73" s="264">
        <f t="shared" si="21"/>
        <v>8525588.2087237425</v>
      </c>
      <c r="I73" s="143">
        <f t="shared" si="23"/>
        <v>8696099.9728982169</v>
      </c>
      <c r="J73" s="143">
        <f t="shared" si="22"/>
        <v>8696099.9728982169</v>
      </c>
      <c r="K73" s="143">
        <f t="shared" si="16"/>
        <v>8696099.9728982169</v>
      </c>
      <c r="L73" s="143">
        <f t="shared" si="24"/>
        <v>8696099.9728982169</v>
      </c>
      <c r="M73" s="143">
        <f t="shared" si="24"/>
        <v>8696099.9728982169</v>
      </c>
      <c r="N73" s="143">
        <f t="shared" si="25"/>
        <v>8696099.9728982169</v>
      </c>
      <c r="O73" s="143">
        <f t="shared" si="25"/>
        <v>8696099.9728982169</v>
      </c>
      <c r="P73" s="145">
        <f t="shared" si="15"/>
        <v>103500640.85390621</v>
      </c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163"/>
      <c r="BK73" s="163"/>
      <c r="BL73" s="163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117">
        <v>4000000</v>
      </c>
      <c r="BZ73" s="81"/>
      <c r="CA73" s="81"/>
      <c r="CB73" s="81"/>
      <c r="CC73" s="81"/>
      <c r="CD73" s="81"/>
      <c r="CE73" s="81"/>
      <c r="CF73" s="81"/>
      <c r="CG73" s="81"/>
      <c r="CH73" s="81"/>
      <c r="CI73" s="81"/>
      <c r="CJ73" s="81"/>
      <c r="CK73" s="81"/>
      <c r="CL73" s="81"/>
      <c r="CN73" s="73">
        <v>4</v>
      </c>
    </row>
    <row r="74" spans="1:92">
      <c r="A74" s="265"/>
      <c r="B74" s="270">
        <v>6210</v>
      </c>
      <c r="C74" s="270" t="s">
        <v>64</v>
      </c>
      <c r="D74" s="264">
        <f>+'CF 2019'!O74*1.08</f>
        <v>3197095.5782714025</v>
      </c>
      <c r="E74" s="264">
        <f t="shared" si="18"/>
        <v>3197095.5782714025</v>
      </c>
      <c r="F74" s="264">
        <f t="shared" si="19"/>
        <v>3197095.5782714025</v>
      </c>
      <c r="G74" s="264">
        <f t="shared" si="20"/>
        <v>3197095.5782714025</v>
      </c>
      <c r="H74" s="264">
        <f t="shared" si="21"/>
        <v>3197095.5782714025</v>
      </c>
      <c r="I74" s="143">
        <f t="shared" si="23"/>
        <v>3261037.4898368306</v>
      </c>
      <c r="J74" s="143">
        <f t="shared" si="22"/>
        <v>3261037.4898368306</v>
      </c>
      <c r="K74" s="143">
        <f t="shared" si="16"/>
        <v>3261037.4898368306</v>
      </c>
      <c r="L74" s="143">
        <f t="shared" si="24"/>
        <v>3261037.4898368306</v>
      </c>
      <c r="M74" s="143">
        <f t="shared" si="24"/>
        <v>3261037.4898368306</v>
      </c>
      <c r="N74" s="143">
        <f t="shared" si="25"/>
        <v>3261037.4898368306</v>
      </c>
      <c r="O74" s="143">
        <f t="shared" si="25"/>
        <v>3261037.4898368306</v>
      </c>
      <c r="P74" s="145">
        <f t="shared" si="15"/>
        <v>38812740.320214823</v>
      </c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117">
        <v>1500000</v>
      </c>
      <c r="BZ74" s="81"/>
      <c r="CA74" s="81"/>
      <c r="CB74" s="81"/>
      <c r="CC74" s="81"/>
      <c r="CD74" s="81"/>
      <c r="CE74" s="81"/>
      <c r="CF74" s="81"/>
      <c r="CG74" s="81"/>
      <c r="CH74" s="81"/>
      <c r="CI74" s="81"/>
      <c r="CJ74" s="81"/>
      <c r="CK74" s="81"/>
      <c r="CL74" s="81"/>
      <c r="CN74" s="73">
        <v>1.5</v>
      </c>
    </row>
    <row r="75" spans="1:92">
      <c r="A75" s="265"/>
      <c r="B75" s="270">
        <v>6211</v>
      </c>
      <c r="C75" s="270" t="s">
        <v>65</v>
      </c>
      <c r="D75" s="264">
        <f>+'CF 2019'!O75*1.08</f>
        <v>1065698.5260904678</v>
      </c>
      <c r="E75" s="264">
        <f t="shared" si="18"/>
        <v>1065698.5260904678</v>
      </c>
      <c r="F75" s="264">
        <f t="shared" si="19"/>
        <v>1065698.5260904678</v>
      </c>
      <c r="G75" s="264">
        <f t="shared" si="20"/>
        <v>1065698.5260904678</v>
      </c>
      <c r="H75" s="264">
        <f t="shared" si="21"/>
        <v>1065698.5260904678</v>
      </c>
      <c r="I75" s="143">
        <f t="shared" si="23"/>
        <v>1087012.4966122771</v>
      </c>
      <c r="J75" s="143">
        <f t="shared" si="22"/>
        <v>1087012.4966122771</v>
      </c>
      <c r="K75" s="143">
        <f t="shared" si="16"/>
        <v>1087012.4966122771</v>
      </c>
      <c r="L75" s="143">
        <f t="shared" si="24"/>
        <v>1087012.4966122771</v>
      </c>
      <c r="M75" s="143">
        <f t="shared" si="24"/>
        <v>1087012.4966122771</v>
      </c>
      <c r="N75" s="143">
        <f t="shared" si="25"/>
        <v>1087012.4966122771</v>
      </c>
      <c r="O75" s="143">
        <f t="shared" si="25"/>
        <v>1087012.4966122771</v>
      </c>
      <c r="P75" s="145">
        <f t="shared" si="15"/>
        <v>12937580.106738277</v>
      </c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117">
        <v>500000</v>
      </c>
      <c r="BZ75" s="81"/>
      <c r="CA75" s="81"/>
      <c r="CB75" s="81"/>
      <c r="CC75" s="81"/>
      <c r="CD75" s="81"/>
      <c r="CE75" s="81"/>
      <c r="CF75" s="81"/>
      <c r="CG75" s="81"/>
      <c r="CH75" s="81"/>
      <c r="CI75" s="81"/>
      <c r="CJ75" s="81"/>
      <c r="CK75" s="81"/>
      <c r="CL75" s="81"/>
      <c r="CN75" s="73">
        <v>0.5</v>
      </c>
    </row>
    <row r="76" spans="1:92">
      <c r="A76" s="265"/>
      <c r="B76" s="270">
        <v>6220</v>
      </c>
      <c r="C76" s="270" t="s">
        <v>66</v>
      </c>
      <c r="D76" s="264">
        <f>+'CF 2019'!O76*1.08</f>
        <v>2131397.0521809356</v>
      </c>
      <c r="E76" s="264">
        <f t="shared" si="18"/>
        <v>2131397.0521809356</v>
      </c>
      <c r="F76" s="264">
        <f t="shared" si="19"/>
        <v>2131397.0521809356</v>
      </c>
      <c r="G76" s="264">
        <f t="shared" si="20"/>
        <v>2131397.0521809356</v>
      </c>
      <c r="H76" s="264">
        <f t="shared" si="21"/>
        <v>2131397.0521809356</v>
      </c>
      <c r="I76" s="143">
        <f t="shared" si="23"/>
        <v>2174024.9932245542</v>
      </c>
      <c r="J76" s="143">
        <f t="shared" si="22"/>
        <v>2174024.9932245542</v>
      </c>
      <c r="K76" s="143">
        <f t="shared" si="16"/>
        <v>2174024.9932245542</v>
      </c>
      <c r="L76" s="143">
        <f t="shared" si="24"/>
        <v>2174024.9932245542</v>
      </c>
      <c r="M76" s="143">
        <f t="shared" si="24"/>
        <v>2174024.9932245542</v>
      </c>
      <c r="N76" s="143">
        <f t="shared" si="25"/>
        <v>2174024.9932245542</v>
      </c>
      <c r="O76" s="143">
        <f t="shared" si="25"/>
        <v>2174024.9932245542</v>
      </c>
      <c r="P76" s="145">
        <f t="shared" si="15"/>
        <v>25875160.213476554</v>
      </c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117">
        <v>1000000</v>
      </c>
      <c r="BZ76" s="81"/>
      <c r="CA76" s="81"/>
      <c r="CB76" s="81"/>
      <c r="CC76" s="81"/>
      <c r="CD76" s="81"/>
      <c r="CE76" s="81"/>
      <c r="CF76" s="81"/>
      <c r="CG76" s="81"/>
      <c r="CH76" s="81"/>
      <c r="CI76" s="81"/>
      <c r="CJ76" s="81"/>
      <c r="CK76" s="81"/>
      <c r="CL76" s="81"/>
      <c r="CN76" s="73">
        <v>1</v>
      </c>
    </row>
    <row r="77" spans="1:92">
      <c r="A77" s="265"/>
      <c r="B77" s="270">
        <v>6221</v>
      </c>
      <c r="C77" s="270" t="s">
        <v>67</v>
      </c>
      <c r="D77" s="264">
        <f>+'CF 2019'!O77*1.08</f>
        <v>1065698.5260904678</v>
      </c>
      <c r="E77" s="264">
        <f t="shared" si="18"/>
        <v>1065698.5260904678</v>
      </c>
      <c r="F77" s="264">
        <f t="shared" si="19"/>
        <v>1065698.5260904678</v>
      </c>
      <c r="G77" s="264">
        <f t="shared" si="20"/>
        <v>1065698.5260904678</v>
      </c>
      <c r="H77" s="264">
        <f t="shared" si="21"/>
        <v>1065698.5260904678</v>
      </c>
      <c r="I77" s="143">
        <f t="shared" si="23"/>
        <v>1087012.4966122771</v>
      </c>
      <c r="J77" s="143">
        <f t="shared" si="22"/>
        <v>1087012.4966122771</v>
      </c>
      <c r="K77" s="143">
        <f t="shared" si="16"/>
        <v>1087012.4966122771</v>
      </c>
      <c r="L77" s="143">
        <f t="shared" si="24"/>
        <v>1087012.4966122771</v>
      </c>
      <c r="M77" s="143">
        <f t="shared" si="24"/>
        <v>1087012.4966122771</v>
      </c>
      <c r="N77" s="143">
        <f t="shared" si="25"/>
        <v>1087012.4966122771</v>
      </c>
      <c r="O77" s="143">
        <f t="shared" si="25"/>
        <v>1087012.4966122771</v>
      </c>
      <c r="P77" s="145">
        <f t="shared" si="15"/>
        <v>12937580.106738277</v>
      </c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117">
        <v>500000</v>
      </c>
      <c r="BZ77" s="81"/>
      <c r="CA77" s="81"/>
      <c r="CB77" s="81"/>
      <c r="CC77" s="81"/>
      <c r="CD77" s="81"/>
      <c r="CE77" s="81"/>
      <c r="CF77" s="81"/>
      <c r="CG77" s="81"/>
      <c r="CH77" s="81"/>
      <c r="CI77" s="81"/>
      <c r="CJ77" s="81"/>
      <c r="CK77" s="81"/>
      <c r="CL77" s="81"/>
      <c r="CN77" s="73">
        <v>0.5</v>
      </c>
    </row>
    <row r="78" spans="1:92">
      <c r="A78" s="265"/>
      <c r="B78" s="270">
        <v>6230</v>
      </c>
      <c r="C78" s="270" t="s">
        <v>68</v>
      </c>
      <c r="D78" s="264">
        <f>+'CF 2019'!O78*1.08</f>
        <v>6607330.8617608985</v>
      </c>
      <c r="E78" s="264">
        <f t="shared" si="18"/>
        <v>6607330.8617608985</v>
      </c>
      <c r="F78" s="264">
        <f t="shared" si="19"/>
        <v>6607330.8617608985</v>
      </c>
      <c r="G78" s="264">
        <f t="shared" si="20"/>
        <v>6607330.8617608985</v>
      </c>
      <c r="H78" s="264">
        <f t="shared" si="21"/>
        <v>6607330.8617608985</v>
      </c>
      <c r="I78" s="143">
        <f t="shared" si="23"/>
        <v>6739477.4789961167</v>
      </c>
      <c r="J78" s="143">
        <f t="shared" si="22"/>
        <v>6739477.4789961167</v>
      </c>
      <c r="K78" s="143">
        <f t="shared" si="16"/>
        <v>6739477.4789961167</v>
      </c>
      <c r="L78" s="143">
        <f t="shared" si="24"/>
        <v>6739477.4789961167</v>
      </c>
      <c r="M78" s="143">
        <f t="shared" si="24"/>
        <v>6739477.4789961167</v>
      </c>
      <c r="N78" s="143">
        <f t="shared" si="25"/>
        <v>6739477.4789961167</v>
      </c>
      <c r="O78" s="143">
        <f t="shared" si="25"/>
        <v>6739477.4789961167</v>
      </c>
      <c r="P78" s="145">
        <f t="shared" si="15"/>
        <v>80212996.661777288</v>
      </c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117">
        <v>3225500</v>
      </c>
      <c r="BZ78" s="81"/>
      <c r="CA78" s="81"/>
      <c r="CB78" s="81"/>
      <c r="CC78" s="81"/>
      <c r="CD78" s="81"/>
      <c r="CE78" s="81"/>
      <c r="CF78" s="81"/>
      <c r="CG78" s="81"/>
      <c r="CH78" s="81"/>
      <c r="CI78" s="81"/>
      <c r="CJ78" s="81"/>
      <c r="CK78" s="81"/>
      <c r="CL78" s="81"/>
      <c r="CN78" s="73">
        <v>9.9999999999999992E-2</v>
      </c>
    </row>
    <row r="79" spans="1:92">
      <c r="A79" s="265"/>
      <c r="B79" s="270">
        <v>6231</v>
      </c>
      <c r="C79" s="270" t="s">
        <v>69</v>
      </c>
      <c r="D79" s="264">
        <f>+'CF 2019'!O79*1.08</f>
        <v>4262794.1043618713</v>
      </c>
      <c r="E79" s="264">
        <f t="shared" si="18"/>
        <v>4262794.1043618713</v>
      </c>
      <c r="F79" s="264">
        <f t="shared" si="19"/>
        <v>4262794.1043618713</v>
      </c>
      <c r="G79" s="264">
        <f t="shared" si="20"/>
        <v>4262794.1043618713</v>
      </c>
      <c r="H79" s="264">
        <f t="shared" si="21"/>
        <v>4262794.1043618713</v>
      </c>
      <c r="I79" s="143">
        <f t="shared" si="23"/>
        <v>4348049.9864491085</v>
      </c>
      <c r="J79" s="143">
        <f t="shared" si="22"/>
        <v>4348049.9864491085</v>
      </c>
      <c r="K79" s="143">
        <f t="shared" si="16"/>
        <v>4348049.9864491085</v>
      </c>
      <c r="L79" s="143">
        <f t="shared" si="24"/>
        <v>4348049.9864491085</v>
      </c>
      <c r="M79" s="143">
        <f t="shared" si="24"/>
        <v>4348049.9864491085</v>
      </c>
      <c r="N79" s="143">
        <f t="shared" si="25"/>
        <v>4348049.9864491085</v>
      </c>
      <c r="O79" s="143">
        <f t="shared" si="25"/>
        <v>4348049.9864491085</v>
      </c>
      <c r="P79" s="145">
        <f t="shared" si="15"/>
        <v>51750320.426953107</v>
      </c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117">
        <v>8000000</v>
      </c>
      <c r="BZ79" s="81"/>
      <c r="CA79" s="81"/>
      <c r="CB79" s="81"/>
      <c r="CC79" s="81"/>
      <c r="CD79" s="81"/>
      <c r="CE79" s="81"/>
      <c r="CF79" s="81"/>
      <c r="CG79" s="81"/>
      <c r="CH79" s="81"/>
      <c r="CI79" s="81"/>
      <c r="CJ79" s="81"/>
      <c r="CK79" s="81"/>
      <c r="CL79" s="81"/>
      <c r="CN79" s="73">
        <v>0</v>
      </c>
    </row>
    <row r="80" spans="1:92">
      <c r="A80" s="265"/>
      <c r="B80" s="270">
        <v>6240</v>
      </c>
      <c r="C80" s="270" t="s">
        <v>70</v>
      </c>
      <c r="D80" s="264">
        <f>+'CF 2019'!O80*1.08</f>
        <v>9591286.734814208</v>
      </c>
      <c r="E80" s="264">
        <f t="shared" si="18"/>
        <v>9591286.734814208</v>
      </c>
      <c r="F80" s="264">
        <f t="shared" si="19"/>
        <v>9591286.734814208</v>
      </c>
      <c r="G80" s="264">
        <f t="shared" si="20"/>
        <v>9591286.734814208</v>
      </c>
      <c r="H80" s="264">
        <f t="shared" si="21"/>
        <v>9591286.734814208</v>
      </c>
      <c r="I80" s="143">
        <f t="shared" si="23"/>
        <v>9783112.4695104919</v>
      </c>
      <c r="J80" s="143">
        <f t="shared" si="22"/>
        <v>9783112.4695104919</v>
      </c>
      <c r="K80" s="143">
        <f t="shared" si="16"/>
        <v>9783112.4695104919</v>
      </c>
      <c r="L80" s="143">
        <f t="shared" si="24"/>
        <v>9783112.4695104919</v>
      </c>
      <c r="M80" s="143">
        <f t="shared" si="24"/>
        <v>9783112.4695104919</v>
      </c>
      <c r="N80" s="143">
        <f t="shared" si="25"/>
        <v>9783112.4695104919</v>
      </c>
      <c r="O80" s="143">
        <f t="shared" si="25"/>
        <v>9783112.4695104919</v>
      </c>
      <c r="P80" s="145">
        <f t="shared" si="15"/>
        <v>116438220.96064451</v>
      </c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117">
        <v>4500000</v>
      </c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N80" s="73">
        <v>4.5</v>
      </c>
    </row>
    <row r="81" spans="1:92">
      <c r="A81" s="265"/>
      <c r="B81" s="270">
        <v>6241</v>
      </c>
      <c r="C81" s="270" t="s">
        <v>71</v>
      </c>
      <c r="D81" s="264">
        <f>+'CF 2019'!O81*1.08</f>
        <v>4262794.1043618713</v>
      </c>
      <c r="E81" s="264">
        <f t="shared" si="18"/>
        <v>4262794.1043618713</v>
      </c>
      <c r="F81" s="264">
        <f t="shared" si="19"/>
        <v>4262794.1043618713</v>
      </c>
      <c r="G81" s="264">
        <f t="shared" si="20"/>
        <v>4262794.1043618713</v>
      </c>
      <c r="H81" s="264">
        <f t="shared" si="21"/>
        <v>4262794.1043618713</v>
      </c>
      <c r="I81" s="143">
        <f t="shared" si="23"/>
        <v>4348049.9864491085</v>
      </c>
      <c r="J81" s="143">
        <f t="shared" si="22"/>
        <v>4348049.9864491085</v>
      </c>
      <c r="K81" s="143">
        <f t="shared" si="16"/>
        <v>4348049.9864491085</v>
      </c>
      <c r="L81" s="143">
        <f t="shared" si="24"/>
        <v>4348049.9864491085</v>
      </c>
      <c r="M81" s="143">
        <f t="shared" si="24"/>
        <v>4348049.9864491085</v>
      </c>
      <c r="N81" s="143">
        <f t="shared" si="25"/>
        <v>4348049.9864491085</v>
      </c>
      <c r="O81" s="143">
        <f t="shared" si="25"/>
        <v>4348049.9864491085</v>
      </c>
      <c r="P81" s="145">
        <f t="shared" si="15"/>
        <v>51750320.426953107</v>
      </c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117">
        <v>2000000</v>
      </c>
      <c r="BZ81" s="81"/>
      <c r="CA81" s="81"/>
      <c r="CB81" s="81"/>
      <c r="CC81" s="81"/>
      <c r="CD81" s="81"/>
      <c r="CE81" s="81"/>
      <c r="CF81" s="81"/>
      <c r="CG81" s="81"/>
      <c r="CH81" s="81"/>
      <c r="CI81" s="81"/>
      <c r="CJ81" s="81"/>
      <c r="CK81" s="81"/>
      <c r="CL81" s="81"/>
      <c r="CN81" s="73">
        <v>2</v>
      </c>
    </row>
    <row r="82" spans="1:92">
      <c r="A82" s="265"/>
      <c r="B82" s="270">
        <v>6250</v>
      </c>
      <c r="C82" s="270" t="s">
        <v>72</v>
      </c>
      <c r="D82" s="264">
        <f>+'CF 2019'!O82*1.08</f>
        <v>72893779.184588</v>
      </c>
      <c r="E82" s="264">
        <f t="shared" si="18"/>
        <v>72893779.184588</v>
      </c>
      <c r="F82" s="264">
        <f t="shared" si="19"/>
        <v>72893779.184588</v>
      </c>
      <c r="G82" s="264">
        <f t="shared" si="20"/>
        <v>72893779.184588</v>
      </c>
      <c r="H82" s="264">
        <f t="shared" si="21"/>
        <v>72893779.184588</v>
      </c>
      <c r="I82" s="143">
        <f t="shared" si="23"/>
        <v>74351654.768279761</v>
      </c>
      <c r="J82" s="143">
        <f t="shared" si="22"/>
        <v>74351654.768279761</v>
      </c>
      <c r="K82" s="143">
        <f t="shared" si="16"/>
        <v>74351654.768279761</v>
      </c>
      <c r="L82" s="143">
        <f t="shared" si="24"/>
        <v>74351654.768279761</v>
      </c>
      <c r="M82" s="143">
        <f t="shared" si="24"/>
        <v>74351654.768279761</v>
      </c>
      <c r="N82" s="143">
        <f t="shared" si="25"/>
        <v>74351654.768279761</v>
      </c>
      <c r="O82" s="143">
        <f t="shared" si="25"/>
        <v>74351654.768279761</v>
      </c>
      <c r="P82" s="145">
        <f t="shared" si="15"/>
        <v>884930479.30089855</v>
      </c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117">
        <v>39000000</v>
      </c>
      <c r="BZ82" s="81"/>
      <c r="CA82" s="81"/>
      <c r="CB82" s="81"/>
      <c r="CC82" s="81"/>
      <c r="CD82" s="81"/>
      <c r="CE82" s="81"/>
      <c r="CF82" s="81"/>
      <c r="CG82" s="81"/>
      <c r="CH82" s="81"/>
      <c r="CI82" s="81"/>
      <c r="CJ82" s="81"/>
      <c r="CK82" s="81"/>
      <c r="CL82" s="81"/>
      <c r="CN82" s="73">
        <v>39</v>
      </c>
    </row>
    <row r="83" spans="1:92">
      <c r="A83" s="265"/>
      <c r="B83" s="270"/>
      <c r="C83" s="270"/>
      <c r="D83" s="264">
        <f>+'CF 2019'!O83*1.08</f>
        <v>0</v>
      </c>
      <c r="E83" s="264">
        <f t="shared" si="18"/>
        <v>0</v>
      </c>
      <c r="F83" s="264">
        <f t="shared" si="19"/>
        <v>0</v>
      </c>
      <c r="G83" s="264">
        <f t="shared" si="20"/>
        <v>0</v>
      </c>
      <c r="H83" s="264">
        <f t="shared" si="21"/>
        <v>0</v>
      </c>
      <c r="I83" s="143">
        <f t="shared" si="23"/>
        <v>0</v>
      </c>
      <c r="J83" s="143">
        <f t="shared" si="22"/>
        <v>0</v>
      </c>
      <c r="K83" s="143">
        <f t="shared" si="16"/>
        <v>0</v>
      </c>
      <c r="L83" s="143">
        <f t="shared" si="24"/>
        <v>0</v>
      </c>
      <c r="M83" s="143">
        <f t="shared" si="24"/>
        <v>0</v>
      </c>
      <c r="N83" s="143">
        <f t="shared" si="25"/>
        <v>0</v>
      </c>
      <c r="O83" s="143">
        <f t="shared" si="25"/>
        <v>0</v>
      </c>
      <c r="P83" s="145">
        <f t="shared" si="15"/>
        <v>0</v>
      </c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117">
        <v>0</v>
      </c>
      <c r="BZ83" s="81"/>
      <c r="CA83" s="81"/>
      <c r="CB83" s="81"/>
      <c r="CC83" s="81"/>
      <c r="CD83" s="81"/>
      <c r="CE83" s="81"/>
      <c r="CF83" s="81"/>
      <c r="CG83" s="81"/>
      <c r="CH83" s="81"/>
      <c r="CI83" s="81"/>
      <c r="CJ83" s="81"/>
      <c r="CK83" s="81"/>
      <c r="CL83" s="81"/>
      <c r="CN83" s="73"/>
    </row>
    <row r="84" spans="1:92">
      <c r="A84" s="265"/>
      <c r="B84" s="269" t="s">
        <v>73</v>
      </c>
      <c r="C84" s="270"/>
      <c r="D84" s="264">
        <f>+'CF 2019'!O84*1.08</f>
        <v>0</v>
      </c>
      <c r="E84" s="264">
        <f t="shared" si="18"/>
        <v>0</v>
      </c>
      <c r="F84" s="264">
        <f t="shared" si="19"/>
        <v>0</v>
      </c>
      <c r="G84" s="264">
        <f t="shared" si="20"/>
        <v>0</v>
      </c>
      <c r="H84" s="264">
        <f t="shared" si="21"/>
        <v>0</v>
      </c>
      <c r="I84" s="143">
        <f t="shared" si="23"/>
        <v>0</v>
      </c>
      <c r="J84" s="143">
        <f t="shared" si="22"/>
        <v>0</v>
      </c>
      <c r="K84" s="143">
        <f t="shared" si="16"/>
        <v>0</v>
      </c>
      <c r="L84" s="143">
        <f t="shared" si="24"/>
        <v>0</v>
      </c>
      <c r="M84" s="143">
        <f t="shared" si="24"/>
        <v>0</v>
      </c>
      <c r="N84" s="143">
        <f t="shared" si="25"/>
        <v>0</v>
      </c>
      <c r="O84" s="143">
        <f t="shared" si="25"/>
        <v>0</v>
      </c>
      <c r="P84" s="145">
        <f t="shared" si="15"/>
        <v>0</v>
      </c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117">
        <v>0</v>
      </c>
      <c r="BZ84" s="81"/>
      <c r="CA84" s="81"/>
      <c r="CB84" s="81"/>
      <c r="CC84" s="81"/>
      <c r="CD84" s="81"/>
      <c r="CE84" s="81"/>
      <c r="CF84" s="81"/>
      <c r="CG84" s="81"/>
      <c r="CH84" s="81"/>
      <c r="CI84" s="81"/>
      <c r="CJ84" s="81"/>
      <c r="CK84" s="81"/>
      <c r="CL84" s="81"/>
      <c r="CN84" s="73"/>
    </row>
    <row r="85" spans="1:92">
      <c r="A85" s="265"/>
      <c r="B85" s="270">
        <v>6000</v>
      </c>
      <c r="C85" s="270" t="s">
        <v>74</v>
      </c>
      <c r="D85" s="264">
        <f>+'CF 2019'!O85*1.08</f>
        <v>0</v>
      </c>
      <c r="E85" s="264">
        <f t="shared" si="18"/>
        <v>0</v>
      </c>
      <c r="F85" s="264">
        <f t="shared" si="19"/>
        <v>0</v>
      </c>
      <c r="G85" s="264">
        <f t="shared" si="20"/>
        <v>0</v>
      </c>
      <c r="H85" s="264">
        <f t="shared" si="21"/>
        <v>0</v>
      </c>
      <c r="I85" s="143">
        <f t="shared" si="23"/>
        <v>0</v>
      </c>
      <c r="J85" s="143">
        <f t="shared" si="22"/>
        <v>0</v>
      </c>
      <c r="K85" s="143">
        <f t="shared" si="16"/>
        <v>0</v>
      </c>
      <c r="L85" s="143">
        <f t="shared" si="24"/>
        <v>0</v>
      </c>
      <c r="M85" s="143">
        <f t="shared" si="24"/>
        <v>0</v>
      </c>
      <c r="N85" s="143">
        <f t="shared" si="25"/>
        <v>0</v>
      </c>
      <c r="O85" s="143">
        <f t="shared" si="25"/>
        <v>0</v>
      </c>
      <c r="P85" s="145">
        <f t="shared" si="15"/>
        <v>0</v>
      </c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117">
        <v>0</v>
      </c>
      <c r="BZ85" s="81"/>
      <c r="CA85" s="81"/>
      <c r="CB85" s="81"/>
      <c r="CC85" s="81"/>
      <c r="CD85" s="81"/>
      <c r="CE85" s="81"/>
      <c r="CF85" s="81"/>
      <c r="CG85" s="81"/>
      <c r="CH85" s="81"/>
      <c r="CI85" s="81"/>
      <c r="CJ85" s="81"/>
      <c r="CK85" s="81"/>
      <c r="CL85" s="81"/>
      <c r="CN85" s="73"/>
    </row>
    <row r="86" spans="1:92">
      <c r="A86" s="265"/>
      <c r="B86" s="270">
        <v>6001</v>
      </c>
      <c r="C86" s="270" t="s">
        <v>75</v>
      </c>
      <c r="D86" s="264">
        <v>2400000000</v>
      </c>
      <c r="E86" s="264">
        <f t="shared" si="18"/>
        <v>2400000000</v>
      </c>
      <c r="F86" s="264">
        <f t="shared" si="19"/>
        <v>2400000000</v>
      </c>
      <c r="G86" s="264">
        <f t="shared" si="20"/>
        <v>2400000000</v>
      </c>
      <c r="H86" s="264">
        <f t="shared" si="21"/>
        <v>2400000000</v>
      </c>
      <c r="I86" s="143">
        <f t="shared" si="23"/>
        <v>2448000000</v>
      </c>
      <c r="J86" s="143">
        <f t="shared" si="22"/>
        <v>2448000000</v>
      </c>
      <c r="K86" s="143">
        <f t="shared" si="16"/>
        <v>2448000000</v>
      </c>
      <c r="L86" s="143">
        <f t="shared" si="24"/>
        <v>2448000000</v>
      </c>
      <c r="M86" s="143">
        <f t="shared" si="24"/>
        <v>2448000000</v>
      </c>
      <c r="N86" s="143">
        <f t="shared" si="25"/>
        <v>2448000000</v>
      </c>
      <c r="O86" s="143">
        <f t="shared" si="25"/>
        <v>2448000000</v>
      </c>
      <c r="P86" s="145">
        <f t="shared" si="15"/>
        <v>29136000000</v>
      </c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117">
        <v>1100000000</v>
      </c>
      <c r="BZ86" s="81"/>
      <c r="CA86" s="81"/>
      <c r="CB86" s="81"/>
      <c r="CC86" s="81"/>
      <c r="CD86" s="81"/>
      <c r="CE86" s="81"/>
      <c r="CF86" s="81"/>
      <c r="CG86" s="81"/>
      <c r="CH86" s="81"/>
      <c r="CI86" s="81"/>
      <c r="CJ86" s="81"/>
      <c r="CK86" s="81"/>
      <c r="CL86" s="81"/>
      <c r="CN86" s="73">
        <v>1000</v>
      </c>
    </row>
    <row r="87" spans="1:92">
      <c r="A87" s="265"/>
      <c r="B87" s="270">
        <v>6002</v>
      </c>
      <c r="C87" s="270" t="s">
        <v>76</v>
      </c>
      <c r="D87" s="264">
        <f>+'CF 2019'!O87*1.08</f>
        <v>191825734.6962842</v>
      </c>
      <c r="E87" s="264">
        <f t="shared" si="18"/>
        <v>191825734.6962842</v>
      </c>
      <c r="F87" s="264">
        <f t="shared" si="19"/>
        <v>191825734.6962842</v>
      </c>
      <c r="G87" s="264">
        <f t="shared" si="20"/>
        <v>191825734.6962842</v>
      </c>
      <c r="H87" s="264">
        <f t="shared" si="21"/>
        <v>191825734.6962842</v>
      </c>
      <c r="I87" s="143">
        <f t="shared" si="23"/>
        <v>195662249.39020988</v>
      </c>
      <c r="J87" s="143">
        <f t="shared" si="22"/>
        <v>195662249.39020988</v>
      </c>
      <c r="K87" s="143">
        <f t="shared" si="16"/>
        <v>195662249.39020988</v>
      </c>
      <c r="L87" s="143">
        <f t="shared" si="24"/>
        <v>195662249.39020988</v>
      </c>
      <c r="M87" s="143">
        <f t="shared" si="24"/>
        <v>195662249.39020988</v>
      </c>
      <c r="N87" s="143">
        <f t="shared" si="25"/>
        <v>195662249.39020988</v>
      </c>
      <c r="O87" s="143">
        <f t="shared" si="25"/>
        <v>195662249.39020988</v>
      </c>
      <c r="P87" s="145">
        <f t="shared" si="15"/>
        <v>2328764419.2128901</v>
      </c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117">
        <v>90000000</v>
      </c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N87" s="73">
        <v>90</v>
      </c>
    </row>
    <row r="88" spans="1:92">
      <c r="A88" s="265"/>
      <c r="B88" s="270">
        <v>6020</v>
      </c>
      <c r="C88" s="270" t="s">
        <v>77</v>
      </c>
      <c r="D88" s="264">
        <f>+'CF 2019'!O88*1.09</f>
        <v>2688915262.5893731</v>
      </c>
      <c r="E88" s="264">
        <f t="shared" si="18"/>
        <v>2688915262.5893731</v>
      </c>
      <c r="F88" s="264">
        <f t="shared" si="19"/>
        <v>2688915262.5893731</v>
      </c>
      <c r="G88" s="264">
        <f t="shared" si="20"/>
        <v>2688915262.5893731</v>
      </c>
      <c r="H88" s="264">
        <f t="shared" si="21"/>
        <v>2688915262.5893731</v>
      </c>
      <c r="I88" s="143">
        <f t="shared" si="23"/>
        <v>2742693567.8411608</v>
      </c>
      <c r="J88" s="143">
        <f t="shared" si="22"/>
        <v>2742693567.8411608</v>
      </c>
      <c r="K88" s="143">
        <f t="shared" si="16"/>
        <v>2742693567.8411608</v>
      </c>
      <c r="L88" s="143">
        <f t="shared" si="24"/>
        <v>2742693567.8411608</v>
      </c>
      <c r="M88" s="143">
        <f t="shared" si="24"/>
        <v>2742693567.8411608</v>
      </c>
      <c r="N88" s="143">
        <f t="shared" si="25"/>
        <v>2742693567.8411608</v>
      </c>
      <c r="O88" s="143">
        <f>N88+(N88*$J$8%)-47136399</f>
        <v>2695557168.8411608</v>
      </c>
      <c r="P88" s="145">
        <f t="shared" si="15"/>
        <v>32596294888.834984</v>
      </c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163"/>
      <c r="BK88" s="163"/>
      <c r="BL88" s="163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117">
        <v>1300000000</v>
      </c>
      <c r="BZ88" s="81"/>
      <c r="CA88" s="81"/>
      <c r="CB88" s="81"/>
      <c r="CC88" s="81"/>
      <c r="CD88" s="81"/>
      <c r="CE88" s="81"/>
      <c r="CF88" s="81"/>
      <c r="CG88" s="81"/>
      <c r="CH88" s="81"/>
      <c r="CI88" s="81"/>
      <c r="CJ88" s="81"/>
      <c r="CK88" s="81"/>
      <c r="CL88" s="81"/>
      <c r="CN88" s="73">
        <v>1000</v>
      </c>
    </row>
    <row r="89" spans="1:92">
      <c r="A89" s="265"/>
      <c r="B89" s="270">
        <v>6021</v>
      </c>
      <c r="C89" s="270" t="s">
        <v>78</v>
      </c>
      <c r="D89" s="264">
        <f>+'CF 2019'!O89*1.08</f>
        <v>191825734.6962842</v>
      </c>
      <c r="E89" s="264">
        <f t="shared" si="18"/>
        <v>191825734.6962842</v>
      </c>
      <c r="F89" s="264">
        <f t="shared" si="19"/>
        <v>191825734.6962842</v>
      </c>
      <c r="G89" s="264">
        <f t="shared" si="20"/>
        <v>191825734.6962842</v>
      </c>
      <c r="H89" s="264">
        <f t="shared" si="21"/>
        <v>191825734.6962842</v>
      </c>
      <c r="I89" s="143">
        <f t="shared" si="23"/>
        <v>195662249.39020988</v>
      </c>
      <c r="J89" s="143">
        <f t="shared" si="22"/>
        <v>195662249.39020988</v>
      </c>
      <c r="K89" s="143">
        <f t="shared" si="16"/>
        <v>195662249.39020988</v>
      </c>
      <c r="L89" s="143">
        <f t="shared" si="24"/>
        <v>195662249.39020988</v>
      </c>
      <c r="M89" s="143">
        <f t="shared" si="24"/>
        <v>195662249.39020988</v>
      </c>
      <c r="N89" s="143">
        <f t="shared" si="25"/>
        <v>195662249.39020988</v>
      </c>
      <c r="O89" s="143">
        <f t="shared" si="25"/>
        <v>195662249.39020988</v>
      </c>
      <c r="P89" s="145">
        <f t="shared" si="15"/>
        <v>2328764419.2128901</v>
      </c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117">
        <v>90000000</v>
      </c>
      <c r="BZ89" s="81"/>
      <c r="CA89" s="81"/>
      <c r="CB89" s="81"/>
      <c r="CC89" s="81"/>
      <c r="CD89" s="81"/>
      <c r="CE89" s="81"/>
      <c r="CF89" s="81"/>
      <c r="CG89" s="81"/>
      <c r="CH89" s="81"/>
      <c r="CI89" s="81"/>
      <c r="CJ89" s="81"/>
      <c r="CK89" s="81"/>
      <c r="CL89" s="81"/>
      <c r="CN89" s="73">
        <v>90</v>
      </c>
    </row>
    <row r="90" spans="1:92" ht="16.5" customHeight="1">
      <c r="A90" s="265"/>
      <c r="B90" s="270">
        <v>6030</v>
      </c>
      <c r="C90" s="270" t="s">
        <v>79</v>
      </c>
      <c r="D90" s="264">
        <f>+'CF 2019'!O90*1.08</f>
        <v>8525588.2087237425</v>
      </c>
      <c r="E90" s="264">
        <f t="shared" si="18"/>
        <v>8525588.2087237425</v>
      </c>
      <c r="F90" s="264">
        <f t="shared" si="19"/>
        <v>8525588.2087237425</v>
      </c>
      <c r="G90" s="264">
        <f t="shared" si="20"/>
        <v>8525588.2087237425</v>
      </c>
      <c r="H90" s="264">
        <f t="shared" si="21"/>
        <v>8525588.2087237425</v>
      </c>
      <c r="I90" s="143">
        <f t="shared" si="23"/>
        <v>8696099.9728982169</v>
      </c>
      <c r="J90" s="143">
        <f t="shared" si="22"/>
        <v>8696099.9728982169</v>
      </c>
      <c r="K90" s="143">
        <f t="shared" si="16"/>
        <v>8696099.9728982169</v>
      </c>
      <c r="L90" s="143">
        <f t="shared" si="24"/>
        <v>8696099.9728982169</v>
      </c>
      <c r="M90" s="143">
        <f t="shared" si="24"/>
        <v>8696099.9728982169</v>
      </c>
      <c r="N90" s="143">
        <f t="shared" si="25"/>
        <v>8696099.9728982169</v>
      </c>
      <c r="O90" s="143">
        <f t="shared" si="25"/>
        <v>8696099.9728982169</v>
      </c>
      <c r="P90" s="145">
        <f t="shared" si="15"/>
        <v>103500640.85390621</v>
      </c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117">
        <v>4000000</v>
      </c>
      <c r="BZ90" s="81"/>
      <c r="CA90" s="81"/>
      <c r="CB90" s="81"/>
      <c r="CC90" s="81"/>
      <c r="CD90" s="81"/>
      <c r="CE90" s="81"/>
      <c r="CF90" s="81"/>
      <c r="CG90" s="81"/>
      <c r="CH90" s="81"/>
      <c r="CI90" s="81"/>
      <c r="CJ90" s="81"/>
      <c r="CK90" s="81"/>
      <c r="CL90" s="81"/>
      <c r="CN90" s="73">
        <v>4</v>
      </c>
    </row>
    <row r="91" spans="1:92" ht="16.5" customHeight="1">
      <c r="A91" s="265"/>
      <c r="B91" s="270">
        <v>6040</v>
      </c>
      <c r="C91" s="270" t="s">
        <v>80</v>
      </c>
      <c r="D91" s="264">
        <f>+'CF 2019'!O91*1.08</f>
        <v>0</v>
      </c>
      <c r="E91" s="264">
        <f t="shared" si="18"/>
        <v>0</v>
      </c>
      <c r="F91" s="264">
        <f t="shared" si="19"/>
        <v>0</v>
      </c>
      <c r="G91" s="264">
        <f t="shared" si="20"/>
        <v>0</v>
      </c>
      <c r="H91" s="264">
        <f t="shared" si="21"/>
        <v>0</v>
      </c>
      <c r="I91" s="143">
        <f t="shared" si="23"/>
        <v>0</v>
      </c>
      <c r="J91" s="143">
        <f t="shared" si="22"/>
        <v>0</v>
      </c>
      <c r="K91" s="143">
        <f t="shared" si="16"/>
        <v>0</v>
      </c>
      <c r="L91" s="143">
        <f t="shared" si="24"/>
        <v>0</v>
      </c>
      <c r="M91" s="143">
        <f t="shared" si="24"/>
        <v>0</v>
      </c>
      <c r="N91" s="143">
        <f t="shared" si="25"/>
        <v>0</v>
      </c>
      <c r="O91" s="143">
        <f t="shared" si="25"/>
        <v>0</v>
      </c>
      <c r="P91" s="145">
        <f t="shared" si="15"/>
        <v>0</v>
      </c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117">
        <v>0</v>
      </c>
      <c r="BZ91" s="81"/>
      <c r="CA91" s="81"/>
      <c r="CB91" s="81"/>
      <c r="CC91" s="81"/>
      <c r="CD91" s="81"/>
      <c r="CE91" s="81"/>
      <c r="CF91" s="81"/>
      <c r="CG91" s="81"/>
      <c r="CH91" s="81"/>
      <c r="CI91" s="81"/>
      <c r="CJ91" s="81"/>
      <c r="CK91" s="81"/>
      <c r="CL91" s="81"/>
      <c r="CN91" s="73"/>
    </row>
    <row r="92" spans="1:92">
      <c r="A92" s="265"/>
      <c r="B92" s="270">
        <v>6041</v>
      </c>
      <c r="C92" s="270" t="s">
        <v>81</v>
      </c>
      <c r="D92" s="264">
        <f>+'CF 2019'!O92*1.08</f>
        <v>0</v>
      </c>
      <c r="E92" s="264">
        <f t="shared" si="18"/>
        <v>0</v>
      </c>
      <c r="F92" s="264">
        <f t="shared" si="19"/>
        <v>0</v>
      </c>
      <c r="G92" s="264">
        <f t="shared" si="20"/>
        <v>0</v>
      </c>
      <c r="H92" s="264">
        <f t="shared" si="21"/>
        <v>0</v>
      </c>
      <c r="I92" s="143">
        <f t="shared" si="23"/>
        <v>0</v>
      </c>
      <c r="J92" s="143">
        <f t="shared" si="22"/>
        <v>0</v>
      </c>
      <c r="K92" s="143">
        <f t="shared" si="16"/>
        <v>0</v>
      </c>
      <c r="L92" s="143">
        <f t="shared" si="24"/>
        <v>0</v>
      </c>
      <c r="M92" s="143">
        <f t="shared" si="24"/>
        <v>0</v>
      </c>
      <c r="N92" s="143">
        <f t="shared" si="25"/>
        <v>0</v>
      </c>
      <c r="O92" s="143">
        <f t="shared" si="25"/>
        <v>0</v>
      </c>
      <c r="P92" s="145">
        <f t="shared" si="15"/>
        <v>0</v>
      </c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117">
        <v>0</v>
      </c>
      <c r="BZ92" s="81"/>
      <c r="CA92" s="81"/>
      <c r="CB92" s="81"/>
      <c r="CC92" s="81"/>
      <c r="CD92" s="81"/>
      <c r="CE92" s="81"/>
      <c r="CF92" s="81"/>
      <c r="CG92" s="81"/>
      <c r="CH92" s="81"/>
      <c r="CI92" s="81"/>
      <c r="CJ92" s="81"/>
      <c r="CK92" s="81"/>
      <c r="CL92" s="81"/>
      <c r="CN92" s="73"/>
    </row>
    <row r="93" spans="1:92">
      <c r="A93" s="265"/>
      <c r="B93" s="270">
        <v>6050</v>
      </c>
      <c r="C93" s="270" t="s">
        <v>82</v>
      </c>
      <c r="D93" s="264">
        <v>250000000</v>
      </c>
      <c r="E93" s="264">
        <f t="shared" si="18"/>
        <v>250000000</v>
      </c>
      <c r="F93" s="264">
        <f t="shared" si="19"/>
        <v>250000000</v>
      </c>
      <c r="G93" s="264">
        <f t="shared" si="20"/>
        <v>250000000</v>
      </c>
      <c r="H93" s="264">
        <f t="shared" si="21"/>
        <v>250000000</v>
      </c>
      <c r="I93" s="143">
        <f t="shared" si="23"/>
        <v>255000000</v>
      </c>
      <c r="J93" s="143">
        <f t="shared" si="22"/>
        <v>255000000</v>
      </c>
      <c r="K93" s="143">
        <f t="shared" si="16"/>
        <v>255000000</v>
      </c>
      <c r="L93" s="143">
        <f t="shared" si="24"/>
        <v>255000000</v>
      </c>
      <c r="M93" s="143">
        <f t="shared" si="24"/>
        <v>255000000</v>
      </c>
      <c r="N93" s="143">
        <f t="shared" si="25"/>
        <v>255000000</v>
      </c>
      <c r="O93" s="143">
        <f t="shared" si="25"/>
        <v>255000000</v>
      </c>
      <c r="P93" s="145">
        <f t="shared" ref="P93:P115" si="27">SUM(D93:O93)</f>
        <v>3035000000</v>
      </c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117">
        <v>115000000</v>
      </c>
      <c r="BZ93" s="81"/>
      <c r="CA93" s="81"/>
      <c r="CB93" s="81"/>
      <c r="CC93" s="81"/>
      <c r="CD93" s="81"/>
      <c r="CE93" s="81"/>
      <c r="CF93" s="81"/>
      <c r="CG93" s="81"/>
      <c r="CH93" s="81"/>
      <c r="CI93" s="81"/>
      <c r="CJ93" s="81"/>
      <c r="CK93" s="81"/>
      <c r="CL93" s="81"/>
      <c r="CN93" s="73">
        <v>115</v>
      </c>
    </row>
    <row r="94" spans="1:92">
      <c r="A94" s="265"/>
      <c r="B94" s="270">
        <v>6051</v>
      </c>
      <c r="C94" s="270" t="s">
        <v>83</v>
      </c>
      <c r="D94" s="264">
        <f>+'CF 2019'!O94*1.08</f>
        <v>1278838.2313085611</v>
      </c>
      <c r="E94" s="264">
        <f t="shared" si="18"/>
        <v>1278838.2313085611</v>
      </c>
      <c r="F94" s="264">
        <f t="shared" si="19"/>
        <v>1278838.2313085611</v>
      </c>
      <c r="G94" s="264">
        <f t="shared" si="20"/>
        <v>1278838.2313085611</v>
      </c>
      <c r="H94" s="264">
        <f t="shared" si="21"/>
        <v>1278838.2313085611</v>
      </c>
      <c r="I94" s="143">
        <f t="shared" si="23"/>
        <v>1304414.9959347323</v>
      </c>
      <c r="J94" s="143">
        <f t="shared" si="22"/>
        <v>1304414.9959347323</v>
      </c>
      <c r="K94" s="143">
        <f t="shared" ref="K94:K99" si="28">J94+(J94*$K$8%)</f>
        <v>1304414.9959347323</v>
      </c>
      <c r="L94" s="143">
        <f t="shared" si="24"/>
        <v>1304414.9959347323</v>
      </c>
      <c r="M94" s="143">
        <f t="shared" si="24"/>
        <v>1304414.9959347323</v>
      </c>
      <c r="N94" s="143">
        <f t="shared" si="25"/>
        <v>1304414.9959347323</v>
      </c>
      <c r="O94" s="143">
        <f t="shared" si="25"/>
        <v>1304414.9959347323</v>
      </c>
      <c r="P94" s="145">
        <f t="shared" si="27"/>
        <v>15525096.12808593</v>
      </c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117">
        <v>600000</v>
      </c>
      <c r="BZ94" s="81"/>
      <c r="CA94" s="81"/>
      <c r="CB94" s="81"/>
      <c r="CC94" s="81"/>
      <c r="CD94" s="81"/>
      <c r="CE94" s="81"/>
      <c r="CF94" s="81"/>
      <c r="CG94" s="81"/>
      <c r="CH94" s="81"/>
      <c r="CI94" s="81"/>
      <c r="CJ94" s="81"/>
      <c r="CK94" s="81"/>
      <c r="CL94" s="81"/>
      <c r="CN94" s="73">
        <v>0.6</v>
      </c>
    </row>
    <row r="95" spans="1:92">
      <c r="A95" s="265"/>
      <c r="B95" s="270">
        <v>6052</v>
      </c>
      <c r="C95" s="270" t="s">
        <v>84</v>
      </c>
      <c r="D95" s="264">
        <f>+'CF 2019'!O95*1.08</f>
        <v>1065698.5260904678</v>
      </c>
      <c r="E95" s="264">
        <f t="shared" ref="E95:E97" si="29">D95+(D95*$E$8%)</f>
        <v>1065698.5260904678</v>
      </c>
      <c r="F95" s="264">
        <f t="shared" ref="F95:F97" si="30">E95+(E95*$F$8%)</f>
        <v>1065698.5260904678</v>
      </c>
      <c r="G95" s="264">
        <f t="shared" ref="G95:G97" si="31">F95+(F95*$G$8%)</f>
        <v>1065698.5260904678</v>
      </c>
      <c r="H95" s="264">
        <f t="shared" ref="H95:H100" si="32">G95+(G95*$H$8%)</f>
        <v>1065698.5260904678</v>
      </c>
      <c r="I95" s="143">
        <f t="shared" si="23"/>
        <v>1087012.4966122771</v>
      </c>
      <c r="J95" s="143">
        <f t="shared" ref="J95:J97" si="33">I95+(I95*$J$8%)</f>
        <v>1087012.4966122771</v>
      </c>
      <c r="K95" s="143">
        <f t="shared" si="28"/>
        <v>1087012.4966122771</v>
      </c>
      <c r="L95" s="143">
        <f t="shared" si="24"/>
        <v>1087012.4966122771</v>
      </c>
      <c r="M95" s="143">
        <f t="shared" si="24"/>
        <v>1087012.4966122771</v>
      </c>
      <c r="N95" s="143">
        <f t="shared" si="25"/>
        <v>1087012.4966122771</v>
      </c>
      <c r="O95" s="143">
        <f t="shared" si="25"/>
        <v>1087012.4966122771</v>
      </c>
      <c r="P95" s="145">
        <f t="shared" si="27"/>
        <v>12937580.106738277</v>
      </c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117">
        <v>500000</v>
      </c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N95" s="73">
        <v>0.5</v>
      </c>
    </row>
    <row r="96" spans="1:92">
      <c r="A96" s="265"/>
      <c r="B96" s="270">
        <v>6090</v>
      </c>
      <c r="C96" s="270" t="s">
        <v>85</v>
      </c>
      <c r="D96" s="264">
        <f>+'CF 2019'!O96*1.08</f>
        <v>2131397.0521809356</v>
      </c>
      <c r="E96" s="264">
        <f t="shared" si="29"/>
        <v>2131397.0521809356</v>
      </c>
      <c r="F96" s="264">
        <f t="shared" si="30"/>
        <v>2131397.0521809356</v>
      </c>
      <c r="G96" s="264">
        <f t="shared" si="31"/>
        <v>2131397.0521809356</v>
      </c>
      <c r="H96" s="264">
        <f t="shared" si="32"/>
        <v>2131397.0521809356</v>
      </c>
      <c r="I96" s="143">
        <f t="shared" si="23"/>
        <v>2174024.9932245542</v>
      </c>
      <c r="J96" s="143">
        <f t="shared" si="33"/>
        <v>2174024.9932245542</v>
      </c>
      <c r="K96" s="143">
        <f t="shared" si="28"/>
        <v>2174024.9932245542</v>
      </c>
      <c r="L96" s="143">
        <f t="shared" si="24"/>
        <v>2174024.9932245542</v>
      </c>
      <c r="M96" s="143">
        <f t="shared" si="24"/>
        <v>2174024.9932245542</v>
      </c>
      <c r="N96" s="143">
        <f t="shared" si="25"/>
        <v>2174024.9932245542</v>
      </c>
      <c r="O96" s="143">
        <f t="shared" si="25"/>
        <v>2174024.9932245542</v>
      </c>
      <c r="P96" s="145">
        <f t="shared" si="27"/>
        <v>25875160.213476554</v>
      </c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163"/>
      <c r="BK96" s="163"/>
      <c r="BL96" s="163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117">
        <v>1000000</v>
      </c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N96" s="73">
        <v>1</v>
      </c>
    </row>
    <row r="97" spans="1:92">
      <c r="A97" s="265"/>
      <c r="B97" s="270"/>
      <c r="C97" s="270" t="s">
        <v>86</v>
      </c>
      <c r="D97" s="264">
        <f>+'CF 2019'!O97*1.08</f>
        <v>138540808.39176083</v>
      </c>
      <c r="E97" s="264">
        <f t="shared" si="29"/>
        <v>138540808.39176083</v>
      </c>
      <c r="F97" s="264">
        <f t="shared" si="30"/>
        <v>138540808.39176083</v>
      </c>
      <c r="G97" s="264">
        <f t="shared" si="31"/>
        <v>138540808.39176083</v>
      </c>
      <c r="H97" s="264">
        <f t="shared" si="32"/>
        <v>138540808.39176083</v>
      </c>
      <c r="I97" s="143">
        <f t="shared" ref="I97:I100" si="34">H97+(H97*$I$8%)</f>
        <v>141311624.55959603</v>
      </c>
      <c r="J97" s="143">
        <f t="shared" si="33"/>
        <v>141311624.55959603</v>
      </c>
      <c r="K97" s="143">
        <f t="shared" si="28"/>
        <v>141311624.55959603</v>
      </c>
      <c r="L97" s="143">
        <f t="shared" si="24"/>
        <v>141311624.55959603</v>
      </c>
      <c r="M97" s="143">
        <f t="shared" si="24"/>
        <v>141311624.55959603</v>
      </c>
      <c r="N97" s="143">
        <f t="shared" si="25"/>
        <v>141311624.55959603</v>
      </c>
      <c r="O97" s="143">
        <f t="shared" si="25"/>
        <v>141311624.55959603</v>
      </c>
      <c r="P97" s="145">
        <f t="shared" si="27"/>
        <v>1681885413.8759766</v>
      </c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163"/>
      <c r="BK97" s="163"/>
      <c r="BL97" s="163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117">
        <v>65000000</v>
      </c>
      <c r="BZ97" s="81"/>
      <c r="CA97" s="81"/>
      <c r="CB97" s="81"/>
      <c r="CC97" s="81"/>
      <c r="CD97" s="81"/>
      <c r="CE97" s="81"/>
      <c r="CF97" s="81"/>
      <c r="CG97" s="81"/>
      <c r="CH97" s="81"/>
      <c r="CI97" s="81"/>
      <c r="CJ97" s="81"/>
      <c r="CK97" s="81"/>
      <c r="CL97" s="81"/>
      <c r="CN97" s="73">
        <v>65</v>
      </c>
    </row>
    <row r="98" spans="1:92">
      <c r="A98" s="265"/>
      <c r="B98" s="270"/>
      <c r="C98" s="270" t="s">
        <v>87</v>
      </c>
      <c r="D98" s="264">
        <f>+'CF 2019'!O98*1.05</f>
        <v>0</v>
      </c>
      <c r="E98" s="264"/>
      <c r="F98" s="264"/>
      <c r="G98" s="264"/>
      <c r="H98" s="264">
        <f t="shared" si="32"/>
        <v>0</v>
      </c>
      <c r="I98" s="143">
        <f t="shared" si="34"/>
        <v>0</v>
      </c>
      <c r="J98" s="143">
        <f t="shared" ref="J98" si="35">I98*1.1</f>
        <v>0</v>
      </c>
      <c r="K98" s="143">
        <f t="shared" si="28"/>
        <v>0</v>
      </c>
      <c r="L98" s="143">
        <f t="shared" si="24"/>
        <v>0</v>
      </c>
      <c r="M98" s="143">
        <f t="shared" si="24"/>
        <v>0</v>
      </c>
      <c r="N98" s="143">
        <f t="shared" si="25"/>
        <v>0</v>
      </c>
      <c r="O98" s="143">
        <f t="shared" si="25"/>
        <v>0</v>
      </c>
      <c r="P98" s="145">
        <f t="shared" si="27"/>
        <v>0</v>
      </c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163"/>
      <c r="BK98" s="163"/>
      <c r="BL98" s="163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117"/>
      <c r="BZ98" s="81"/>
      <c r="CA98" s="81"/>
      <c r="CB98" s="81"/>
      <c r="CC98" s="81"/>
      <c r="CD98" s="81"/>
      <c r="CE98" s="81"/>
      <c r="CF98" s="81"/>
      <c r="CG98" s="81"/>
      <c r="CH98" s="81"/>
      <c r="CI98" s="81"/>
      <c r="CJ98" s="81"/>
      <c r="CK98" s="81"/>
      <c r="CL98" s="81"/>
      <c r="CN98" s="73"/>
    </row>
    <row r="99" spans="1:92">
      <c r="A99" s="265"/>
      <c r="B99" s="270"/>
      <c r="C99" s="270" t="s">
        <v>88</v>
      </c>
      <c r="D99" s="264">
        <f>+'CF 2019'!O99*1.05</f>
        <v>0</v>
      </c>
      <c r="E99" s="264"/>
      <c r="F99" s="264"/>
      <c r="G99" s="264"/>
      <c r="H99" s="264">
        <f t="shared" si="32"/>
        <v>0</v>
      </c>
      <c r="I99" s="143">
        <f t="shared" si="34"/>
        <v>0</v>
      </c>
      <c r="J99" s="143">
        <f t="shared" ref="J99:J100" si="36">I99+(I99*$J$8%)</f>
        <v>0</v>
      </c>
      <c r="K99" s="143">
        <f t="shared" si="28"/>
        <v>0</v>
      </c>
      <c r="L99" s="143">
        <f t="shared" ref="L99:M99" si="37">K99+(K99*$J$8%)</f>
        <v>0</v>
      </c>
      <c r="M99" s="143">
        <f t="shared" si="37"/>
        <v>0</v>
      </c>
      <c r="N99" s="143">
        <f t="shared" si="25"/>
        <v>0</v>
      </c>
      <c r="O99" s="143">
        <f t="shared" si="25"/>
        <v>0</v>
      </c>
      <c r="P99" s="145">
        <f t="shared" si="27"/>
        <v>0</v>
      </c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163"/>
      <c r="BK99" s="163"/>
      <c r="BL99" s="163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117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N99" s="73"/>
    </row>
    <row r="100" spans="1:92">
      <c r="A100" s="265"/>
      <c r="B100" s="270"/>
      <c r="C100" s="270" t="s">
        <v>89</v>
      </c>
      <c r="D100" s="264">
        <v>113277304</v>
      </c>
      <c r="E100" s="264"/>
      <c r="F100" s="264"/>
      <c r="G100" s="264"/>
      <c r="H100" s="264">
        <f t="shared" si="32"/>
        <v>0</v>
      </c>
      <c r="I100" s="143">
        <f t="shared" si="34"/>
        <v>0</v>
      </c>
      <c r="J100" s="143">
        <f t="shared" si="36"/>
        <v>0</v>
      </c>
      <c r="K100" s="143"/>
      <c r="L100" s="143"/>
      <c r="M100" s="143"/>
      <c r="N100" s="143"/>
      <c r="O100" s="143"/>
      <c r="P100" s="145">
        <f t="shared" si="27"/>
        <v>113277304</v>
      </c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117"/>
      <c r="BZ100" s="81"/>
      <c r="CA100" s="81"/>
      <c r="CB100" s="81"/>
      <c r="CC100" s="81"/>
      <c r="CD100" s="81"/>
      <c r="CE100" s="81"/>
      <c r="CF100" s="81"/>
      <c r="CG100" s="81"/>
      <c r="CH100" s="81"/>
      <c r="CI100" s="81"/>
      <c r="CJ100" s="81"/>
      <c r="CK100" s="81"/>
      <c r="CL100" s="81"/>
      <c r="CN100" s="73"/>
    </row>
    <row r="101" spans="1:92">
      <c r="A101" s="265"/>
      <c r="B101" s="607" t="s">
        <v>90</v>
      </c>
      <c r="C101" s="607"/>
      <c r="D101" s="267">
        <f>SUM(D27:D100)</f>
        <v>8434188810.7957916</v>
      </c>
      <c r="E101" s="267">
        <f t="shared" ref="E101:J101" si="38">SUM(E27:E100)</f>
        <v>8320911506.7957916</v>
      </c>
      <c r="F101" s="267">
        <f t="shared" si="38"/>
        <v>8320911506.7957916</v>
      </c>
      <c r="G101" s="267">
        <f t="shared" si="38"/>
        <v>8392385918.5870686</v>
      </c>
      <c r="H101" s="267">
        <f t="shared" si="38"/>
        <v>8320911506.7957916</v>
      </c>
      <c r="I101" s="147">
        <f t="shared" si="38"/>
        <v>10093898060.688608</v>
      </c>
      <c r="J101" s="147">
        <f t="shared" si="38"/>
        <v>8543898060.6886101</v>
      </c>
      <c r="K101" s="147">
        <f>SUM(K27:K100)</f>
        <v>8543898060.6886101</v>
      </c>
      <c r="L101" s="147">
        <f t="shared" ref="L101:O101" si="39">SUM(L27:L100)</f>
        <v>8543898060.6886101</v>
      </c>
      <c r="M101" s="147">
        <f t="shared" si="39"/>
        <v>8543898060.6886101</v>
      </c>
      <c r="N101" s="147">
        <f t="shared" si="39"/>
        <v>8543898060.6886101</v>
      </c>
      <c r="O101" s="147">
        <f t="shared" si="39"/>
        <v>8496761661.6886101</v>
      </c>
      <c r="P101" s="149">
        <f>SUM(P27:P100)</f>
        <v>103099459275.5905</v>
      </c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119">
        <v>3807445500</v>
      </c>
      <c r="BZ101" s="82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N101" s="73">
        <v>3363.3003004999996</v>
      </c>
    </row>
    <row r="102" spans="1:92">
      <c r="A102" s="265"/>
      <c r="B102" s="270"/>
      <c r="C102" s="270" t="s">
        <v>112</v>
      </c>
      <c r="D102" s="264"/>
      <c r="E102" s="264"/>
      <c r="F102" s="264"/>
      <c r="G102" s="264"/>
      <c r="H102" s="264"/>
      <c r="I102" s="143"/>
      <c r="J102" s="143"/>
      <c r="K102" s="143"/>
      <c r="L102" s="143"/>
      <c r="M102" s="143"/>
      <c r="N102" s="143"/>
      <c r="O102" s="143"/>
      <c r="P102" s="145">
        <f t="shared" si="27"/>
        <v>0</v>
      </c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117">
        <v>117000000</v>
      </c>
      <c r="BZ102" s="81"/>
      <c r="CA102" s="81"/>
      <c r="CB102" s="81"/>
      <c r="CC102" s="81"/>
      <c r="CD102" s="81"/>
      <c r="CE102" s="81"/>
      <c r="CF102" s="81"/>
      <c r="CG102" s="81"/>
      <c r="CH102" s="81"/>
      <c r="CI102" s="81"/>
      <c r="CJ102" s="81"/>
      <c r="CK102" s="81"/>
      <c r="CL102" s="81"/>
      <c r="CN102" s="73"/>
    </row>
    <row r="103" spans="1:92">
      <c r="A103" s="265"/>
      <c r="B103" s="270"/>
      <c r="C103" s="270" t="s">
        <v>230</v>
      </c>
      <c r="D103" s="264"/>
      <c r="E103" s="264"/>
      <c r="F103" s="264"/>
      <c r="G103" s="264"/>
      <c r="H103" s="264"/>
      <c r="I103" s="143"/>
      <c r="J103" s="143"/>
      <c r="K103" s="143"/>
      <c r="L103" s="143"/>
      <c r="M103" s="143"/>
      <c r="N103" s="143"/>
      <c r="O103" s="143"/>
      <c r="P103" s="145">
        <f t="shared" si="27"/>
        <v>0</v>
      </c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117">
        <v>0</v>
      </c>
      <c r="BZ103" s="81"/>
      <c r="CA103" s="81"/>
      <c r="CB103" s="81"/>
      <c r="CC103" s="81"/>
      <c r="CD103" s="81"/>
      <c r="CE103" s="81"/>
      <c r="CF103" s="81"/>
      <c r="CG103" s="81"/>
      <c r="CH103" s="81"/>
      <c r="CI103" s="81"/>
      <c r="CJ103" s="81"/>
      <c r="CK103" s="81"/>
      <c r="CL103" s="81"/>
      <c r="CN103" s="73">
        <v>30</v>
      </c>
    </row>
    <row r="104" spans="1:92">
      <c r="A104" s="265"/>
      <c r="B104" s="270"/>
      <c r="C104" s="270" t="s">
        <v>231</v>
      </c>
      <c r="D104" s="264"/>
      <c r="E104" s="264"/>
      <c r="F104" s="264"/>
      <c r="G104" s="264"/>
      <c r="H104" s="264"/>
      <c r="I104" s="143"/>
      <c r="J104" s="143"/>
      <c r="K104" s="143"/>
      <c r="L104" s="143"/>
      <c r="M104" s="143"/>
      <c r="N104" s="143"/>
      <c r="O104" s="143"/>
      <c r="P104" s="145">
        <f t="shared" si="27"/>
        <v>0</v>
      </c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>
        <f>+BB112-28125000000</f>
        <v>-15425000000</v>
      </c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117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N104" s="73"/>
    </row>
    <row r="105" spans="1:92">
      <c r="A105" s="265"/>
      <c r="B105" s="270"/>
      <c r="C105" s="270" t="s">
        <v>222</v>
      </c>
      <c r="D105" s="264"/>
      <c r="E105" s="264"/>
      <c r="F105" s="264"/>
      <c r="G105" s="264"/>
      <c r="H105" s="264"/>
      <c r="I105" s="143"/>
      <c r="J105" s="143"/>
      <c r="K105" s="143"/>
      <c r="L105" s="143"/>
      <c r="M105" s="143"/>
      <c r="N105" s="143"/>
      <c r="O105" s="143"/>
      <c r="P105" s="145">
        <f t="shared" si="27"/>
        <v>0</v>
      </c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117">
        <v>80000000</v>
      </c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N105" s="73"/>
    </row>
    <row r="106" spans="1:92">
      <c r="A106" s="265"/>
      <c r="B106" s="273"/>
      <c r="C106" s="274" t="s">
        <v>338</v>
      </c>
      <c r="D106" s="264"/>
      <c r="E106" s="264"/>
      <c r="F106" s="264"/>
      <c r="G106" s="264"/>
      <c r="H106" s="264"/>
      <c r="I106" s="143"/>
      <c r="J106" s="143"/>
      <c r="K106" s="143"/>
      <c r="L106" s="143"/>
      <c r="M106" s="143"/>
      <c r="N106" s="143"/>
      <c r="O106" s="143"/>
      <c r="P106" s="145">
        <f t="shared" si="27"/>
        <v>0</v>
      </c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>
        <f>+BC104/24</f>
        <v>-642708333.33333337</v>
      </c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117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N106" s="73"/>
    </row>
    <row r="107" spans="1:92" hidden="1">
      <c r="A107" s="265"/>
      <c r="B107" s="273"/>
      <c r="C107" s="274"/>
      <c r="D107" s="264"/>
      <c r="E107" s="264"/>
      <c r="F107" s="264"/>
      <c r="G107" s="264"/>
      <c r="H107" s="264"/>
      <c r="I107" s="143"/>
      <c r="J107" s="143"/>
      <c r="K107" s="143"/>
      <c r="L107" s="143"/>
      <c r="M107" s="143"/>
      <c r="N107" s="143"/>
      <c r="O107" s="143"/>
      <c r="P107" s="145">
        <f t="shared" si="27"/>
        <v>0</v>
      </c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117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</row>
    <row r="108" spans="1:92" hidden="1">
      <c r="A108" s="265"/>
      <c r="B108" s="273"/>
      <c r="C108" s="274"/>
      <c r="D108" s="264"/>
      <c r="E108" s="264"/>
      <c r="F108" s="264"/>
      <c r="G108" s="264"/>
      <c r="H108" s="264"/>
      <c r="I108" s="143"/>
      <c r="J108" s="143"/>
      <c r="K108" s="143"/>
      <c r="L108" s="143"/>
      <c r="M108" s="143"/>
      <c r="N108" s="143"/>
      <c r="O108" s="143"/>
      <c r="P108" s="145">
        <f t="shared" si="27"/>
        <v>0</v>
      </c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117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N108" s="73"/>
    </row>
    <row r="109" spans="1:92" hidden="1">
      <c r="A109" s="265"/>
      <c r="B109" s="273"/>
      <c r="C109" s="270"/>
      <c r="D109" s="264"/>
      <c r="E109" s="264"/>
      <c r="F109" s="264"/>
      <c r="G109" s="264"/>
      <c r="H109" s="264"/>
      <c r="I109" s="143"/>
      <c r="J109" s="143"/>
      <c r="K109" s="143"/>
      <c r="L109" s="143"/>
      <c r="M109" s="143"/>
      <c r="N109" s="143"/>
      <c r="O109" s="143"/>
      <c r="P109" s="145">
        <f t="shared" si="27"/>
        <v>0</v>
      </c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118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N109" s="73"/>
    </row>
    <row r="110" spans="1:92">
      <c r="A110" s="265"/>
      <c r="B110" s="273"/>
      <c r="C110" s="270"/>
      <c r="D110" s="264"/>
      <c r="E110" s="264"/>
      <c r="F110" s="264"/>
      <c r="G110" s="264"/>
      <c r="H110" s="264"/>
      <c r="I110" s="143"/>
      <c r="J110" s="143"/>
      <c r="K110" s="143"/>
      <c r="L110" s="143"/>
      <c r="M110" s="143"/>
      <c r="N110" s="143"/>
      <c r="O110" s="143"/>
      <c r="P110" s="145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>
        <f>+BC111/10</f>
        <v>1000000000</v>
      </c>
      <c r="BF110" s="163"/>
      <c r="BG110" s="163"/>
      <c r="BH110" s="163"/>
      <c r="BI110" s="163"/>
      <c r="BJ110" s="163"/>
      <c r="BK110" s="163"/>
      <c r="BL110" s="163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118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N110" s="73"/>
    </row>
    <row r="111" spans="1:92" s="182" customFormat="1">
      <c r="A111" s="265"/>
      <c r="B111" s="273"/>
      <c r="C111" s="272"/>
      <c r="D111" s="264"/>
      <c r="E111" s="264">
        <f>+D111</f>
        <v>0</v>
      </c>
      <c r="F111" s="264">
        <f>+E111</f>
        <v>0</v>
      </c>
      <c r="G111" s="264"/>
      <c r="H111" s="264"/>
      <c r="I111" s="143"/>
      <c r="J111" s="143">
        <f t="shared" ref="J111:O112" si="40">+I111</f>
        <v>0</v>
      </c>
      <c r="K111" s="143">
        <f t="shared" si="40"/>
        <v>0</v>
      </c>
      <c r="L111" s="143">
        <f t="shared" si="40"/>
        <v>0</v>
      </c>
      <c r="M111" s="143">
        <f t="shared" si="40"/>
        <v>0</v>
      </c>
      <c r="N111" s="143">
        <f t="shared" si="40"/>
        <v>0</v>
      </c>
      <c r="O111" s="143">
        <f t="shared" si="40"/>
        <v>0</v>
      </c>
      <c r="P111" s="145">
        <f t="shared" si="27"/>
        <v>0</v>
      </c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>
        <v>10000000000</v>
      </c>
      <c r="BD111" s="163"/>
      <c r="BE111" s="190"/>
      <c r="BF111" s="190"/>
      <c r="BG111" s="190"/>
      <c r="BH111" s="190"/>
      <c r="BI111" s="190"/>
      <c r="BJ111" s="190"/>
      <c r="BK111" s="190"/>
      <c r="BL111" s="190"/>
      <c r="BM111" s="181"/>
      <c r="BN111" s="181" t="e">
        <f>P111+'CF 2018'!P106+'CF 2017'!#REF!</f>
        <v>#REF!</v>
      </c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8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  <c r="CJ111" s="181"/>
      <c r="CK111" s="181"/>
      <c r="CL111" s="181"/>
      <c r="CN111" s="183"/>
    </row>
    <row r="112" spans="1:92" s="182" customFormat="1" ht="45">
      <c r="A112" s="265"/>
      <c r="B112" s="273"/>
      <c r="C112" s="272" t="s">
        <v>415</v>
      </c>
      <c r="D112" s="264">
        <v>750000000</v>
      </c>
      <c r="E112" s="264">
        <f>+D112</f>
        <v>750000000</v>
      </c>
      <c r="F112" s="264">
        <f t="shared" ref="F112:I112" si="41">+E112</f>
        <v>750000000</v>
      </c>
      <c r="G112" s="264">
        <f t="shared" si="41"/>
        <v>750000000</v>
      </c>
      <c r="H112" s="264">
        <f t="shared" si="41"/>
        <v>750000000</v>
      </c>
      <c r="I112" s="143">
        <f t="shared" si="41"/>
        <v>750000000</v>
      </c>
      <c r="J112" s="143">
        <f t="shared" si="40"/>
        <v>750000000</v>
      </c>
      <c r="K112" s="143">
        <f t="shared" si="40"/>
        <v>750000000</v>
      </c>
      <c r="L112" s="143">
        <f t="shared" si="40"/>
        <v>750000000</v>
      </c>
      <c r="M112" s="143">
        <f t="shared" si="40"/>
        <v>750000000</v>
      </c>
      <c r="N112" s="143">
        <f t="shared" si="40"/>
        <v>750000000</v>
      </c>
      <c r="O112" s="143">
        <f t="shared" si="40"/>
        <v>750000000</v>
      </c>
      <c r="P112" s="145">
        <f t="shared" si="27"/>
        <v>9000000000</v>
      </c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  <c r="AY112" s="163"/>
      <c r="AZ112" s="163"/>
      <c r="BA112" s="163"/>
      <c r="BB112" s="163">
        <f>+P112+'CF 2019'!P112</f>
        <v>12700000000</v>
      </c>
      <c r="BC112" s="163">
        <f>+P112+'CF 2018'!P106</f>
        <v>13500000000</v>
      </c>
      <c r="BD112" s="163"/>
      <c r="BE112" s="190"/>
      <c r="BF112" s="190"/>
      <c r="BG112" s="190"/>
      <c r="BH112" s="190"/>
      <c r="BI112" s="190"/>
      <c r="BJ112" s="190"/>
      <c r="BK112" s="190"/>
      <c r="BL112" s="190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8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  <c r="CJ112" s="181"/>
      <c r="CK112" s="181"/>
      <c r="CL112" s="181"/>
      <c r="CN112" s="183"/>
    </row>
    <row r="113" spans="1:92" s="182" customFormat="1" ht="30">
      <c r="A113" s="265"/>
      <c r="B113" s="273"/>
      <c r="C113" s="272" t="s">
        <v>416</v>
      </c>
      <c r="D113" s="264">
        <v>300000000</v>
      </c>
      <c r="E113" s="264">
        <f>+D113</f>
        <v>300000000</v>
      </c>
      <c r="F113" s="264">
        <f t="shared" ref="F113:I113" si="42">+E113</f>
        <v>300000000</v>
      </c>
      <c r="G113" s="264">
        <f t="shared" si="42"/>
        <v>300000000</v>
      </c>
      <c r="H113" s="264">
        <f t="shared" si="42"/>
        <v>300000000</v>
      </c>
      <c r="I113" s="143">
        <f t="shared" si="42"/>
        <v>300000000</v>
      </c>
      <c r="J113" s="143">
        <v>300000000</v>
      </c>
      <c r="K113" s="143">
        <v>300000000</v>
      </c>
      <c r="L113" s="143">
        <v>300000000</v>
      </c>
      <c r="M113" s="143">
        <v>300000000</v>
      </c>
      <c r="N113" s="143"/>
      <c r="O113" s="143"/>
      <c r="P113" s="145">
        <f t="shared" si="27"/>
        <v>3000000000</v>
      </c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>
        <f>+P113+'CF 2019'!P113</f>
        <v>5000000000</v>
      </c>
      <c r="BC113" s="163"/>
      <c r="BD113" s="163"/>
      <c r="BE113" s="190"/>
      <c r="BF113" s="190"/>
      <c r="BG113" s="190"/>
      <c r="BH113" s="190"/>
      <c r="BI113" s="190"/>
      <c r="BJ113" s="190"/>
      <c r="BK113" s="190"/>
      <c r="BL113" s="190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8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  <c r="CJ113" s="181"/>
      <c r="CK113" s="181"/>
      <c r="CL113" s="181"/>
      <c r="CN113" s="183"/>
    </row>
    <row r="114" spans="1:92" ht="60">
      <c r="A114" s="265"/>
      <c r="B114" s="273"/>
      <c r="C114" s="274" t="s">
        <v>418</v>
      </c>
      <c r="D114" s="264">
        <v>200000000</v>
      </c>
      <c r="E114" s="264">
        <v>200000000</v>
      </c>
      <c r="F114" s="264">
        <v>200000000</v>
      </c>
      <c r="G114" s="264">
        <v>200000000</v>
      </c>
      <c r="H114" s="264">
        <v>200000000</v>
      </c>
      <c r="I114" s="143">
        <v>200000000</v>
      </c>
      <c r="J114" s="143">
        <v>200000000</v>
      </c>
      <c r="K114" s="143">
        <v>200000000</v>
      </c>
      <c r="L114" s="143">
        <v>200000000</v>
      </c>
      <c r="M114" s="143">
        <v>200000000</v>
      </c>
      <c r="N114" s="143">
        <v>200000000</v>
      </c>
      <c r="O114" s="143">
        <v>200000000</v>
      </c>
      <c r="P114" s="145">
        <f t="shared" si="27"/>
        <v>2400000000</v>
      </c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118"/>
      <c r="BZ114" s="80" t="e">
        <f>#REF!-650000000</f>
        <v>#REF!</v>
      </c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N114" s="73"/>
    </row>
    <row r="115" spans="1:92">
      <c r="A115" s="265"/>
      <c r="B115" s="273"/>
      <c r="C115" s="274"/>
      <c r="D115" s="264"/>
      <c r="E115" s="264">
        <f>+D115</f>
        <v>0</v>
      </c>
      <c r="F115" s="264">
        <f t="shared" ref="F115:O115" si="43">+E115</f>
        <v>0</v>
      </c>
      <c r="G115" s="264">
        <f t="shared" si="43"/>
        <v>0</v>
      </c>
      <c r="H115" s="264"/>
      <c r="I115" s="143"/>
      <c r="J115" s="143">
        <f>H115</f>
        <v>0</v>
      </c>
      <c r="K115" s="143">
        <f t="shared" si="43"/>
        <v>0</v>
      </c>
      <c r="L115" s="143">
        <f t="shared" si="43"/>
        <v>0</v>
      </c>
      <c r="M115" s="143">
        <f t="shared" si="43"/>
        <v>0</v>
      </c>
      <c r="N115" s="143">
        <f t="shared" si="43"/>
        <v>0</v>
      </c>
      <c r="O115" s="143">
        <f t="shared" si="43"/>
        <v>0</v>
      </c>
      <c r="P115" s="145">
        <f t="shared" si="27"/>
        <v>0</v>
      </c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80"/>
      <c r="BN115" s="80" t="e">
        <f>BN111-8000000000</f>
        <v>#REF!</v>
      </c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118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N115" s="73"/>
    </row>
    <row r="116" spans="1:92" ht="30">
      <c r="A116" s="265"/>
      <c r="B116" s="273"/>
      <c r="C116" s="276" t="s">
        <v>144</v>
      </c>
      <c r="D116" s="264">
        <v>120000000</v>
      </c>
      <c r="E116" s="264">
        <f>D116</f>
        <v>120000000</v>
      </c>
      <c r="F116" s="264">
        <f t="shared" ref="F116:O116" si="44">E116</f>
        <v>120000000</v>
      </c>
      <c r="G116" s="264">
        <f t="shared" si="44"/>
        <v>120000000</v>
      </c>
      <c r="H116" s="264">
        <f t="shared" si="44"/>
        <v>120000000</v>
      </c>
      <c r="I116" s="143">
        <f t="shared" si="44"/>
        <v>120000000</v>
      </c>
      <c r="J116" s="143">
        <f t="shared" si="44"/>
        <v>120000000</v>
      </c>
      <c r="K116" s="143">
        <v>120000000</v>
      </c>
      <c r="L116" s="143">
        <f t="shared" si="44"/>
        <v>120000000</v>
      </c>
      <c r="M116" s="143">
        <f t="shared" si="44"/>
        <v>120000000</v>
      </c>
      <c r="N116" s="143">
        <f t="shared" si="44"/>
        <v>120000000</v>
      </c>
      <c r="O116" s="143">
        <f t="shared" si="44"/>
        <v>120000000</v>
      </c>
      <c r="P116" s="145">
        <f t="shared" ref="P116:P119" si="45">SUM(D116:O116)</f>
        <v>1440000000</v>
      </c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119">
        <v>120000000</v>
      </c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N116" s="73"/>
    </row>
    <row r="117" spans="1:92" ht="30">
      <c r="A117" s="265"/>
      <c r="B117" s="273"/>
      <c r="C117" s="276" t="s">
        <v>417</v>
      </c>
      <c r="D117" s="264">
        <f>D202</f>
        <v>0</v>
      </c>
      <c r="E117" s="264">
        <f t="shared" ref="E117:O117" si="46">E202</f>
        <v>0</v>
      </c>
      <c r="F117" s="264">
        <f t="shared" si="46"/>
        <v>939000000</v>
      </c>
      <c r="G117" s="264">
        <f t="shared" si="46"/>
        <v>939000000</v>
      </c>
      <c r="H117" s="264">
        <f t="shared" si="46"/>
        <v>939000000</v>
      </c>
      <c r="I117" s="143">
        <f t="shared" si="46"/>
        <v>939000000</v>
      </c>
      <c r="J117" s="143">
        <f t="shared" si="46"/>
        <v>939000000</v>
      </c>
      <c r="K117" s="143">
        <f t="shared" si="46"/>
        <v>939000000</v>
      </c>
      <c r="L117" s="143">
        <f t="shared" si="46"/>
        <v>939000000</v>
      </c>
      <c r="M117" s="143">
        <f t="shared" si="46"/>
        <v>2654625000</v>
      </c>
      <c r="N117" s="143">
        <f t="shared" si="46"/>
        <v>2654625000</v>
      </c>
      <c r="O117" s="143">
        <f t="shared" si="46"/>
        <v>2654625000</v>
      </c>
      <c r="P117" s="145">
        <f t="shared" si="45"/>
        <v>14536875000</v>
      </c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163"/>
      <c r="BE117" s="163"/>
      <c r="BF117" s="163"/>
      <c r="BG117" s="163"/>
      <c r="BH117" s="163"/>
      <c r="BI117" s="163"/>
      <c r="BJ117" s="163"/>
      <c r="BK117" s="163"/>
      <c r="BL117" s="163"/>
      <c r="BM117" s="82"/>
      <c r="BN117" s="82"/>
      <c r="BO117" s="82"/>
      <c r="BP117" s="82"/>
      <c r="BQ117" s="82"/>
      <c r="BR117" s="82"/>
      <c r="BS117" s="82"/>
      <c r="BT117" s="82"/>
      <c r="BU117" s="82"/>
      <c r="BV117" s="82"/>
      <c r="BW117" s="82"/>
      <c r="BX117" s="82"/>
      <c r="BY117" s="119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N117" s="73"/>
    </row>
    <row r="118" spans="1:92">
      <c r="A118" s="608" t="s">
        <v>435</v>
      </c>
      <c r="B118" s="609"/>
      <c r="C118" s="609"/>
      <c r="D118" s="267">
        <f t="shared" ref="D118:O118" si="47">SUM(D101:D117)</f>
        <v>9804188810.7957916</v>
      </c>
      <c r="E118" s="267">
        <f t="shared" si="47"/>
        <v>9690911506.7957916</v>
      </c>
      <c r="F118" s="267">
        <f t="shared" si="47"/>
        <v>10629911506.795792</v>
      </c>
      <c r="G118" s="267">
        <f t="shared" si="47"/>
        <v>10701385918.587069</v>
      </c>
      <c r="H118" s="267">
        <f t="shared" si="47"/>
        <v>10629911506.795792</v>
      </c>
      <c r="I118" s="147">
        <f t="shared" si="47"/>
        <v>12402898060.688608</v>
      </c>
      <c r="J118" s="147">
        <f t="shared" si="47"/>
        <v>10852898060.68861</v>
      </c>
      <c r="K118" s="147">
        <f t="shared" si="47"/>
        <v>10852898060.68861</v>
      </c>
      <c r="L118" s="147">
        <f t="shared" si="47"/>
        <v>10852898060.68861</v>
      </c>
      <c r="M118" s="147">
        <f t="shared" si="47"/>
        <v>12568523060.68861</v>
      </c>
      <c r="N118" s="147">
        <f t="shared" si="47"/>
        <v>12268523060.68861</v>
      </c>
      <c r="O118" s="147">
        <f t="shared" si="47"/>
        <v>12221386661.68861</v>
      </c>
      <c r="P118" s="149">
        <f>SUM(P101:P117)</f>
        <v>133476334275.5905</v>
      </c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82"/>
      <c r="BN118" s="82"/>
      <c r="BO118" s="82">
        <f>'CF 2018'!P110+'CF 2017'!P117</f>
        <v>37296000000</v>
      </c>
      <c r="BP118" s="82"/>
      <c r="BQ118" s="82"/>
      <c r="BR118" s="82"/>
      <c r="BS118" s="82"/>
      <c r="BT118" s="82"/>
      <c r="BU118" s="82"/>
      <c r="BV118" s="82"/>
      <c r="BW118" s="82"/>
      <c r="BX118" s="82"/>
      <c r="BY118" s="119">
        <v>4497701504</v>
      </c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N118" s="73">
        <f>SUM(CN101:CN116)</f>
        <v>3393.3003004999996</v>
      </c>
    </row>
    <row r="119" spans="1:92">
      <c r="A119" s="265"/>
      <c r="B119" s="269"/>
      <c r="C119" s="270"/>
      <c r="D119" s="264"/>
      <c r="E119" s="264"/>
      <c r="F119" s="264"/>
      <c r="G119" s="264"/>
      <c r="H119" s="264"/>
      <c r="I119" s="143"/>
      <c r="J119" s="143"/>
      <c r="K119" s="143"/>
      <c r="L119" s="143"/>
      <c r="M119" s="143"/>
      <c r="N119" s="143"/>
      <c r="O119" s="143"/>
      <c r="P119" s="149">
        <f t="shared" si="45"/>
        <v>0</v>
      </c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  <c r="BG119" s="153"/>
      <c r="BH119" s="153"/>
      <c r="BI119" s="153"/>
      <c r="BJ119" s="153"/>
      <c r="BK119" s="153"/>
      <c r="BL119" s="153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118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</row>
    <row r="120" spans="1:92">
      <c r="A120" s="610" t="s">
        <v>434</v>
      </c>
      <c r="B120" s="611"/>
      <c r="C120" s="611"/>
      <c r="D120" s="278">
        <f t="shared" ref="D120" si="48">+D24-D118</f>
        <v>1648305626.2466145</v>
      </c>
      <c r="E120" s="278">
        <f>+E24-E118</f>
        <v>2647251944.6881485</v>
      </c>
      <c r="F120" s="278">
        <f t="shared" ref="F120:O120" si="49">+F24-F118</f>
        <v>2626159571.8926163</v>
      </c>
      <c r="G120" s="278">
        <f t="shared" si="49"/>
        <v>2988573796.1826038</v>
      </c>
      <c r="H120" s="278">
        <f t="shared" si="49"/>
        <v>3537598359.8887959</v>
      </c>
      <c r="I120" s="151">
        <f t="shared" si="49"/>
        <v>2133480064.9423752</v>
      </c>
      <c r="J120" s="151">
        <f t="shared" si="49"/>
        <v>2267909943.0982533</v>
      </c>
      <c r="K120" s="151">
        <f t="shared" si="49"/>
        <v>2515703034.7625675</v>
      </c>
      <c r="L120" s="151">
        <f t="shared" si="49"/>
        <v>2743097056.8065186</v>
      </c>
      <c r="M120" s="151">
        <f t="shared" si="49"/>
        <v>1462375421.6590099</v>
      </c>
      <c r="N120" s="151">
        <f t="shared" si="49"/>
        <v>772623437.22469711</v>
      </c>
      <c r="O120" s="151">
        <f t="shared" si="49"/>
        <v>366088386.95338249</v>
      </c>
      <c r="P120" s="152">
        <f>P24-P118</f>
        <v>366088386.9533844</v>
      </c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  <c r="BJ120" s="191"/>
      <c r="BK120" s="191"/>
      <c r="BL120" s="191"/>
      <c r="BM120" s="122"/>
      <c r="BN120" s="122"/>
      <c r="BO120" s="122"/>
      <c r="BP120" s="122"/>
      <c r="BQ120" s="122"/>
      <c r="BR120" s="122"/>
      <c r="BS120" s="122"/>
      <c r="BT120" s="122"/>
      <c r="BU120" s="122"/>
      <c r="BV120" s="122"/>
      <c r="BW120" s="122"/>
      <c r="BX120" s="122"/>
      <c r="BY120" s="120">
        <v>-852293618.15999985</v>
      </c>
      <c r="BZ120" s="76"/>
      <c r="CA120" s="76"/>
      <c r="CB120" s="76"/>
      <c r="CC120" s="76"/>
      <c r="CD120" s="76"/>
      <c r="CE120" s="76"/>
      <c r="CF120" s="76"/>
      <c r="CG120" s="76"/>
      <c r="CH120" s="76"/>
      <c r="CI120" s="76"/>
      <c r="CJ120" s="76"/>
      <c r="CK120" s="76"/>
      <c r="CL120" s="76"/>
      <c r="CM120" s="76">
        <f>+CM24-CM118</f>
        <v>0</v>
      </c>
      <c r="CN120" s="76">
        <f>+CN24-CN118</f>
        <v>-3393.3003004999996</v>
      </c>
    </row>
    <row r="121" spans="1:92">
      <c r="A121" s="126"/>
      <c r="B121" s="126"/>
      <c r="C121" s="126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82"/>
      <c r="BY121" s="119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</row>
    <row r="122" spans="1:92">
      <c r="A122" s="126"/>
      <c r="B122" s="126"/>
      <c r="C122" s="126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119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</row>
    <row r="123" spans="1:92">
      <c r="A123" s="126"/>
      <c r="B123" s="126"/>
      <c r="C123" s="126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119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</row>
    <row r="124" spans="1:92">
      <c r="A124" s="126"/>
      <c r="B124" s="126"/>
      <c r="C124" s="126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  <c r="BG124" s="153"/>
      <c r="BH124" s="153"/>
      <c r="BI124" s="153"/>
      <c r="BJ124" s="153"/>
      <c r="BK124" s="153"/>
      <c r="BL124" s="153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119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</row>
    <row r="125" spans="1:92">
      <c r="A125" s="126"/>
      <c r="B125" s="126"/>
      <c r="C125" s="126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  <c r="BG125" s="153"/>
      <c r="BH125" s="153"/>
      <c r="BI125" s="153"/>
      <c r="BJ125" s="153"/>
      <c r="BK125" s="153"/>
      <c r="BL125" s="153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119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</row>
    <row r="126" spans="1:92">
      <c r="A126" s="126"/>
      <c r="B126" s="126"/>
      <c r="C126" s="126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153"/>
      <c r="BE126" s="153"/>
      <c r="BF126" s="153"/>
      <c r="BG126" s="153"/>
      <c r="BH126" s="153"/>
      <c r="BI126" s="153"/>
      <c r="BJ126" s="153"/>
      <c r="BK126" s="153"/>
      <c r="BL126" s="153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119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</row>
    <row r="127" spans="1:92">
      <c r="A127" s="126"/>
      <c r="B127" s="126"/>
      <c r="C127" s="126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153"/>
      <c r="BE127" s="153"/>
      <c r="BF127" s="153"/>
      <c r="BG127" s="153"/>
      <c r="BH127" s="153"/>
      <c r="BI127" s="153"/>
      <c r="BJ127" s="153"/>
      <c r="BK127" s="153"/>
      <c r="BL127" s="153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119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</row>
    <row r="128" spans="1:92">
      <c r="A128" s="126"/>
      <c r="B128" s="126"/>
      <c r="C128" s="126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153"/>
      <c r="BE128" s="153"/>
      <c r="BF128" s="153"/>
      <c r="BG128" s="153"/>
      <c r="BH128" s="153"/>
      <c r="BI128" s="153"/>
      <c r="BJ128" s="153"/>
      <c r="BK128" s="153"/>
      <c r="BL128" s="153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119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</row>
    <row r="129" spans="1:92">
      <c r="A129" s="126"/>
      <c r="B129" s="126"/>
      <c r="C129" s="126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153"/>
      <c r="BE129" s="153"/>
      <c r="BF129" s="153"/>
      <c r="BG129" s="153"/>
      <c r="BH129" s="153"/>
      <c r="BI129" s="153"/>
      <c r="BJ129" s="153"/>
      <c r="BK129" s="153"/>
      <c r="BL129" s="153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119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</row>
    <row r="130" spans="1:92">
      <c r="A130" s="126"/>
      <c r="B130" s="126"/>
      <c r="C130" s="126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153"/>
      <c r="BE130" s="153"/>
      <c r="BF130" s="153"/>
      <c r="BG130" s="153"/>
      <c r="BH130" s="153"/>
      <c r="BI130" s="153"/>
      <c r="BJ130" s="153"/>
      <c r="BK130" s="153"/>
      <c r="BL130" s="153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119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</row>
    <row r="131" spans="1:92">
      <c r="A131" s="126"/>
      <c r="B131" s="126"/>
      <c r="C131" s="126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153"/>
      <c r="BE131" s="153"/>
      <c r="BF131" s="153"/>
      <c r="BG131" s="153"/>
      <c r="BH131" s="153"/>
      <c r="BI131" s="153"/>
      <c r="BJ131" s="153"/>
      <c r="BK131" s="153"/>
      <c r="BL131" s="153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119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</row>
    <row r="132" spans="1:92">
      <c r="A132" s="126"/>
      <c r="B132" s="126"/>
      <c r="C132" s="126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153"/>
      <c r="BE132" s="153"/>
      <c r="BF132" s="153"/>
      <c r="BG132" s="153"/>
      <c r="BH132" s="153"/>
      <c r="BI132" s="153"/>
      <c r="BJ132" s="153"/>
      <c r="BK132" s="153"/>
      <c r="BL132" s="153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119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</row>
    <row r="133" spans="1:92">
      <c r="A133" s="126"/>
      <c r="B133" s="126"/>
      <c r="C133" s="126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119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</row>
    <row r="134" spans="1:92">
      <c r="A134" s="126"/>
      <c r="B134" s="126"/>
      <c r="C134" s="126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119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</row>
    <row r="135" spans="1:92">
      <c r="A135" s="126"/>
      <c r="B135" s="126"/>
      <c r="C135" s="126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119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</row>
    <row r="136" spans="1:92">
      <c r="A136" s="126"/>
      <c r="B136" s="126"/>
      <c r="C136" s="126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  <c r="BX136" s="82"/>
      <c r="BY136" s="119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</row>
    <row r="137" spans="1:92">
      <c r="A137" s="126"/>
      <c r="B137" s="126"/>
      <c r="C137" s="126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  <c r="BW137" s="82"/>
      <c r="BX137" s="82"/>
      <c r="BY137" s="119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</row>
    <row r="138" spans="1:92">
      <c r="A138" s="126"/>
      <c r="B138" s="126"/>
      <c r="C138" s="126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119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</row>
    <row r="139" spans="1:92">
      <c r="A139" s="126"/>
      <c r="B139" s="126"/>
      <c r="C139" s="126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  <c r="BW139" s="82"/>
      <c r="BX139" s="82"/>
      <c r="BY139" s="119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</row>
    <row r="140" spans="1:92">
      <c r="A140" s="126"/>
      <c r="B140" s="126"/>
      <c r="C140" s="126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119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</row>
    <row r="141" spans="1:92">
      <c r="A141" s="126"/>
      <c r="B141" s="126"/>
      <c r="C141" s="126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119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</row>
    <row r="142" spans="1:92">
      <c r="A142" s="126"/>
      <c r="B142" s="126"/>
      <c r="C142" s="126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153"/>
      <c r="BE142" s="153"/>
      <c r="BF142" s="153"/>
      <c r="BG142" s="153"/>
      <c r="BH142" s="153"/>
      <c r="BI142" s="153"/>
      <c r="BJ142" s="153"/>
      <c r="BK142" s="153"/>
      <c r="BL142" s="153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119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2"/>
      <c r="CN142" s="82"/>
    </row>
    <row r="143" spans="1:92">
      <c r="A143" s="126"/>
      <c r="B143" s="126"/>
      <c r="C143" s="126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153"/>
      <c r="BE143" s="153"/>
      <c r="BF143" s="153"/>
      <c r="BG143" s="153"/>
      <c r="BH143" s="153"/>
      <c r="BI143" s="153"/>
      <c r="BJ143" s="153"/>
      <c r="BK143" s="153"/>
      <c r="BL143" s="153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119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2"/>
      <c r="CN143" s="82"/>
    </row>
    <row r="144" spans="1:92">
      <c r="A144" s="126"/>
      <c r="B144" s="126"/>
      <c r="C144" s="126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153"/>
      <c r="BE144" s="153"/>
      <c r="BF144" s="153"/>
      <c r="BG144" s="153"/>
      <c r="BH144" s="153"/>
      <c r="BI144" s="153"/>
      <c r="BJ144" s="153"/>
      <c r="BK144" s="153"/>
      <c r="BL144" s="153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119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2"/>
      <c r="CN144" s="82"/>
    </row>
    <row r="145" spans="1:92">
      <c r="A145" s="126"/>
      <c r="B145" s="126"/>
      <c r="C145" s="126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153"/>
      <c r="BE145" s="153"/>
      <c r="BF145" s="153"/>
      <c r="BG145" s="153"/>
      <c r="BH145" s="153"/>
      <c r="BI145" s="153"/>
      <c r="BJ145" s="153"/>
      <c r="BK145" s="153"/>
      <c r="BL145" s="153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119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</row>
    <row r="146" spans="1:92">
      <c r="A146" s="126"/>
      <c r="B146" s="126"/>
      <c r="C146" s="126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3"/>
      <c r="BF146" s="153"/>
      <c r="BG146" s="153"/>
      <c r="BH146" s="153"/>
      <c r="BI146" s="153"/>
      <c r="BJ146" s="153"/>
      <c r="BK146" s="153"/>
      <c r="BL146" s="153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119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2"/>
      <c r="CN146" s="82"/>
    </row>
    <row r="147" spans="1:92">
      <c r="A147" s="126"/>
      <c r="B147" s="126"/>
      <c r="C147" s="126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3"/>
      <c r="BG147" s="153"/>
      <c r="BH147" s="153"/>
      <c r="BI147" s="153"/>
      <c r="BJ147" s="153"/>
      <c r="BK147" s="153"/>
      <c r="BL147" s="153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119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2"/>
      <c r="CN147" s="82"/>
    </row>
    <row r="148" spans="1:92">
      <c r="A148" s="126"/>
      <c r="B148" s="126"/>
      <c r="C148" s="126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3"/>
      <c r="BG148" s="153"/>
      <c r="BH148" s="153"/>
      <c r="BI148" s="153"/>
      <c r="BJ148" s="153"/>
      <c r="BK148" s="153"/>
      <c r="BL148" s="153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119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2"/>
      <c r="CN148" s="82"/>
    </row>
    <row r="149" spans="1:92">
      <c r="A149" s="126"/>
      <c r="B149" s="126"/>
      <c r="C149" s="126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3"/>
      <c r="BG149" s="153"/>
      <c r="BH149" s="153"/>
      <c r="BI149" s="153"/>
      <c r="BJ149" s="153"/>
      <c r="BK149" s="153"/>
      <c r="BL149" s="153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119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</row>
    <row r="150" spans="1:92">
      <c r="A150" s="126"/>
      <c r="B150" s="126"/>
      <c r="C150" s="126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3"/>
      <c r="BG150" s="153"/>
      <c r="BH150" s="153"/>
      <c r="BI150" s="153"/>
      <c r="BJ150" s="153"/>
      <c r="BK150" s="153"/>
      <c r="BL150" s="153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119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</row>
    <row r="151" spans="1:92">
      <c r="A151" s="126"/>
      <c r="B151" s="126"/>
      <c r="C151" s="126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3"/>
      <c r="BG151" s="153"/>
      <c r="BH151" s="153"/>
      <c r="BI151" s="153"/>
      <c r="BJ151" s="153"/>
      <c r="BK151" s="153"/>
      <c r="BL151" s="153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119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</row>
    <row r="152" spans="1:92">
      <c r="A152" s="126"/>
      <c r="B152" s="126"/>
      <c r="C152" s="126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3"/>
      <c r="BG152" s="153"/>
      <c r="BH152" s="153"/>
      <c r="BI152" s="153"/>
      <c r="BJ152" s="153"/>
      <c r="BK152" s="153"/>
      <c r="BL152" s="153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119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</row>
    <row r="153" spans="1:92">
      <c r="A153" s="126"/>
      <c r="B153" s="126"/>
      <c r="C153" s="126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3"/>
      <c r="BG153" s="153"/>
      <c r="BH153" s="153"/>
      <c r="BI153" s="153"/>
      <c r="BJ153" s="153"/>
      <c r="BK153" s="153"/>
      <c r="BL153" s="153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119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2"/>
      <c r="CN153" s="82"/>
    </row>
    <row r="154" spans="1:92">
      <c r="A154" s="126"/>
      <c r="B154" s="126"/>
      <c r="C154" s="126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3"/>
      <c r="BG154" s="153"/>
      <c r="BH154" s="153"/>
      <c r="BI154" s="153"/>
      <c r="BJ154" s="153"/>
      <c r="BK154" s="153"/>
      <c r="BL154" s="153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119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</row>
    <row r="155" spans="1:92">
      <c r="A155" s="126"/>
      <c r="B155" s="126"/>
      <c r="C155" s="126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153"/>
      <c r="BE155" s="153"/>
      <c r="BF155" s="153"/>
      <c r="BG155" s="153"/>
      <c r="BH155" s="153"/>
      <c r="BI155" s="153"/>
      <c r="BJ155" s="153"/>
      <c r="BK155" s="153"/>
      <c r="BL155" s="153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119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2"/>
      <c r="CN155" s="82"/>
    </row>
    <row r="156" spans="1:92">
      <c r="A156" s="126"/>
      <c r="B156" s="126"/>
      <c r="C156" s="126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153"/>
      <c r="BE156" s="153"/>
      <c r="BF156" s="153"/>
      <c r="BG156" s="153"/>
      <c r="BH156" s="153"/>
      <c r="BI156" s="153"/>
      <c r="BJ156" s="153"/>
      <c r="BK156" s="153"/>
      <c r="BL156" s="153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119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</row>
    <row r="157" spans="1:92">
      <c r="A157" s="126"/>
      <c r="B157" s="126"/>
      <c r="C157" s="126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153"/>
      <c r="BE157" s="153"/>
      <c r="BF157" s="153"/>
      <c r="BG157" s="153"/>
      <c r="BH157" s="153"/>
      <c r="BI157" s="153"/>
      <c r="BJ157" s="153"/>
      <c r="BK157" s="153"/>
      <c r="BL157" s="153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119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</row>
    <row r="158" spans="1:92">
      <c r="A158" s="126"/>
      <c r="B158" s="126"/>
      <c r="C158" s="126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153"/>
      <c r="BE158" s="153"/>
      <c r="BF158" s="153"/>
      <c r="BG158" s="153"/>
      <c r="BH158" s="153"/>
      <c r="BI158" s="153"/>
      <c r="BJ158" s="153"/>
      <c r="BK158" s="153"/>
      <c r="BL158" s="153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119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</row>
    <row r="159" spans="1:92">
      <c r="A159" s="126"/>
      <c r="B159" s="126"/>
      <c r="C159" s="126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153"/>
      <c r="BE159" s="153"/>
      <c r="BF159" s="153"/>
      <c r="BG159" s="153"/>
      <c r="BH159" s="153"/>
      <c r="BI159" s="153"/>
      <c r="BJ159" s="153"/>
      <c r="BK159" s="153"/>
      <c r="BL159" s="153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119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</row>
    <row r="160" spans="1:92">
      <c r="A160" s="126"/>
      <c r="B160" s="126"/>
      <c r="C160" s="126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3"/>
      <c r="BG160" s="153"/>
      <c r="BH160" s="153"/>
      <c r="BI160" s="153"/>
      <c r="BJ160" s="153"/>
      <c r="BK160" s="153"/>
      <c r="BL160" s="153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119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</row>
    <row r="161" spans="1:92">
      <c r="A161" s="126"/>
      <c r="B161" s="126"/>
      <c r="C161" s="126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  <c r="BE161" s="153"/>
      <c r="BF161" s="153"/>
      <c r="BG161" s="153"/>
      <c r="BH161" s="153"/>
      <c r="BI161" s="153"/>
      <c r="BJ161" s="153"/>
      <c r="BK161" s="153"/>
      <c r="BL161" s="153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119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</row>
    <row r="162" spans="1:92">
      <c r="A162" s="126"/>
      <c r="B162" s="126"/>
      <c r="C162" s="126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153"/>
      <c r="BE162" s="153"/>
      <c r="BF162" s="153"/>
      <c r="BG162" s="153"/>
      <c r="BH162" s="153"/>
      <c r="BI162" s="153"/>
      <c r="BJ162" s="153"/>
      <c r="BK162" s="153"/>
      <c r="BL162" s="153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119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</row>
    <row r="163" spans="1:92">
      <c r="A163" s="126"/>
      <c r="B163" s="126"/>
      <c r="C163" s="126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153"/>
      <c r="BE163" s="153"/>
      <c r="BF163" s="153"/>
      <c r="BG163" s="153"/>
      <c r="BH163" s="153"/>
      <c r="BI163" s="153"/>
      <c r="BJ163" s="153"/>
      <c r="BK163" s="153"/>
      <c r="BL163" s="153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119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</row>
    <row r="164" spans="1:92">
      <c r="A164" s="126"/>
      <c r="B164" s="126"/>
      <c r="C164" s="126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/>
      <c r="BE164" s="153"/>
      <c r="BF164" s="153"/>
      <c r="BG164" s="153"/>
      <c r="BH164" s="153"/>
      <c r="BI164" s="153"/>
      <c r="BJ164" s="153"/>
      <c r="BK164" s="153"/>
      <c r="BL164" s="153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119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</row>
    <row r="165" spans="1:92">
      <c r="A165" s="126"/>
      <c r="B165" s="126"/>
      <c r="C165" s="126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3"/>
      <c r="BE165" s="153"/>
      <c r="BF165" s="153"/>
      <c r="BG165" s="153"/>
      <c r="BH165" s="153"/>
      <c r="BI165" s="153"/>
      <c r="BJ165" s="153"/>
      <c r="BK165" s="153"/>
      <c r="BL165" s="153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119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</row>
    <row r="166" spans="1:92">
      <c r="A166" s="126"/>
      <c r="B166" s="126"/>
      <c r="C166" s="126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153"/>
      <c r="BK166" s="153"/>
      <c r="BL166" s="153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119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</row>
    <row r="167" spans="1:92">
      <c r="A167" s="126"/>
      <c r="B167" s="126"/>
      <c r="C167" s="126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3"/>
      <c r="BG167" s="153"/>
      <c r="BH167" s="153"/>
      <c r="BI167" s="153"/>
      <c r="BJ167" s="153"/>
      <c r="BK167" s="153"/>
      <c r="BL167" s="153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119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</row>
    <row r="168" spans="1:92">
      <c r="A168" s="126"/>
      <c r="B168" s="126"/>
      <c r="C168" s="126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3"/>
      <c r="BE168" s="153"/>
      <c r="BF168" s="153"/>
      <c r="BG168" s="153"/>
      <c r="BH168" s="153"/>
      <c r="BI168" s="153"/>
      <c r="BJ168" s="153"/>
      <c r="BK168" s="153"/>
      <c r="BL168" s="153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119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</row>
    <row r="170" spans="1:92">
      <c r="B170" s="135" t="s">
        <v>352</v>
      </c>
      <c r="BB170" s="136">
        <v>315068052.3782959</v>
      </c>
    </row>
    <row r="171" spans="1:92">
      <c r="B171" s="217" t="s">
        <v>342</v>
      </c>
      <c r="C171" s="135" t="s">
        <v>303</v>
      </c>
    </row>
    <row r="172" spans="1:92" ht="30" customHeight="1">
      <c r="B172" s="217" t="s">
        <v>342</v>
      </c>
      <c r="C172" s="655" t="s">
        <v>401</v>
      </c>
      <c r="D172" s="655"/>
      <c r="E172" s="655"/>
    </row>
    <row r="173" spans="1:92">
      <c r="B173" s="217"/>
    </row>
    <row r="174" spans="1:92">
      <c r="B174" s="209"/>
    </row>
    <row r="175" spans="1:92">
      <c r="B175" s="209"/>
    </row>
    <row r="176" spans="1:92">
      <c r="B176" s="209"/>
    </row>
    <row r="196" spans="3:68">
      <c r="BN196" s="74">
        <f>+P120</f>
        <v>366088386.9533844</v>
      </c>
      <c r="BP196" s="189">
        <v>25000000000</v>
      </c>
    </row>
    <row r="197" spans="3:68">
      <c r="BP197" s="189"/>
    </row>
    <row r="198" spans="3:68">
      <c r="C198" s="169" t="s">
        <v>240</v>
      </c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  <c r="AF198" s="169"/>
      <c r="AG198" s="169"/>
      <c r="AH198" s="169"/>
      <c r="AI198" s="169"/>
      <c r="AJ198" s="169"/>
      <c r="AK198" s="169"/>
      <c r="AL198" s="169"/>
      <c r="AM198" s="169"/>
      <c r="AN198" s="169"/>
      <c r="AO198" s="169"/>
      <c r="AP198" s="169"/>
      <c r="AQ198" s="169"/>
      <c r="AR198" s="169"/>
      <c r="AS198" s="169"/>
      <c r="AT198" s="169"/>
      <c r="AU198" s="169"/>
      <c r="AV198" s="169"/>
      <c r="AW198" s="169"/>
      <c r="AX198" s="169"/>
      <c r="AY198" s="169"/>
      <c r="AZ198" s="169"/>
      <c r="BA198" s="169"/>
      <c r="BP198" s="189"/>
    </row>
    <row r="199" spans="3:68">
      <c r="C199" s="169" t="s">
        <v>243</v>
      </c>
      <c r="D199" s="169"/>
      <c r="E199" s="169"/>
      <c r="F199" s="169">
        <v>939000000</v>
      </c>
      <c r="G199" s="169">
        <v>939000000</v>
      </c>
      <c r="H199" s="169">
        <v>939000000</v>
      </c>
      <c r="I199" s="169"/>
      <c r="J199" s="169">
        <v>0</v>
      </c>
      <c r="K199" s="169">
        <v>0</v>
      </c>
      <c r="L199" s="169">
        <v>0</v>
      </c>
      <c r="M199" s="169">
        <v>0</v>
      </c>
      <c r="N199" s="169">
        <v>0</v>
      </c>
      <c r="O199" s="169">
        <v>0</v>
      </c>
      <c r="P199" s="169">
        <v>2817000000</v>
      </c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  <c r="AF199" s="169"/>
      <c r="AG199" s="169"/>
      <c r="AH199" s="169"/>
      <c r="AI199" s="169"/>
      <c r="AJ199" s="169"/>
      <c r="AK199" s="169"/>
      <c r="AL199" s="169"/>
      <c r="AM199" s="169"/>
      <c r="AN199" s="169"/>
      <c r="AO199" s="169"/>
      <c r="AP199" s="169"/>
      <c r="AQ199" s="169"/>
      <c r="AR199" s="169"/>
      <c r="AS199" s="169"/>
      <c r="AT199" s="169"/>
      <c r="AU199" s="169"/>
      <c r="AV199" s="169"/>
      <c r="AW199" s="169"/>
      <c r="AX199" s="169"/>
      <c r="AY199" s="169"/>
      <c r="AZ199" s="169"/>
      <c r="BA199" s="169"/>
      <c r="BP199" s="189"/>
    </row>
    <row r="200" spans="3:68">
      <c r="C200" s="169" t="s">
        <v>241</v>
      </c>
      <c r="D200" s="169"/>
      <c r="E200" s="169"/>
      <c r="F200" s="169"/>
      <c r="G200" s="169"/>
      <c r="H200" s="169"/>
      <c r="I200" s="169">
        <v>939000000</v>
      </c>
      <c r="J200" s="169">
        <v>939000000</v>
      </c>
      <c r="K200" s="169">
        <v>939000000</v>
      </c>
      <c r="L200" s="169">
        <v>939000000</v>
      </c>
      <c r="M200" s="169">
        <v>939000000</v>
      </c>
      <c r="N200" s="169">
        <v>939000000</v>
      </c>
      <c r="O200" s="169">
        <v>939000000</v>
      </c>
      <c r="P200" s="169">
        <v>8451000000</v>
      </c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  <c r="AF200" s="169"/>
      <c r="AG200" s="169"/>
      <c r="AH200" s="169"/>
      <c r="AI200" s="169"/>
      <c r="AJ200" s="169"/>
      <c r="AK200" s="169"/>
      <c r="AL200" s="169"/>
      <c r="AM200" s="169"/>
      <c r="AN200" s="169"/>
      <c r="AO200" s="169"/>
      <c r="AP200" s="169"/>
      <c r="AQ200" s="169"/>
      <c r="AR200" s="169"/>
      <c r="AS200" s="169"/>
      <c r="AT200" s="169"/>
      <c r="AU200" s="169"/>
      <c r="AV200" s="169"/>
      <c r="AW200" s="169"/>
      <c r="AX200" s="169"/>
      <c r="AY200" s="169"/>
      <c r="AZ200" s="169"/>
      <c r="BA200" s="169"/>
      <c r="BP200" s="189"/>
    </row>
    <row r="201" spans="3:68">
      <c r="C201" s="169" t="s">
        <v>242</v>
      </c>
      <c r="D201" s="169"/>
      <c r="E201" s="169"/>
      <c r="F201" s="169"/>
      <c r="G201" s="169"/>
      <c r="H201" s="169"/>
      <c r="I201" s="169"/>
      <c r="J201" s="169"/>
      <c r="K201" s="169"/>
      <c r="L201" s="169"/>
      <c r="M201" s="169">
        <v>1715625000</v>
      </c>
      <c r="N201" s="169">
        <v>1715625000</v>
      </c>
      <c r="O201" s="169">
        <v>1715625000</v>
      </c>
      <c r="P201" s="169">
        <v>8578125000</v>
      </c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  <c r="AF201" s="169"/>
      <c r="AG201" s="169"/>
      <c r="AH201" s="169"/>
      <c r="AI201" s="169"/>
      <c r="AJ201" s="169"/>
      <c r="AK201" s="169"/>
      <c r="AL201" s="169"/>
      <c r="AM201" s="169"/>
      <c r="AN201" s="169"/>
      <c r="AO201" s="169"/>
      <c r="AP201" s="169"/>
      <c r="AQ201" s="169"/>
      <c r="AR201" s="169"/>
      <c r="AS201" s="169"/>
      <c r="AT201" s="169"/>
      <c r="AU201" s="169"/>
      <c r="AV201" s="169"/>
      <c r="AW201" s="169"/>
      <c r="AX201" s="169"/>
      <c r="AY201" s="169"/>
      <c r="AZ201" s="169"/>
      <c r="BA201" s="169"/>
      <c r="BP201" s="189"/>
    </row>
    <row r="202" spans="3:68">
      <c r="C202" s="169"/>
      <c r="D202" s="169">
        <f t="shared" ref="D202:F202" si="50">SUM(D199:D201)</f>
        <v>0</v>
      </c>
      <c r="E202" s="169">
        <f t="shared" si="50"/>
        <v>0</v>
      </c>
      <c r="F202" s="169">
        <f t="shared" si="50"/>
        <v>939000000</v>
      </c>
      <c r="G202" s="169">
        <f>SUM(G199:G201)</f>
        <v>939000000</v>
      </c>
      <c r="H202" s="169">
        <f t="shared" ref="H202:O202" si="51">SUM(H199:H201)</f>
        <v>939000000</v>
      </c>
      <c r="I202" s="169">
        <f t="shared" si="51"/>
        <v>939000000</v>
      </c>
      <c r="J202" s="169">
        <f t="shared" si="51"/>
        <v>939000000</v>
      </c>
      <c r="K202" s="169">
        <f t="shared" si="51"/>
        <v>939000000</v>
      </c>
      <c r="L202" s="169">
        <f t="shared" si="51"/>
        <v>939000000</v>
      </c>
      <c r="M202" s="169">
        <f t="shared" si="51"/>
        <v>2654625000</v>
      </c>
      <c r="N202" s="169">
        <f t="shared" si="51"/>
        <v>2654625000</v>
      </c>
      <c r="O202" s="169">
        <f t="shared" si="51"/>
        <v>2654625000</v>
      </c>
      <c r="P202" s="169">
        <v>19846125000</v>
      </c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  <c r="AF202" s="169"/>
      <c r="AG202" s="169"/>
      <c r="AH202" s="169"/>
      <c r="AI202" s="169"/>
      <c r="AJ202" s="169"/>
      <c r="AK202" s="169"/>
      <c r="AL202" s="169"/>
      <c r="AM202" s="169"/>
      <c r="AN202" s="169"/>
      <c r="AO202" s="169"/>
      <c r="AP202" s="169"/>
      <c r="AQ202" s="169"/>
      <c r="AR202" s="169"/>
      <c r="AS202" s="169"/>
      <c r="AT202" s="169"/>
      <c r="AU202" s="169"/>
      <c r="AV202" s="169"/>
      <c r="AW202" s="169"/>
      <c r="AX202" s="169"/>
      <c r="AY202" s="169"/>
      <c r="AZ202" s="169"/>
      <c r="BA202" s="169"/>
      <c r="BP202" s="189"/>
    </row>
    <row r="203" spans="3:68">
      <c r="BP203" s="189"/>
    </row>
    <row r="204" spans="3:68">
      <c r="J204" s="136">
        <v>8</v>
      </c>
      <c r="BP204" s="189"/>
    </row>
    <row r="205" spans="3:68">
      <c r="J205" s="136">
        <v>37</v>
      </c>
      <c r="BP205" s="189"/>
    </row>
    <row r="206" spans="3:68">
      <c r="BP206" s="189"/>
    </row>
    <row r="207" spans="3:68">
      <c r="BP207" s="189"/>
    </row>
    <row r="208" spans="3:68">
      <c r="BP208" s="189"/>
    </row>
    <row r="209" spans="10:68">
      <c r="BP209" s="189"/>
    </row>
    <row r="210" spans="10:68">
      <c r="BP210" s="189"/>
    </row>
    <row r="211" spans="10:68">
      <c r="BP211" s="189"/>
    </row>
    <row r="212" spans="10:68">
      <c r="BP212" s="189"/>
    </row>
    <row r="213" spans="10:68">
      <c r="BP213" s="189"/>
    </row>
    <row r="214" spans="10:68">
      <c r="BP214" s="189"/>
    </row>
    <row r="215" spans="10:68">
      <c r="BP215" s="189"/>
    </row>
    <row r="216" spans="10:68">
      <c r="J216" s="136">
        <v>5</v>
      </c>
      <c r="K216" s="136" t="s">
        <v>357</v>
      </c>
      <c r="BP216" s="189"/>
    </row>
    <row r="217" spans="10:68">
      <c r="J217" s="136">
        <v>10</v>
      </c>
      <c r="K217" s="136" t="s">
        <v>358</v>
      </c>
      <c r="BP217" s="189"/>
    </row>
    <row r="218" spans="10:68">
      <c r="J218" s="136">
        <f>SUM(J204:J217)</f>
        <v>60</v>
      </c>
      <c r="BP218" s="189"/>
    </row>
    <row r="219" spans="10:68">
      <c r="BP219" s="189"/>
    </row>
    <row r="220" spans="10:68">
      <c r="J220" s="136">
        <v>15.5</v>
      </c>
      <c r="K220" s="136" t="s">
        <v>366</v>
      </c>
      <c r="BP220" s="189"/>
    </row>
    <row r="221" spans="10:68">
      <c r="J221" s="136">
        <v>8</v>
      </c>
      <c r="BP221" s="189"/>
    </row>
    <row r="222" spans="10:68">
      <c r="BP222" s="189"/>
    </row>
    <row r="223" spans="10:68">
      <c r="J223" s="136">
        <f>SUM(J220:J222)</f>
        <v>23.5</v>
      </c>
      <c r="BP223" s="189"/>
    </row>
    <row r="224" spans="10:68">
      <c r="BP224" s="189"/>
    </row>
    <row r="225" spans="2:68">
      <c r="BP225" s="189"/>
    </row>
    <row r="226" spans="2:68">
      <c r="B226" s="135" t="s">
        <v>13</v>
      </c>
      <c r="D226" s="136">
        <f>2302219650.11589*1.1</f>
        <v>2532441615.1274791</v>
      </c>
      <c r="E226" s="136">
        <v>2997371675.8844399</v>
      </c>
      <c r="F226" s="136">
        <v>3057319109.4021287</v>
      </c>
      <c r="G226" s="136">
        <v>2935026345.0260434</v>
      </c>
      <c r="H226" s="136">
        <v>2964376608.4763041</v>
      </c>
      <c r="I226" s="136">
        <v>2994020374.5610671</v>
      </c>
      <c r="J226" s="136">
        <v>2934139967.0698457</v>
      </c>
      <c r="K226" s="136">
        <v>2992822766.4112425</v>
      </c>
      <c r="L226" s="136">
        <v>3052679221.7394671</v>
      </c>
      <c r="M226" s="136">
        <v>3113732806.1742563</v>
      </c>
      <c r="N226" s="136">
        <v>3238282118.4212265</v>
      </c>
      <c r="O226" s="136">
        <v>3303047760.7896509</v>
      </c>
      <c r="BP226" s="189"/>
    </row>
    <row r="227" spans="2:68">
      <c r="B227" s="135" t="s">
        <v>14</v>
      </c>
      <c r="D227" s="136">
        <f>629780789.498435*1.1</f>
        <v>692758868.44827855</v>
      </c>
      <c r="E227" s="136">
        <v>819942224.17645049</v>
      </c>
      <c r="F227" s="136">
        <v>836341068.65997946</v>
      </c>
      <c r="G227" s="136">
        <v>802887425.9135803</v>
      </c>
      <c r="H227" s="136">
        <v>810916300.17271614</v>
      </c>
      <c r="I227" s="136">
        <v>819025463.17444324</v>
      </c>
      <c r="J227" s="136">
        <v>802644953.91095436</v>
      </c>
      <c r="K227" s="136">
        <v>818697852.98917341</v>
      </c>
      <c r="L227" s="136">
        <v>835071810.04895687</v>
      </c>
      <c r="M227" s="136">
        <v>851773246.24993598</v>
      </c>
      <c r="N227" s="136">
        <v>885844176.09993339</v>
      </c>
      <c r="O227" s="136">
        <v>903561059.62193203</v>
      </c>
      <c r="BP227" s="189"/>
    </row>
    <row r="228" spans="2:68">
      <c r="B228" s="135" t="s">
        <v>252</v>
      </c>
      <c r="D228" s="136">
        <v>0</v>
      </c>
      <c r="E228" s="136">
        <v>561000000</v>
      </c>
      <c r="F228" s="136">
        <v>572220000</v>
      </c>
      <c r="G228" s="136">
        <v>549331200</v>
      </c>
      <c r="H228" s="136">
        <v>554824512</v>
      </c>
      <c r="I228" s="136">
        <v>560372757.12</v>
      </c>
      <c r="J228" s="136">
        <v>549165301.97759998</v>
      </c>
      <c r="K228" s="136">
        <v>560148608.01715195</v>
      </c>
      <c r="L228" s="136">
        <v>571351580.177495</v>
      </c>
      <c r="M228" s="136">
        <v>582778611.78104496</v>
      </c>
      <c r="N228" s="136">
        <v>606089756.25228679</v>
      </c>
      <c r="O228" s="136">
        <v>618211551.37733257</v>
      </c>
      <c r="BP228" s="189"/>
    </row>
    <row r="229" spans="2:68">
      <c r="B229" s="135" t="s">
        <v>244</v>
      </c>
      <c r="D229" s="136">
        <f>4655889034.06637*1.1</f>
        <v>5121477937.4730072</v>
      </c>
      <c r="E229" s="136">
        <v>5714298888.834466</v>
      </c>
      <c r="F229" s="136">
        <v>5828584866.6111555</v>
      </c>
      <c r="G229" s="136">
        <v>5595441471.9467096</v>
      </c>
      <c r="H229" s="136">
        <v>5651395886.6661768</v>
      </c>
      <c r="I229" s="136">
        <v>5707909845.5328388</v>
      </c>
      <c r="J229" s="136">
        <v>5593751648.6221819</v>
      </c>
      <c r="K229" s="136">
        <v>5705626681.5946255</v>
      </c>
      <c r="L229" s="136">
        <v>5819739215.2265177</v>
      </c>
      <c r="M229" s="136">
        <v>5936133999.5310478</v>
      </c>
      <c r="N229" s="136">
        <v>6173579359.51229</v>
      </c>
      <c r="O229" s="136">
        <v>6297050946.7025356</v>
      </c>
      <c r="BP229" s="189"/>
    </row>
    <row r="230" spans="2:68">
      <c r="B230" s="135" t="s">
        <v>245</v>
      </c>
      <c r="D230" s="136">
        <f>701432981.88002*1.1</f>
        <v>771576280.06802213</v>
      </c>
      <c r="E230" s="136">
        <v>895323231.89113545</v>
      </c>
      <c r="F230" s="136">
        <v>913229696.5289582</v>
      </c>
      <c r="G230" s="136">
        <v>876700508.66779983</v>
      </c>
      <c r="H230" s="136">
        <v>885467513.75447786</v>
      </c>
      <c r="I230" s="136">
        <v>894322188.89202261</v>
      </c>
      <c r="J230" s="136">
        <v>876435745.11418211</v>
      </c>
      <c r="K230" s="136">
        <v>893964460.01646578</v>
      </c>
      <c r="L230" s="136">
        <v>911843749.21679509</v>
      </c>
      <c r="M230" s="136">
        <v>930080624.20113099</v>
      </c>
      <c r="N230" s="136">
        <v>967283849.16917622</v>
      </c>
      <c r="O230" s="136">
        <v>986629526.15255976</v>
      </c>
      <c r="BP230" s="189"/>
    </row>
    <row r="231" spans="2:68">
      <c r="BP231" s="189"/>
    </row>
    <row r="232" spans="2:68">
      <c r="BP232" s="189"/>
    </row>
    <row r="233" spans="2:68">
      <c r="BP233" s="189"/>
    </row>
    <row r="234" spans="2:68">
      <c r="BP234" s="189"/>
    </row>
    <row r="235" spans="2:68">
      <c r="BP235" s="189"/>
    </row>
    <row r="236" spans="2:68">
      <c r="BP236" s="189"/>
    </row>
    <row r="237" spans="2:68">
      <c r="P237" s="136">
        <f>SUM(D120:O120)</f>
        <v>25709166644.345581</v>
      </c>
      <c r="BP237" s="74">
        <v>8000000000</v>
      </c>
    </row>
    <row r="238" spans="2:68">
      <c r="D238" s="136" t="s">
        <v>258</v>
      </c>
      <c r="E238" s="136" t="s">
        <v>259</v>
      </c>
      <c r="BP238" s="74">
        <f>SUM(BP196:BP237)</f>
        <v>33000000000</v>
      </c>
    </row>
    <row r="239" spans="2:68">
      <c r="C239" s="135" t="s">
        <v>260</v>
      </c>
      <c r="D239" s="136">
        <v>25708624138.779999</v>
      </c>
      <c r="E239" s="136">
        <v>4284770689.7966666</v>
      </c>
      <c r="F239" s="136" t="s">
        <v>261</v>
      </c>
      <c r="BN239" s="74" t="e">
        <f>'CF 2017'!#REF!+'CF 2018'!P106</f>
        <v>#REF!</v>
      </c>
    </row>
    <row r="240" spans="2:68">
      <c r="K240" s="136" t="s">
        <v>253</v>
      </c>
      <c r="BN240" s="74">
        <f>P111</f>
        <v>0</v>
      </c>
      <c r="BP240" s="74">
        <v>-8000000000</v>
      </c>
    </row>
    <row r="241" spans="3:68">
      <c r="E241" s="136">
        <f>+E239/105</f>
        <v>40807339.902825393</v>
      </c>
      <c r="F241" s="136" t="s">
        <v>262</v>
      </c>
      <c r="BN241" s="74" t="e">
        <f>SUM(BN239:BN240)</f>
        <v>#REF!</v>
      </c>
      <c r="BP241" s="74">
        <f>-P111</f>
        <v>0</v>
      </c>
    </row>
    <row r="242" spans="3:68">
      <c r="E242" s="136">
        <f>+(E241*40)*20%</f>
        <v>326458719.22260314</v>
      </c>
      <c r="F242" s="136" t="s">
        <v>263</v>
      </c>
      <c r="BP242" s="74">
        <f>SUM(BP240:BP241)</f>
        <v>-8000000000</v>
      </c>
    </row>
    <row r="243" spans="3:68">
      <c r="BP243" s="74">
        <f>-'CF 2018'!P110-'CF 2017'!P117</f>
        <v>-37296000000</v>
      </c>
    </row>
    <row r="244" spans="3:68">
      <c r="BN244" s="74" t="e">
        <f>+BN241+BN196</f>
        <v>#REF!</v>
      </c>
      <c r="BP244" s="74">
        <f>SUM(BP240:BP243)</f>
        <v>-53296000000</v>
      </c>
    </row>
    <row r="247" spans="3:68">
      <c r="BP247" s="74">
        <f>+BP244+BP238</f>
        <v>-20296000000</v>
      </c>
    </row>
    <row r="250" spans="3:68">
      <c r="C250" s="135" t="s">
        <v>257</v>
      </c>
    </row>
    <row r="251" spans="3:68">
      <c r="C251" s="135" t="s">
        <v>13</v>
      </c>
      <c r="D251" s="136">
        <f>+BN14+(BN14*10%)</f>
        <v>1781358985.1541448</v>
      </c>
      <c r="E251" s="137">
        <f>+D251/$D$256</f>
        <v>0.28260223486976827</v>
      </c>
      <c r="F251" s="136">
        <f>'CAT 2019'!E38</f>
        <v>1814227037.8007414</v>
      </c>
    </row>
    <row r="252" spans="3:68">
      <c r="C252" s="135" t="s">
        <v>14</v>
      </c>
      <c r="D252" s="136">
        <f>+BN15+(BN15*10%)</f>
        <v>794043020.33406651</v>
      </c>
      <c r="E252" s="137">
        <f>+D252/$D$256</f>
        <v>0.12597030357119757</v>
      </c>
      <c r="F252" s="136">
        <f>'CAT 2019'!E39</f>
        <v>477815292.14832747</v>
      </c>
    </row>
    <row r="253" spans="3:68">
      <c r="D253" s="136">
        <f>+BN16+(BN16*10%)</f>
        <v>0</v>
      </c>
      <c r="E253" s="137">
        <f>+D253/$D$256</f>
        <v>0</v>
      </c>
      <c r="F253" s="136">
        <f>'CAT 2019'!E40</f>
        <v>0</v>
      </c>
    </row>
    <row r="254" spans="3:68">
      <c r="C254" s="135" t="s">
        <v>244</v>
      </c>
      <c r="D254" s="136">
        <f>+BN17+(BN17*10%)</f>
        <v>3248326358.5238433</v>
      </c>
      <c r="E254" s="137">
        <f>+D254/$D$256</f>
        <v>0.5153280703977694</v>
      </c>
      <c r="F254" s="136">
        <f>'CAT 2019'!E41</f>
        <v>4362895986.3187761</v>
      </c>
    </row>
    <row r="255" spans="3:68">
      <c r="C255" s="135" t="s">
        <v>245</v>
      </c>
      <c r="D255" s="136">
        <f>+BN18+(BN18*10%)</f>
        <v>479685994.95453131</v>
      </c>
      <c r="E255" s="137">
        <f>+D255/$D$256</f>
        <v>7.6099391161264782E-2</v>
      </c>
      <c r="F255" s="136">
        <f>'CAT 2019'!E42</f>
        <v>657292113.0474534</v>
      </c>
    </row>
    <row r="256" spans="3:68">
      <c r="D256" s="136">
        <f>SUM(D251:D255)</f>
        <v>6303414358.9665861</v>
      </c>
      <c r="E256" s="137">
        <f>SUM(E251:E255)</f>
        <v>1</v>
      </c>
      <c r="F256" s="136">
        <f>'CAT 2019'!E43</f>
        <v>7312230429.3152981</v>
      </c>
    </row>
    <row r="260" spans="2:16">
      <c r="B260" s="135" t="s">
        <v>13</v>
      </c>
      <c r="D260" s="136">
        <f>+'catatan 2019'!E33</f>
        <v>2068844789.460568</v>
      </c>
      <c r="E260" s="136">
        <f>+D260+(D260*E8%)</f>
        <v>2068844789.460568</v>
      </c>
      <c r="F260" s="136">
        <f>+E260+(E260*F8%)</f>
        <v>2068844789.460568</v>
      </c>
      <c r="G260" s="136">
        <f>+'catatan 2019'!E75</f>
        <v>2155230908.9306436</v>
      </c>
      <c r="H260" s="136">
        <f>+G260+(G260*H8%)</f>
        <v>2155230908.9306436</v>
      </c>
      <c r="I260" s="136">
        <f>+H260+(H260*I8%)</f>
        <v>2198335527.1092563</v>
      </c>
      <c r="J260" s="136">
        <f>+'catatan 2019'!E116</f>
        <v>2212821655.2440267</v>
      </c>
      <c r="K260" s="136">
        <f>+J260+(J260*K8%)</f>
        <v>2212821655.2440267</v>
      </c>
      <c r="L260" s="136">
        <f>+K260+(K260*L8%)</f>
        <v>2212821655.2440267</v>
      </c>
      <c r="M260" s="136">
        <f>+'catatan 2019'!E158</f>
        <v>2518339231.317399</v>
      </c>
      <c r="N260" s="136">
        <f>+M260+(M260*N8%)</f>
        <v>2518339231.317399</v>
      </c>
      <c r="O260" s="136">
        <f>+N260+(N260*O8%)</f>
        <v>2518339231.317399</v>
      </c>
      <c r="P260" s="136">
        <v>20250826591.71981</v>
      </c>
    </row>
    <row r="261" spans="2:16">
      <c r="B261" s="135" t="s">
        <v>14</v>
      </c>
      <c r="D261" s="136">
        <f>+'catatan 2019'!E34</f>
        <v>565940224.16176283</v>
      </c>
      <c r="E261" s="136">
        <f>+D261+(D261*E8%)</f>
        <v>565940224.16176283</v>
      </c>
      <c r="F261" s="136">
        <f>+E261+(E261*F8%)</f>
        <v>565940224.16176283</v>
      </c>
      <c r="G261" s="136">
        <f>+'catatan 2019'!E76</f>
        <v>589571469.99828911</v>
      </c>
      <c r="H261" s="136">
        <f>+G261+(G261*H8%)</f>
        <v>589571469.99828911</v>
      </c>
      <c r="I261" s="136">
        <f>+H261+(H261*I8%)</f>
        <v>601362899.39825487</v>
      </c>
      <c r="J261" s="136">
        <f>+'catatan 2019'!E117</f>
        <v>605325633.88930666</v>
      </c>
      <c r="K261" s="136">
        <f>+J261+(J261*K8%)</f>
        <v>605325633.88930666</v>
      </c>
      <c r="L261" s="136">
        <f>+K261+(K261*L8%)</f>
        <v>605325633.88930666</v>
      </c>
      <c r="M261" s="136">
        <f>+'catatan 2019'!E159</f>
        <v>688901108.65143514</v>
      </c>
      <c r="N261" s="136">
        <f>+M261+(M261*N8%)</f>
        <v>688901108.65143514</v>
      </c>
      <c r="O261" s="136">
        <f>+N261+(N261*O8%)</f>
        <v>688901108.65143514</v>
      </c>
      <c r="P261" s="136">
        <v>5333486064.6203537</v>
      </c>
    </row>
    <row r="262" spans="2:16">
      <c r="B262" s="135" t="s">
        <v>252</v>
      </c>
      <c r="D262" s="136">
        <f>+'catatan 2019'!E35</f>
        <v>0</v>
      </c>
      <c r="E262" s="136">
        <f>+D262+(D262*E9%)</f>
        <v>0</v>
      </c>
      <c r="F262" s="136">
        <f>+E262+(E262*F9%)</f>
        <v>0</v>
      </c>
      <c r="G262" s="136">
        <f>+'catatan 2019'!E77</f>
        <v>0</v>
      </c>
      <c r="H262" s="136">
        <f>+G262+(G262*H9%)</f>
        <v>0</v>
      </c>
      <c r="I262" s="136">
        <f>+H262+(H262*I9%)</f>
        <v>0</v>
      </c>
      <c r="J262" s="136">
        <f>+'catatan 2019'!E118</f>
        <v>0</v>
      </c>
      <c r="K262" s="136">
        <f>+J262+(J262*K9%)</f>
        <v>0</v>
      </c>
      <c r="L262" s="136">
        <f>+K262+(K262*L9%)</f>
        <v>0</v>
      </c>
      <c r="M262" s="136">
        <f>+'catatan 2019'!E160</f>
        <v>0</v>
      </c>
      <c r="N262" s="136">
        <f>+M262+(M262*N9%)</f>
        <v>0</v>
      </c>
      <c r="O262" s="136">
        <f>+N262+(N262*O9%)</f>
        <v>0</v>
      </c>
      <c r="P262" s="136">
        <v>1200000000</v>
      </c>
    </row>
    <row r="263" spans="2:16">
      <c r="B263" s="135" t="s">
        <v>244</v>
      </c>
      <c r="D263" s="136">
        <f>+'catatan 2019'!E36</f>
        <v>4183923878.8314323</v>
      </c>
      <c r="E263" s="136">
        <f>+D263+(D263*E8%)</f>
        <v>4183923878.8314323</v>
      </c>
      <c r="F263" s="136">
        <f>+E263+(E263*F8%)</f>
        <v>4183923878.8314323</v>
      </c>
      <c r="G263" s="136">
        <f>+'catatan 2019'!E78</f>
        <v>4358626664.6042957</v>
      </c>
      <c r="H263" s="136">
        <f>+G263+(G263*H8%)</f>
        <v>4358626664.6042957</v>
      </c>
      <c r="I263" s="136">
        <f>+H263+(H263*I8%)</f>
        <v>4445799197.8963814</v>
      </c>
      <c r="J263" s="136">
        <f>+'catatan 2019'!E119</f>
        <v>4475095188.4528704</v>
      </c>
      <c r="K263" s="136">
        <f>+J263+(J263*K8%)</f>
        <v>4475095188.4528704</v>
      </c>
      <c r="L263" s="136">
        <f>+K263+(K263*L8%)</f>
        <v>4475095188.4528704</v>
      </c>
      <c r="M263" s="136">
        <f>+'catatan 2019'!E161</f>
        <v>5092958011.4389172</v>
      </c>
      <c r="N263" s="136">
        <f>+M263+(M263*N8%)</f>
        <v>5092958011.4389172</v>
      </c>
      <c r="O263" s="136">
        <f>+N263+(N263*O8%)</f>
        <v>5092958011.4389172</v>
      </c>
      <c r="P263" s="136">
        <v>31950340441.115665</v>
      </c>
    </row>
    <row r="264" spans="2:16">
      <c r="B264" s="135" t="s">
        <v>245</v>
      </c>
      <c r="D264" s="136">
        <f>+'catatan 2019'!E37</f>
        <v>630329069.44618511</v>
      </c>
      <c r="E264" s="136">
        <f>+D264+(D264*E8%)</f>
        <v>630329069.44618511</v>
      </c>
      <c r="F264" s="136">
        <f>+E264+(E264*F8%)</f>
        <v>630329069.44618511</v>
      </c>
      <c r="G264" s="136">
        <f>+'catatan 2019'!E79</f>
        <v>656648918.3667208</v>
      </c>
      <c r="H264" s="136">
        <f>+G264+(G264*H8%)</f>
        <v>656648918.3667208</v>
      </c>
      <c r="I264" s="136">
        <f>+H264+(H264*I8%)</f>
        <v>669781896.73405516</v>
      </c>
      <c r="J264" s="136">
        <f>+'catatan 2019'!E120</f>
        <v>674195484.31374454</v>
      </c>
      <c r="K264" s="136">
        <f>+J264+(J264*K8%)</f>
        <v>674195484.31374454</v>
      </c>
      <c r="L264" s="136">
        <f>+K264+(K264*L8%)</f>
        <v>674195484.31374454</v>
      </c>
      <c r="M264" s="136">
        <f>+'catatan 2019'!E162</f>
        <v>767279610.49219751</v>
      </c>
      <c r="N264" s="136">
        <f>+M264+(M264*N8%)</f>
        <v>767279610.49219751</v>
      </c>
      <c r="O264" s="136">
        <f>+N264+(N264*O8%)</f>
        <v>767279610.49219751</v>
      </c>
      <c r="P264" s="136">
        <v>4803183287.2271242</v>
      </c>
    </row>
    <row r="265" spans="2:16">
      <c r="D265" s="136">
        <f>SUM(D260:D264)</f>
        <v>7449037961.8999481</v>
      </c>
      <c r="G265" s="136">
        <f>SUM(G260:G264)</f>
        <v>7760077961.8999491</v>
      </c>
      <c r="J265" s="136">
        <f>SUM(J260:J264)</f>
        <v>7967437961.8999481</v>
      </c>
      <c r="M265" s="136">
        <f>SUM(M259:M264)</f>
        <v>9067477961.8999481</v>
      </c>
    </row>
    <row r="267" spans="2:16">
      <c r="C267" s="135" t="s">
        <v>302</v>
      </c>
    </row>
    <row r="268" spans="2:16">
      <c r="G268" s="136">
        <v>1886476253.4832189</v>
      </c>
    </row>
    <row r="269" spans="2:16">
      <c r="G269" s="136">
        <v>496843660.36218607</v>
      </c>
    </row>
    <row r="270" spans="2:16">
      <c r="G270" s="136">
        <v>0</v>
      </c>
    </row>
    <row r="271" spans="2:16">
      <c r="G271" s="136">
        <v>4536642604.8775396</v>
      </c>
    </row>
    <row r="272" spans="2:16">
      <c r="G272" s="136">
        <v>683467910.59235394</v>
      </c>
    </row>
    <row r="391" spans="4:76">
      <c r="D391" s="597" t="s">
        <v>3</v>
      </c>
      <c r="E391" s="598"/>
      <c r="F391" s="598"/>
      <c r="G391" s="598"/>
      <c r="H391" s="598"/>
      <c r="I391" s="598"/>
      <c r="J391" s="598"/>
      <c r="K391" s="598"/>
      <c r="L391" s="598"/>
      <c r="M391" s="598"/>
      <c r="N391" s="598"/>
      <c r="O391" s="654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  <c r="AC391" s="162"/>
      <c r="AD391" s="162"/>
      <c r="AE391" s="162"/>
      <c r="AF391" s="162"/>
      <c r="AG391" s="162"/>
      <c r="AH391" s="162"/>
      <c r="AI391" s="162"/>
      <c r="AJ391" s="162"/>
      <c r="AK391" s="162"/>
      <c r="AL391" s="162"/>
      <c r="AM391" s="162"/>
      <c r="AN391" s="162"/>
      <c r="AO391" s="162"/>
      <c r="AP391" s="162"/>
      <c r="AQ391" s="162"/>
      <c r="AR391" s="162"/>
      <c r="AS391" s="162"/>
      <c r="AT391" s="162"/>
      <c r="AU391" s="162"/>
      <c r="AV391" s="162"/>
      <c r="AW391" s="162"/>
      <c r="AX391" s="162"/>
      <c r="AY391" s="162"/>
      <c r="AZ391" s="162"/>
      <c r="BA391" s="162"/>
      <c r="BB391" s="162"/>
      <c r="BC391" s="162"/>
      <c r="BD391" s="162"/>
      <c r="BE391" s="162"/>
      <c r="BF391" s="162"/>
      <c r="BG391" s="162"/>
      <c r="BH391" s="162"/>
      <c r="BI391" s="162"/>
      <c r="BJ391" s="162"/>
      <c r="BK391" s="162"/>
      <c r="BL391" s="162"/>
      <c r="BM391" s="78"/>
      <c r="BN391" s="78"/>
      <c r="BO391" s="78"/>
      <c r="BP391" s="78"/>
      <c r="BQ391" s="78"/>
      <c r="BR391" s="78"/>
      <c r="BS391" s="78"/>
      <c r="BT391" s="78"/>
      <c r="BU391" s="78"/>
      <c r="BV391" s="78"/>
      <c r="BW391" s="78"/>
      <c r="BX391" s="78"/>
    </row>
    <row r="392" spans="4:76">
      <c r="D392" s="650" t="s">
        <v>126</v>
      </c>
      <c r="E392" s="651"/>
      <c r="F392" s="651"/>
      <c r="G392" s="651"/>
      <c r="H392" s="651"/>
      <c r="I392" s="651"/>
      <c r="J392" s="651"/>
      <c r="K392" s="651"/>
      <c r="L392" s="651"/>
      <c r="M392" s="651"/>
      <c r="N392" s="651"/>
      <c r="O392" s="653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  <c r="AC392" s="168"/>
      <c r="AD392" s="168"/>
      <c r="AE392" s="168"/>
      <c r="AF392" s="168"/>
      <c r="AG392" s="168"/>
      <c r="AH392" s="168"/>
      <c r="AI392" s="168"/>
      <c r="AJ392" s="168"/>
      <c r="AK392" s="168"/>
      <c r="AL392" s="168"/>
      <c r="AM392" s="168"/>
      <c r="AN392" s="168"/>
      <c r="AO392" s="168"/>
      <c r="AP392" s="168"/>
      <c r="AQ392" s="168"/>
      <c r="AR392" s="168"/>
      <c r="AS392" s="168"/>
      <c r="AT392" s="168"/>
      <c r="AU392" s="168"/>
      <c r="AV392" s="168"/>
      <c r="AW392" s="168"/>
      <c r="AX392" s="168"/>
      <c r="AY392" s="168"/>
      <c r="AZ392" s="168"/>
      <c r="BA392" s="168"/>
      <c r="BB392" s="168"/>
      <c r="BC392" s="168"/>
      <c r="BD392" s="168"/>
      <c r="BE392" s="168"/>
      <c r="BF392" s="168"/>
      <c r="BG392" s="168"/>
      <c r="BH392" s="168"/>
      <c r="BI392" s="168"/>
      <c r="BJ392" s="168"/>
      <c r="BK392" s="168"/>
      <c r="BL392" s="168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</row>
    <row r="393" spans="4:76">
      <c r="D393" s="140" t="s">
        <v>4</v>
      </c>
      <c r="E393" s="140" t="s">
        <v>5</v>
      </c>
      <c r="F393" s="140" t="s">
        <v>6</v>
      </c>
      <c r="G393" s="140" t="s">
        <v>7</v>
      </c>
      <c r="H393" s="140" t="s">
        <v>8</v>
      </c>
      <c r="I393" s="140" t="s">
        <v>9</v>
      </c>
      <c r="J393" s="140" t="s">
        <v>127</v>
      </c>
      <c r="K393" s="140" t="s">
        <v>129</v>
      </c>
      <c r="L393" s="140" t="s">
        <v>130</v>
      </c>
      <c r="M393" s="140" t="s">
        <v>131</v>
      </c>
      <c r="N393" s="140" t="s">
        <v>132</v>
      </c>
      <c r="O393" s="165" t="s">
        <v>143</v>
      </c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  <c r="AA393" s="163"/>
      <c r="AB393" s="163"/>
      <c r="AC393" s="163"/>
      <c r="AD393" s="163"/>
      <c r="AE393" s="163"/>
      <c r="AF393" s="163"/>
      <c r="AG393" s="163"/>
      <c r="AH393" s="163"/>
      <c r="AI393" s="163"/>
      <c r="AJ393" s="163"/>
      <c r="AK393" s="163"/>
      <c r="AL393" s="163"/>
      <c r="AM393" s="163"/>
      <c r="AN393" s="163"/>
      <c r="AO393" s="163"/>
      <c r="AP393" s="163"/>
      <c r="AQ393" s="163"/>
      <c r="AR393" s="163"/>
      <c r="AS393" s="163"/>
      <c r="AT393" s="163"/>
      <c r="AU393" s="163"/>
      <c r="AV393" s="163"/>
      <c r="AW393" s="163"/>
      <c r="AX393" s="163"/>
      <c r="AY393" s="163"/>
      <c r="AZ393" s="163"/>
      <c r="BA393" s="163"/>
      <c r="BB393" s="163"/>
      <c r="BC393" s="163"/>
      <c r="BD393" s="163"/>
      <c r="BE393" s="163"/>
      <c r="BF393" s="163"/>
      <c r="BG393" s="163"/>
      <c r="BH393" s="163"/>
      <c r="BI393" s="163"/>
      <c r="BJ393" s="163"/>
      <c r="BK393" s="163"/>
      <c r="BL393" s="163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</row>
    <row r="394" spans="4:76">
      <c r="D394" s="141">
        <f>D395-'CF 2018'!O255</f>
        <v>0</v>
      </c>
      <c r="E394" s="161">
        <f>E395-D395</f>
        <v>85.62</v>
      </c>
      <c r="F394" s="161">
        <f t="shared" ref="F394" si="52">F395-E395</f>
        <v>3.8399999999999892</v>
      </c>
      <c r="G394" s="161">
        <f>G395-F395</f>
        <v>-1.0599999999999881</v>
      </c>
      <c r="H394" s="161">
        <f t="shared" ref="H394:O394" si="53">H395-G395</f>
        <v>-3.1400000000000006</v>
      </c>
      <c r="I394" s="161">
        <f t="shared" si="53"/>
        <v>-10.969999999999999</v>
      </c>
      <c r="J394" s="161">
        <f t="shared" si="53"/>
        <v>1.6699999999999875</v>
      </c>
      <c r="K394" s="161">
        <f t="shared" si="53"/>
        <v>4.0400000000000063</v>
      </c>
      <c r="L394" s="161">
        <f t="shared" si="53"/>
        <v>0</v>
      </c>
      <c r="M394" s="161">
        <f t="shared" si="53"/>
        <v>0</v>
      </c>
      <c r="N394" s="161">
        <f t="shared" si="53"/>
        <v>0</v>
      </c>
      <c r="O394" s="161">
        <f t="shared" si="53"/>
        <v>0</v>
      </c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  <c r="AG394" s="164"/>
      <c r="AH394" s="164"/>
      <c r="AI394" s="164"/>
      <c r="AJ394" s="164"/>
      <c r="AK394" s="164"/>
      <c r="AL394" s="164"/>
      <c r="AM394" s="164"/>
      <c r="AN394" s="164"/>
      <c r="AO394" s="164"/>
      <c r="AP394" s="164"/>
      <c r="AQ394" s="164"/>
      <c r="AR394" s="164"/>
      <c r="AS394" s="164"/>
      <c r="AT394" s="164"/>
      <c r="AU394" s="164"/>
      <c r="AV394" s="164"/>
      <c r="AW394" s="164"/>
      <c r="AX394" s="164"/>
      <c r="AY394" s="164"/>
      <c r="AZ394" s="164"/>
      <c r="BA394" s="164"/>
      <c r="BB394" s="164"/>
      <c r="BC394" s="164"/>
      <c r="BD394" s="164"/>
      <c r="BE394" s="164"/>
      <c r="BF394" s="164"/>
      <c r="BG394" s="164"/>
      <c r="BH394" s="164"/>
      <c r="BI394" s="164"/>
      <c r="BJ394" s="164"/>
      <c r="BK394" s="164"/>
      <c r="BL394" s="164"/>
      <c r="BM394" s="123"/>
      <c r="BN394" s="123"/>
      <c r="BO394" s="123"/>
      <c r="BP394" s="123"/>
      <c r="BQ394" s="123"/>
      <c r="BR394" s="123"/>
      <c r="BS394" s="123"/>
      <c r="BT394" s="123"/>
      <c r="BU394" s="123"/>
      <c r="BV394" s="123"/>
      <c r="BW394" s="123"/>
      <c r="BX394" s="123"/>
    </row>
    <row r="395" spans="4:76">
      <c r="D395" s="142">
        <f>'CF 2018'!D255</f>
        <v>0</v>
      </c>
      <c r="E395" s="142">
        <v>85.62</v>
      </c>
      <c r="F395" s="142">
        <v>89.46</v>
      </c>
      <c r="G395" s="142">
        <v>88.4</v>
      </c>
      <c r="H395" s="142">
        <v>85.26</v>
      </c>
      <c r="I395" s="142">
        <v>74.290000000000006</v>
      </c>
      <c r="J395" s="142">
        <v>75.959999999999994</v>
      </c>
      <c r="K395" s="143">
        <v>80</v>
      </c>
      <c r="L395" s="143">
        <v>80</v>
      </c>
      <c r="M395" s="143">
        <v>80</v>
      </c>
      <c r="N395" s="143">
        <v>80</v>
      </c>
      <c r="O395" s="143">
        <v>80</v>
      </c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  <c r="AA395" s="163"/>
      <c r="AB395" s="163"/>
      <c r="AC395" s="163"/>
      <c r="AD395" s="163"/>
      <c r="AE395" s="163"/>
      <c r="AF395" s="163"/>
      <c r="AG395" s="163"/>
      <c r="AH395" s="163"/>
      <c r="AI395" s="163"/>
      <c r="AJ395" s="163"/>
      <c r="AK395" s="163"/>
      <c r="AL395" s="163"/>
      <c r="AM395" s="163"/>
      <c r="AN395" s="163"/>
      <c r="AO395" s="163"/>
      <c r="AP395" s="163"/>
      <c r="AQ395" s="163"/>
      <c r="AR395" s="163"/>
      <c r="AS395" s="163"/>
      <c r="AT395" s="163"/>
      <c r="AU395" s="163"/>
      <c r="AV395" s="163"/>
      <c r="AW395" s="163"/>
      <c r="AX395" s="163"/>
      <c r="AY395" s="163"/>
      <c r="AZ395" s="163"/>
      <c r="BA395" s="163"/>
      <c r="BB395" s="163"/>
      <c r="BC395" s="163"/>
      <c r="BD395" s="163"/>
      <c r="BE395" s="163"/>
      <c r="BF395" s="163"/>
      <c r="BG395" s="163"/>
      <c r="BH395" s="163"/>
      <c r="BI395" s="163"/>
      <c r="BJ395" s="163"/>
      <c r="BK395" s="163"/>
      <c r="BL395" s="163"/>
      <c r="BM395" s="81"/>
      <c r="BN395" s="81"/>
      <c r="BO395" s="81"/>
      <c r="BP395" s="81"/>
      <c r="BQ395" s="81"/>
      <c r="BR395" s="81"/>
      <c r="BS395" s="81"/>
      <c r="BT395" s="81"/>
      <c r="BU395" s="81"/>
      <c r="BV395" s="81"/>
      <c r="BW395" s="81"/>
      <c r="BX395" s="81"/>
    </row>
    <row r="396" spans="4:76">
      <c r="D396" s="142"/>
      <c r="E396" s="142"/>
      <c r="F396" s="142"/>
      <c r="G396" s="142"/>
      <c r="H396" s="142"/>
      <c r="I396" s="142"/>
      <c r="J396" s="142"/>
      <c r="K396" s="143"/>
      <c r="L396" s="143"/>
      <c r="M396" s="143"/>
      <c r="N396" s="143"/>
      <c r="O396" s="145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  <c r="AA396" s="163"/>
      <c r="AB396" s="163"/>
      <c r="AC396" s="163"/>
      <c r="AD396" s="163"/>
      <c r="AE396" s="163"/>
      <c r="AF396" s="163"/>
      <c r="AG396" s="163"/>
      <c r="AH396" s="163"/>
      <c r="AI396" s="163"/>
      <c r="AJ396" s="163"/>
      <c r="AK396" s="163"/>
      <c r="AL396" s="163"/>
      <c r="AM396" s="163"/>
      <c r="AN396" s="163"/>
      <c r="AO396" s="163"/>
      <c r="AP396" s="163"/>
      <c r="AQ396" s="163"/>
      <c r="AR396" s="163"/>
      <c r="AS396" s="163"/>
      <c r="AT396" s="163"/>
      <c r="AU396" s="163"/>
      <c r="AV396" s="163"/>
      <c r="AW396" s="163"/>
      <c r="AX396" s="163"/>
      <c r="AY396" s="163"/>
      <c r="AZ396" s="163"/>
      <c r="BA396" s="163"/>
      <c r="BB396" s="163"/>
      <c r="BC396" s="163"/>
      <c r="BD396" s="163"/>
      <c r="BE396" s="163"/>
      <c r="BF396" s="163"/>
      <c r="BG396" s="163"/>
      <c r="BH396" s="163"/>
      <c r="BI396" s="163"/>
      <c r="BJ396" s="163"/>
      <c r="BK396" s="163"/>
      <c r="BL396" s="163"/>
      <c r="BM396" s="81"/>
      <c r="BN396" s="81"/>
      <c r="BO396" s="81"/>
      <c r="BP396" s="81"/>
      <c r="BQ396" s="81"/>
      <c r="BR396" s="81"/>
      <c r="BS396" s="81"/>
      <c r="BT396" s="81"/>
      <c r="BU396" s="81"/>
      <c r="BV396" s="81"/>
      <c r="BW396" s="81"/>
      <c r="BX396" s="81"/>
    </row>
    <row r="397" spans="4:76">
      <c r="D397" s="143">
        <f>'CF 2018'!O354</f>
        <v>0</v>
      </c>
      <c r="E397" s="143">
        <f>D499</f>
        <v>0</v>
      </c>
      <c r="F397" s="143">
        <f t="shared" ref="F397:L397" si="54">E499</f>
        <v>0</v>
      </c>
      <c r="G397" s="143">
        <f t="shared" si="54"/>
        <v>0</v>
      </c>
      <c r="H397" s="143">
        <f t="shared" si="54"/>
        <v>0</v>
      </c>
      <c r="I397" s="143">
        <f t="shared" si="54"/>
        <v>0</v>
      </c>
      <c r="J397" s="143">
        <f t="shared" si="54"/>
        <v>0</v>
      </c>
      <c r="K397" s="143">
        <f t="shared" si="54"/>
        <v>0</v>
      </c>
      <c r="L397" s="143">
        <f t="shared" si="54"/>
        <v>0</v>
      </c>
      <c r="M397" s="143">
        <f>L499</f>
        <v>0</v>
      </c>
      <c r="N397" s="143">
        <f t="shared" ref="N397:O397" si="55">M499</f>
        <v>25</v>
      </c>
      <c r="O397" s="145">
        <f t="shared" si="55"/>
        <v>75000000</v>
      </c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  <c r="AA397" s="163"/>
      <c r="AB397" s="163"/>
      <c r="AC397" s="163"/>
      <c r="AD397" s="163"/>
      <c r="AE397" s="163"/>
      <c r="AF397" s="163"/>
      <c r="AG397" s="163"/>
      <c r="AH397" s="163"/>
      <c r="AI397" s="163"/>
      <c r="AJ397" s="163"/>
      <c r="AK397" s="163"/>
      <c r="AL397" s="163"/>
      <c r="AM397" s="163"/>
      <c r="AN397" s="163"/>
      <c r="AO397" s="163"/>
      <c r="AP397" s="163"/>
      <c r="AQ397" s="163"/>
      <c r="AR397" s="163"/>
      <c r="AS397" s="163"/>
      <c r="AT397" s="163"/>
      <c r="AU397" s="163"/>
      <c r="AV397" s="163"/>
      <c r="AW397" s="163"/>
      <c r="AX397" s="163"/>
      <c r="AY397" s="163"/>
      <c r="AZ397" s="163"/>
      <c r="BA397" s="163"/>
      <c r="BB397" s="163"/>
      <c r="BC397" s="163"/>
      <c r="BD397" s="163"/>
      <c r="BE397" s="163"/>
      <c r="BF397" s="163"/>
      <c r="BG397" s="163"/>
      <c r="BH397" s="163"/>
      <c r="BI397" s="163"/>
      <c r="BJ397" s="163"/>
      <c r="BK397" s="163"/>
      <c r="BL397" s="163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</row>
    <row r="398" spans="4:76"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5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  <c r="AC398" s="163"/>
      <c r="AD398" s="163"/>
      <c r="AE398" s="163"/>
      <c r="AF398" s="163"/>
      <c r="AG398" s="163"/>
      <c r="AH398" s="163"/>
      <c r="AI398" s="163"/>
      <c r="AJ398" s="163"/>
      <c r="AK398" s="163"/>
      <c r="AL398" s="163"/>
      <c r="AM398" s="163"/>
      <c r="AN398" s="163"/>
      <c r="AO398" s="163"/>
      <c r="AP398" s="163"/>
      <c r="AQ398" s="163"/>
      <c r="AR398" s="163"/>
      <c r="AS398" s="163"/>
      <c r="AT398" s="163"/>
      <c r="AU398" s="163"/>
      <c r="AV398" s="163"/>
      <c r="AW398" s="163"/>
      <c r="AX398" s="163"/>
      <c r="AY398" s="163"/>
      <c r="AZ398" s="163"/>
      <c r="BA398" s="163"/>
      <c r="BB398" s="163"/>
      <c r="BC398" s="163"/>
      <c r="BD398" s="163"/>
      <c r="BE398" s="163"/>
      <c r="BF398" s="163"/>
      <c r="BG398" s="163"/>
      <c r="BH398" s="163"/>
      <c r="BI398" s="163"/>
      <c r="BJ398" s="163"/>
      <c r="BK398" s="163"/>
      <c r="BL398" s="163"/>
      <c r="BM398" s="81"/>
      <c r="BN398" s="81"/>
      <c r="BO398" s="81"/>
      <c r="BP398" s="81"/>
      <c r="BQ398" s="81"/>
      <c r="BR398" s="81"/>
      <c r="BS398" s="81"/>
      <c r="BT398" s="81"/>
      <c r="BU398" s="81"/>
      <c r="BV398" s="81"/>
      <c r="BW398" s="81"/>
      <c r="BX398" s="81"/>
    </row>
    <row r="399" spans="4:76"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5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  <c r="AA399" s="163"/>
      <c r="AB399" s="163"/>
      <c r="AC399" s="163"/>
      <c r="AD399" s="163"/>
      <c r="AE399" s="163"/>
      <c r="AF399" s="163"/>
      <c r="AG399" s="163"/>
      <c r="AH399" s="163"/>
      <c r="AI399" s="163"/>
      <c r="AJ399" s="163"/>
      <c r="AK399" s="163"/>
      <c r="AL399" s="163"/>
      <c r="AM399" s="163"/>
      <c r="AN399" s="163"/>
      <c r="AO399" s="163"/>
      <c r="AP399" s="163"/>
      <c r="AQ399" s="163"/>
      <c r="AR399" s="163"/>
      <c r="AS399" s="163"/>
      <c r="AT399" s="163"/>
      <c r="AU399" s="163"/>
      <c r="AV399" s="163"/>
      <c r="AW399" s="163"/>
      <c r="AX399" s="163"/>
      <c r="AY399" s="163"/>
      <c r="AZ399" s="163"/>
      <c r="BA399" s="163"/>
      <c r="BB399" s="163"/>
      <c r="BC399" s="163"/>
      <c r="BD399" s="163"/>
      <c r="BE399" s="163"/>
      <c r="BF399" s="163"/>
      <c r="BG399" s="163"/>
      <c r="BH399" s="163"/>
      <c r="BI399" s="163"/>
      <c r="BJ399" s="163"/>
      <c r="BK399" s="163"/>
      <c r="BL399" s="163"/>
      <c r="BM399" s="81"/>
      <c r="BN399" s="81"/>
      <c r="BO399" s="81"/>
      <c r="BP399" s="81"/>
      <c r="BQ399" s="81"/>
      <c r="BR399" s="81"/>
      <c r="BS399" s="81"/>
      <c r="BT399" s="81"/>
      <c r="BU399" s="81"/>
      <c r="BV399" s="81"/>
      <c r="BW399" s="81"/>
      <c r="BX399" s="81"/>
    </row>
    <row r="400" spans="4:76">
      <c r="D400" s="143">
        <f>1428832148.25441*1.1</f>
        <v>1571715363.0798512</v>
      </c>
      <c r="E400" s="143">
        <f>D400+(D400*$E$8%)</f>
        <v>1571715363.0798512</v>
      </c>
      <c r="F400" s="143">
        <f>E400+(E400*$F$8%)</f>
        <v>1571715363.0798512</v>
      </c>
      <c r="G400" s="143">
        <f>F400+(F400*$G$8%)</f>
        <v>1571715363.0798512</v>
      </c>
      <c r="H400" s="143">
        <f>G400+(G400*$H$8%)</f>
        <v>1571715363.0798512</v>
      </c>
      <c r="I400" s="143">
        <f>H400+(H400*$I$8%)</f>
        <v>1603149670.3414481</v>
      </c>
      <c r="J400" s="143">
        <f>I400+(I400*$J$8%)</f>
        <v>1603149670.3414481</v>
      </c>
      <c r="K400" s="143">
        <f>J400+(J400*$K$8%)</f>
        <v>1603149670.3414481</v>
      </c>
      <c r="L400" s="143">
        <f t="shared" ref="L400:O403" si="56">K400+(K400*$J$8%)</f>
        <v>1603149670.3414481</v>
      </c>
      <c r="M400" s="143">
        <f t="shared" si="56"/>
        <v>1603149670.3414481</v>
      </c>
      <c r="N400" s="143">
        <f t="shared" si="56"/>
        <v>1603149670.3414481</v>
      </c>
      <c r="O400" s="143">
        <f t="shared" si="56"/>
        <v>1603149670.3414481</v>
      </c>
      <c r="P400" s="163"/>
      <c r="Q400" s="163"/>
      <c r="R400" s="163"/>
      <c r="S400" s="163"/>
      <c r="T400" s="163"/>
      <c r="U400" s="163"/>
      <c r="V400" s="163"/>
      <c r="W400" s="163"/>
      <c r="X400" s="163"/>
      <c r="Y400" s="163"/>
      <c r="Z400" s="163"/>
      <c r="AA400" s="163"/>
      <c r="AB400" s="163"/>
      <c r="AC400" s="163"/>
      <c r="AD400" s="163"/>
      <c r="AE400" s="163"/>
      <c r="AF400" s="163"/>
      <c r="AG400" s="163"/>
      <c r="AH400" s="163"/>
      <c r="AI400" s="163"/>
      <c r="AJ400" s="163"/>
      <c r="AK400" s="163"/>
      <c r="AL400" s="163"/>
      <c r="AM400" s="163"/>
      <c r="AN400" s="163"/>
      <c r="AO400" s="163"/>
      <c r="AP400" s="163"/>
      <c r="AQ400" s="163"/>
      <c r="AR400" s="163"/>
      <c r="AS400" s="163"/>
      <c r="AT400" s="163"/>
      <c r="AU400" s="163"/>
      <c r="AV400" s="163"/>
      <c r="AW400" s="163"/>
      <c r="AX400" s="163"/>
      <c r="AY400" s="163"/>
      <c r="AZ400" s="163"/>
      <c r="BA400" s="163"/>
      <c r="BB400" s="163"/>
      <c r="BC400" s="163"/>
      <c r="BD400" s="163"/>
      <c r="BE400" s="163"/>
      <c r="BF400" s="163"/>
      <c r="BG400" s="163"/>
      <c r="BH400" s="163"/>
      <c r="BI400" s="163"/>
      <c r="BJ400" s="163"/>
      <c r="BK400" s="163"/>
      <c r="BL400" s="163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</row>
    <row r="401" spans="4:76">
      <c r="D401" s="143">
        <f>376313347.846868*1.1</f>
        <v>413944682.63155478</v>
      </c>
      <c r="E401" s="143">
        <f t="shared" ref="E401:E403" si="57">D401+(D401*$E$8%)</f>
        <v>413944682.63155478</v>
      </c>
      <c r="F401" s="143">
        <f t="shared" ref="F401:F403" si="58">E401+(E401*$F$8%)</f>
        <v>413944682.63155478</v>
      </c>
      <c r="G401" s="143">
        <f t="shared" ref="G401:G403" si="59">F401+(F401*$G$8%)</f>
        <v>413944682.63155478</v>
      </c>
      <c r="H401" s="143">
        <f t="shared" ref="H401:H403" si="60">G401+(G401*$H$8%)</f>
        <v>413944682.63155478</v>
      </c>
      <c r="I401" s="143">
        <f t="shared" ref="I401:I403" si="61">H401+(H401*$I$8%)</f>
        <v>422223576.28418589</v>
      </c>
      <c r="J401" s="143">
        <f t="shared" ref="J401:J403" si="62">I401+(I401*$J$8%)</f>
        <v>422223576.28418589</v>
      </c>
      <c r="K401" s="143">
        <f t="shared" ref="K401:K403" si="63">J401+(J401*$K$8%)</f>
        <v>422223576.28418589</v>
      </c>
      <c r="L401" s="143">
        <f t="shared" si="56"/>
        <v>422223576.28418589</v>
      </c>
      <c r="M401" s="143">
        <f t="shared" si="56"/>
        <v>422223576.28418589</v>
      </c>
      <c r="N401" s="143">
        <f t="shared" si="56"/>
        <v>422223576.28418589</v>
      </c>
      <c r="O401" s="143">
        <f t="shared" si="56"/>
        <v>422223576.28418589</v>
      </c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  <c r="AA401" s="163"/>
      <c r="AB401" s="163"/>
      <c r="AC401" s="163"/>
      <c r="AD401" s="163"/>
      <c r="AE401" s="163"/>
      <c r="AF401" s="163"/>
      <c r="AG401" s="163"/>
      <c r="AH401" s="163"/>
      <c r="AI401" s="163"/>
      <c r="AJ401" s="163"/>
      <c r="AK401" s="163"/>
      <c r="AL401" s="163"/>
      <c r="AM401" s="163"/>
      <c r="AN401" s="163"/>
      <c r="AO401" s="163"/>
      <c r="AP401" s="163"/>
      <c r="AQ401" s="163"/>
      <c r="AR401" s="163"/>
      <c r="AS401" s="163"/>
      <c r="AT401" s="163"/>
      <c r="AU401" s="163"/>
      <c r="AV401" s="163"/>
      <c r="AW401" s="163"/>
      <c r="AX401" s="163"/>
      <c r="AY401" s="163"/>
      <c r="AZ401" s="163"/>
      <c r="BA401" s="163"/>
      <c r="BB401" s="163"/>
      <c r="BC401" s="163"/>
      <c r="BD401" s="163"/>
      <c r="BE401" s="163"/>
      <c r="BF401" s="163"/>
      <c r="BG401" s="163"/>
      <c r="BH401" s="163"/>
      <c r="BI401" s="163"/>
      <c r="BJ401" s="163"/>
      <c r="BK401" s="163"/>
      <c r="BL401" s="163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</row>
    <row r="402" spans="4:76">
      <c r="D402" s="143">
        <f>2383451340.75156*1.1</f>
        <v>2621796474.8267164</v>
      </c>
      <c r="E402" s="143">
        <f t="shared" si="57"/>
        <v>2621796474.8267164</v>
      </c>
      <c r="F402" s="143">
        <f t="shared" si="58"/>
        <v>2621796474.8267164</v>
      </c>
      <c r="G402" s="143">
        <f t="shared" si="59"/>
        <v>2621796474.8267164</v>
      </c>
      <c r="H402" s="143">
        <f t="shared" si="60"/>
        <v>2621796474.8267164</v>
      </c>
      <c r="I402" s="143">
        <f t="shared" si="61"/>
        <v>2674232404.3232508</v>
      </c>
      <c r="J402" s="143">
        <f t="shared" si="62"/>
        <v>2674232404.3232508</v>
      </c>
      <c r="K402" s="143">
        <f t="shared" si="63"/>
        <v>2674232404.3232508</v>
      </c>
      <c r="L402" s="143">
        <f t="shared" si="56"/>
        <v>2674232404.3232508</v>
      </c>
      <c r="M402" s="143">
        <f t="shared" si="56"/>
        <v>2674232404.3232508</v>
      </c>
      <c r="N402" s="143">
        <f t="shared" si="56"/>
        <v>2674232404.3232508</v>
      </c>
      <c r="O402" s="143">
        <f t="shared" si="56"/>
        <v>2674232404.3232508</v>
      </c>
      <c r="P402" s="163"/>
      <c r="Q402" s="163"/>
      <c r="R402" s="163"/>
      <c r="S402" s="163"/>
      <c r="T402" s="163"/>
      <c r="U402" s="163"/>
      <c r="V402" s="163"/>
      <c r="W402" s="163"/>
      <c r="X402" s="163"/>
      <c r="Y402" s="163"/>
      <c r="Z402" s="163"/>
      <c r="AA402" s="163"/>
      <c r="AB402" s="163"/>
      <c r="AC402" s="163"/>
      <c r="AD402" s="163"/>
      <c r="AE402" s="163"/>
      <c r="AF402" s="163"/>
      <c r="AG402" s="163"/>
      <c r="AH402" s="163"/>
      <c r="AI402" s="163"/>
      <c r="AJ402" s="163"/>
      <c r="AK402" s="163"/>
      <c r="AL402" s="163"/>
      <c r="AM402" s="163"/>
      <c r="AN402" s="163"/>
      <c r="AO402" s="163"/>
      <c r="AP402" s="163"/>
      <c r="AQ402" s="163"/>
      <c r="AR402" s="163"/>
      <c r="AS402" s="163"/>
      <c r="AT402" s="163"/>
      <c r="AU402" s="163"/>
      <c r="AV402" s="163"/>
      <c r="AW402" s="163"/>
      <c r="AX402" s="163"/>
      <c r="AY402" s="163"/>
      <c r="AZ402" s="163"/>
      <c r="BA402" s="163"/>
      <c r="BB402" s="163"/>
      <c r="BC402" s="163"/>
      <c r="BD402" s="163"/>
      <c r="BE402" s="163"/>
      <c r="BF402" s="163"/>
      <c r="BG402" s="163"/>
      <c r="BH402" s="163"/>
      <c r="BI402" s="163"/>
      <c r="BJ402" s="163"/>
      <c r="BK402" s="163"/>
      <c r="BL402" s="163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</row>
    <row r="403" spans="4:76">
      <c r="D403" s="143">
        <f>344397203.13637*1.1</f>
        <v>378836923.45000702</v>
      </c>
      <c r="E403" s="143">
        <f t="shared" si="57"/>
        <v>378836923.45000702</v>
      </c>
      <c r="F403" s="143">
        <f t="shared" si="58"/>
        <v>378836923.45000702</v>
      </c>
      <c r="G403" s="143">
        <f t="shared" si="59"/>
        <v>378836923.45000702</v>
      </c>
      <c r="H403" s="143">
        <f t="shared" si="60"/>
        <v>378836923.45000702</v>
      </c>
      <c r="I403" s="143">
        <f t="shared" si="61"/>
        <v>386413661.91900718</v>
      </c>
      <c r="J403" s="143">
        <f t="shared" si="62"/>
        <v>386413661.91900718</v>
      </c>
      <c r="K403" s="143">
        <f t="shared" si="63"/>
        <v>386413661.91900718</v>
      </c>
      <c r="L403" s="143">
        <f t="shared" si="56"/>
        <v>386413661.91900718</v>
      </c>
      <c r="M403" s="143">
        <f t="shared" si="56"/>
        <v>386413661.91900718</v>
      </c>
      <c r="N403" s="143">
        <f t="shared" si="56"/>
        <v>386413661.91900718</v>
      </c>
      <c r="O403" s="143">
        <f t="shared" si="56"/>
        <v>386413661.91900718</v>
      </c>
      <c r="P403" s="163"/>
      <c r="Q403" s="163"/>
      <c r="R403" s="163"/>
      <c r="S403" s="163"/>
      <c r="T403" s="163"/>
      <c r="U403" s="163"/>
      <c r="V403" s="163"/>
      <c r="W403" s="163"/>
      <c r="X403" s="163"/>
      <c r="Y403" s="163"/>
      <c r="Z403" s="163"/>
      <c r="AA403" s="163"/>
      <c r="AB403" s="163"/>
      <c r="AC403" s="163"/>
      <c r="AD403" s="163"/>
      <c r="AE403" s="163"/>
      <c r="AF403" s="163"/>
      <c r="AG403" s="163"/>
      <c r="AH403" s="163"/>
      <c r="AI403" s="163"/>
      <c r="AJ403" s="163"/>
      <c r="AK403" s="163"/>
      <c r="AL403" s="163"/>
      <c r="AM403" s="163"/>
      <c r="AN403" s="163"/>
      <c r="AO403" s="163"/>
      <c r="AP403" s="163"/>
      <c r="AQ403" s="163"/>
      <c r="AR403" s="163"/>
      <c r="AS403" s="163"/>
      <c r="AT403" s="163"/>
      <c r="AU403" s="163"/>
      <c r="AV403" s="163"/>
      <c r="AW403" s="163"/>
      <c r="AX403" s="163"/>
      <c r="AY403" s="163"/>
      <c r="AZ403" s="163"/>
      <c r="BA403" s="163"/>
      <c r="BB403" s="163"/>
      <c r="BC403" s="163"/>
      <c r="BD403" s="163"/>
      <c r="BE403" s="163"/>
      <c r="BF403" s="163"/>
      <c r="BG403" s="163"/>
      <c r="BH403" s="163"/>
      <c r="BI403" s="163"/>
      <c r="BJ403" s="163"/>
      <c r="BK403" s="163"/>
      <c r="BL403" s="163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</row>
    <row r="404" spans="4:76">
      <c r="D404" s="136">
        <f>SUM(D400:D403)</f>
        <v>4986293443.9881296</v>
      </c>
      <c r="E404" s="136">
        <f t="shared" ref="E404:O404" si="64">SUM(E400:E403)</f>
        <v>4986293443.9881296</v>
      </c>
      <c r="F404" s="136">
        <f t="shared" si="64"/>
        <v>4986293443.9881296</v>
      </c>
      <c r="G404" s="136">
        <f t="shared" si="64"/>
        <v>4986293443.9881296</v>
      </c>
      <c r="H404" s="136">
        <f t="shared" si="64"/>
        <v>4986293443.9881296</v>
      </c>
      <c r="I404" s="136">
        <f t="shared" si="64"/>
        <v>5086019312.8678923</v>
      </c>
      <c r="J404" s="136">
        <f t="shared" si="64"/>
        <v>5086019312.8678923</v>
      </c>
      <c r="K404" s="136">
        <f t="shared" si="64"/>
        <v>5086019312.8678923</v>
      </c>
      <c r="L404" s="136">
        <f t="shared" si="64"/>
        <v>5086019312.8678923</v>
      </c>
      <c r="M404" s="136">
        <f t="shared" si="64"/>
        <v>5086019312.8678923</v>
      </c>
      <c r="N404" s="136">
        <f t="shared" si="64"/>
        <v>5086019312.8678923</v>
      </c>
      <c r="O404" s="136">
        <f t="shared" si="64"/>
        <v>5086019312.8678923</v>
      </c>
    </row>
    <row r="406" spans="4:76">
      <c r="D406" s="136">
        <f>D404*25%</f>
        <v>1246573360.9970324</v>
      </c>
      <c r="E406" s="136">
        <f t="shared" ref="E406:O406" si="65">E404*25%</f>
        <v>1246573360.9970324</v>
      </c>
      <c r="F406" s="136">
        <f t="shared" si="65"/>
        <v>1246573360.9970324</v>
      </c>
      <c r="G406" s="136">
        <f t="shared" si="65"/>
        <v>1246573360.9970324</v>
      </c>
      <c r="H406" s="136">
        <f t="shared" si="65"/>
        <v>1246573360.9970324</v>
      </c>
      <c r="I406" s="136">
        <f t="shared" si="65"/>
        <v>1271504828.2169731</v>
      </c>
      <c r="J406" s="136">
        <f t="shared" si="65"/>
        <v>1271504828.2169731</v>
      </c>
      <c r="K406" s="136">
        <f t="shared" si="65"/>
        <v>1271504828.2169731</v>
      </c>
      <c r="L406" s="136">
        <f t="shared" si="65"/>
        <v>1271504828.2169731</v>
      </c>
      <c r="M406" s="136">
        <f t="shared" si="65"/>
        <v>1271504828.2169731</v>
      </c>
      <c r="N406" s="136">
        <f t="shared" si="65"/>
        <v>1271504828.2169731</v>
      </c>
      <c r="O406" s="136">
        <f t="shared" si="65"/>
        <v>1271504828.2169731</v>
      </c>
    </row>
    <row r="407" spans="4:76">
      <c r="D407" s="136">
        <f>D406*25%</f>
        <v>311643340.2492581</v>
      </c>
      <c r="E407" s="136">
        <f t="shared" ref="E407:O407" si="66">E406*25%</f>
        <v>311643340.2492581</v>
      </c>
      <c r="F407" s="136">
        <f t="shared" si="66"/>
        <v>311643340.2492581</v>
      </c>
      <c r="G407" s="136">
        <f t="shared" si="66"/>
        <v>311643340.2492581</v>
      </c>
      <c r="H407" s="136">
        <f t="shared" si="66"/>
        <v>311643340.2492581</v>
      </c>
      <c r="I407" s="136">
        <f t="shared" si="66"/>
        <v>317876207.05424327</v>
      </c>
      <c r="J407" s="136">
        <f t="shared" si="66"/>
        <v>317876207.05424327</v>
      </c>
      <c r="K407" s="136">
        <f t="shared" si="66"/>
        <v>317876207.05424327</v>
      </c>
      <c r="L407" s="136">
        <f t="shared" si="66"/>
        <v>317876207.05424327</v>
      </c>
      <c r="M407" s="136">
        <f t="shared" si="66"/>
        <v>317876207.05424327</v>
      </c>
      <c r="N407" s="136">
        <f t="shared" si="66"/>
        <v>317876207.05424327</v>
      </c>
      <c r="O407" s="136">
        <f t="shared" si="66"/>
        <v>317876207.05424327</v>
      </c>
    </row>
    <row r="433" spans="3:92">
      <c r="I433" s="136">
        <f>+'[7]CASH  FLOW (3)'!$P$181</f>
        <v>571720010.48000002</v>
      </c>
      <c r="CN433" s="77">
        <f>SUM(J116:J116)</f>
        <v>120000000</v>
      </c>
    </row>
    <row r="434" spans="3:92">
      <c r="I434" s="136">
        <f>+I120-I433</f>
        <v>1561760054.4623752</v>
      </c>
    </row>
    <row r="437" spans="3:92">
      <c r="I437" s="136" t="s">
        <v>128</v>
      </c>
    </row>
    <row r="438" spans="3:92">
      <c r="C438" s="135" t="s">
        <v>135</v>
      </c>
      <c r="J438" s="136">
        <v>95488400</v>
      </c>
    </row>
    <row r="439" spans="3:92">
      <c r="C439" s="135" t="s">
        <v>136</v>
      </c>
      <c r="J439" s="136">
        <f>[3]JULI!$H$112</f>
        <v>136328714</v>
      </c>
    </row>
    <row r="440" spans="3:92">
      <c r="C440" s="135" t="s">
        <v>137</v>
      </c>
      <c r="J440" s="136">
        <f>[8]JULI!$G$312</f>
        <v>156009</v>
      </c>
    </row>
    <row r="466" spans="3:15">
      <c r="C466" s="135" t="s">
        <v>138</v>
      </c>
      <c r="J466" s="136">
        <v>22746010</v>
      </c>
    </row>
    <row r="467" spans="3:15">
      <c r="C467" s="135" t="s">
        <v>139</v>
      </c>
      <c r="J467" s="136">
        <v>53472958.619999997</v>
      </c>
    </row>
    <row r="468" spans="3:15">
      <c r="C468" s="135" t="s">
        <v>140</v>
      </c>
      <c r="J468" s="136">
        <v>101000000</v>
      </c>
    </row>
    <row r="469" spans="3:15">
      <c r="C469" s="135" t="s">
        <v>141</v>
      </c>
      <c r="J469" s="136">
        <v>204641444</v>
      </c>
    </row>
    <row r="470" spans="3:15">
      <c r="C470" s="135" t="s">
        <v>146</v>
      </c>
      <c r="J470" s="136">
        <v>11091584</v>
      </c>
    </row>
    <row r="471" spans="3:15">
      <c r="J471" s="136">
        <f>SUM(J438:J470)</f>
        <v>624925119.62</v>
      </c>
    </row>
    <row r="473" spans="3:15">
      <c r="J473" s="136">
        <f>J120-J471</f>
        <v>1642984823.4782534</v>
      </c>
    </row>
    <row r="475" spans="3:15">
      <c r="M475" s="136">
        <v>1</v>
      </c>
      <c r="N475" s="136">
        <v>75000000</v>
      </c>
      <c r="O475" s="136" t="s">
        <v>147</v>
      </c>
    </row>
    <row r="476" spans="3:15">
      <c r="M476" s="136">
        <v>2</v>
      </c>
      <c r="N476" s="136">
        <v>75000000</v>
      </c>
      <c r="O476" s="136" t="s">
        <v>148</v>
      </c>
    </row>
    <row r="477" spans="3:15">
      <c r="M477" s="136">
        <v>3</v>
      </c>
      <c r="N477" s="136">
        <v>75000000</v>
      </c>
      <c r="O477" s="136" t="s">
        <v>149</v>
      </c>
    </row>
    <row r="478" spans="3:15">
      <c r="M478" s="136">
        <v>4</v>
      </c>
      <c r="N478" s="136">
        <v>75000000</v>
      </c>
      <c r="O478" s="136" t="s">
        <v>150</v>
      </c>
    </row>
    <row r="479" spans="3:15">
      <c r="M479" s="136">
        <v>5</v>
      </c>
      <c r="N479" s="136">
        <v>75000000</v>
      </c>
      <c r="O479" s="136" t="s">
        <v>151</v>
      </c>
    </row>
    <row r="480" spans="3:15">
      <c r="M480" s="136">
        <v>6</v>
      </c>
      <c r="N480" s="136">
        <v>75000000</v>
      </c>
      <c r="O480" s="136" t="s">
        <v>152</v>
      </c>
    </row>
    <row r="481" spans="3:15">
      <c r="C481" s="135">
        <v>160000000</v>
      </c>
      <c r="M481" s="136">
        <v>7</v>
      </c>
      <c r="N481" s="136">
        <v>75000000</v>
      </c>
      <c r="O481" s="136" t="s">
        <v>153</v>
      </c>
    </row>
    <row r="482" spans="3:15">
      <c r="C482" s="135">
        <v>230000000</v>
      </c>
      <c r="M482" s="136">
        <v>8</v>
      </c>
      <c r="N482" s="136">
        <v>75000000</v>
      </c>
      <c r="O482" s="136" t="s">
        <v>154</v>
      </c>
    </row>
    <row r="483" spans="3:15">
      <c r="C483" s="135">
        <f>+C482-C481</f>
        <v>70000000</v>
      </c>
      <c r="M483" s="136">
        <v>9</v>
      </c>
      <c r="N483" s="136">
        <v>75000000</v>
      </c>
      <c r="O483" s="136" t="s">
        <v>155</v>
      </c>
    </row>
    <row r="484" spans="3:15">
      <c r="M484" s="136">
        <v>10</v>
      </c>
      <c r="N484" s="136">
        <v>75000000</v>
      </c>
      <c r="O484" s="136" t="s">
        <v>156</v>
      </c>
    </row>
    <row r="485" spans="3:15">
      <c r="M485" s="136">
        <v>11</v>
      </c>
      <c r="N485" s="136">
        <v>75000000</v>
      </c>
      <c r="O485" s="136" t="s">
        <v>157</v>
      </c>
    </row>
    <row r="486" spans="3:15">
      <c r="C486" s="169">
        <v>160000000</v>
      </c>
      <c r="M486" s="136">
        <v>12</v>
      </c>
      <c r="N486" s="136">
        <v>75000000</v>
      </c>
      <c r="O486" s="136" t="s">
        <v>158</v>
      </c>
    </row>
    <row r="487" spans="3:15">
      <c r="C487" s="169">
        <v>80000000</v>
      </c>
      <c r="M487" s="136">
        <v>13</v>
      </c>
      <c r="N487" s="136">
        <v>75000000</v>
      </c>
      <c r="O487" s="136" t="s">
        <v>147</v>
      </c>
    </row>
    <row r="488" spans="3:15">
      <c r="C488" s="169">
        <v>40000000</v>
      </c>
      <c r="M488" s="136">
        <v>14</v>
      </c>
      <c r="N488" s="136">
        <v>75000000</v>
      </c>
      <c r="O488" s="136" t="s">
        <v>148</v>
      </c>
    </row>
    <row r="489" spans="3:15">
      <c r="C489" s="169">
        <f>SUM(C486:C488)</f>
        <v>280000000</v>
      </c>
      <c r="M489" s="136">
        <v>15</v>
      </c>
      <c r="N489" s="136">
        <v>75000000</v>
      </c>
      <c r="O489" s="136" t="s">
        <v>149</v>
      </c>
    </row>
    <row r="490" spans="3:15">
      <c r="M490" s="136">
        <v>16</v>
      </c>
      <c r="N490" s="136">
        <v>75000000</v>
      </c>
      <c r="O490" s="136" t="s">
        <v>150</v>
      </c>
    </row>
    <row r="491" spans="3:15">
      <c r="C491" s="169">
        <v>220000</v>
      </c>
      <c r="M491" s="136">
        <v>17</v>
      </c>
      <c r="N491" s="136">
        <v>75000000</v>
      </c>
      <c r="O491" s="136" t="s">
        <v>151</v>
      </c>
    </row>
    <row r="492" spans="3:15">
      <c r="M492" s="136">
        <v>18</v>
      </c>
      <c r="N492" s="136">
        <v>75000000</v>
      </c>
      <c r="O492" s="136" t="s">
        <v>152</v>
      </c>
    </row>
    <row r="493" spans="3:15">
      <c r="M493" s="136">
        <v>19</v>
      </c>
      <c r="N493" s="136">
        <v>75000000</v>
      </c>
      <c r="O493" s="136" t="s">
        <v>153</v>
      </c>
    </row>
    <row r="494" spans="3:15">
      <c r="M494" s="136">
        <v>20</v>
      </c>
      <c r="N494" s="136">
        <v>75000000</v>
      </c>
      <c r="O494" s="136" t="s">
        <v>154</v>
      </c>
    </row>
    <row r="495" spans="3:15">
      <c r="M495" s="136">
        <v>21</v>
      </c>
      <c r="N495" s="136">
        <v>75000000</v>
      </c>
      <c r="O495" s="136" t="s">
        <v>155</v>
      </c>
    </row>
    <row r="496" spans="3:15">
      <c r="M496" s="136">
        <v>22</v>
      </c>
      <c r="N496" s="136">
        <v>75000000</v>
      </c>
      <c r="O496" s="136" t="s">
        <v>156</v>
      </c>
    </row>
    <row r="497" spans="13:15">
      <c r="M497" s="136">
        <v>23</v>
      </c>
      <c r="N497" s="136">
        <v>75000000</v>
      </c>
      <c r="O497" s="136" t="s">
        <v>157</v>
      </c>
    </row>
    <row r="498" spans="13:15">
      <c r="M498" s="136">
        <v>24</v>
      </c>
      <c r="N498" s="136">
        <v>75000000</v>
      </c>
      <c r="O498" s="136" t="s">
        <v>147</v>
      </c>
    </row>
    <row r="499" spans="13:15">
      <c r="M499" s="136">
        <v>25</v>
      </c>
      <c r="N499" s="136">
        <v>75000000</v>
      </c>
      <c r="O499" s="136" t="s">
        <v>148</v>
      </c>
    </row>
    <row r="500" spans="13:15">
      <c r="M500" s="136">
        <v>26</v>
      </c>
      <c r="N500" s="136">
        <v>75000000</v>
      </c>
      <c r="O500" s="136" t="s">
        <v>149</v>
      </c>
    </row>
    <row r="501" spans="13:15">
      <c r="M501" s="136">
        <v>27</v>
      </c>
      <c r="N501" s="136">
        <v>75000000</v>
      </c>
      <c r="O501" s="136" t="s">
        <v>150</v>
      </c>
    </row>
    <row r="502" spans="13:15">
      <c r="M502" s="136">
        <v>28</v>
      </c>
      <c r="N502" s="136">
        <v>75000000</v>
      </c>
      <c r="O502" s="136" t="s">
        <v>151</v>
      </c>
    </row>
    <row r="503" spans="13:15">
      <c r="M503" s="136">
        <v>29</v>
      </c>
      <c r="N503" s="136">
        <v>75000000</v>
      </c>
      <c r="O503" s="136" t="s">
        <v>152</v>
      </c>
    </row>
    <row r="504" spans="13:15">
      <c r="M504" s="136">
        <v>30</v>
      </c>
      <c r="N504" s="136">
        <v>75000000</v>
      </c>
      <c r="O504" s="136" t="s">
        <v>153</v>
      </c>
    </row>
    <row r="505" spans="13:15">
      <c r="M505" s="136">
        <v>31</v>
      </c>
      <c r="N505" s="136">
        <v>75000000</v>
      </c>
      <c r="O505" s="136" t="s">
        <v>154</v>
      </c>
    </row>
    <row r="506" spans="13:15">
      <c r="M506" s="136">
        <v>32</v>
      </c>
      <c r="N506" s="136">
        <f>SUM(N475:N505)</f>
        <v>2325000000</v>
      </c>
    </row>
    <row r="507" spans="13:15">
      <c r="M507" s="136">
        <v>33</v>
      </c>
    </row>
    <row r="508" spans="13:15">
      <c r="M508" s="136">
        <v>34</v>
      </c>
    </row>
    <row r="509" spans="13:15">
      <c r="M509" s="136">
        <v>35</v>
      </c>
    </row>
    <row r="510" spans="13:15">
      <c r="M510" s="136">
        <v>36</v>
      </c>
    </row>
    <row r="511" spans="13:15">
      <c r="M511" s="136">
        <v>37</v>
      </c>
    </row>
  </sheetData>
  <mergeCells count="29">
    <mergeCell ref="D392:O392"/>
    <mergeCell ref="B18:C18"/>
    <mergeCell ref="B19:C19"/>
    <mergeCell ref="B20:C20"/>
    <mergeCell ref="B21:C21"/>
    <mergeCell ref="B22:C22"/>
    <mergeCell ref="B24:C24"/>
    <mergeCell ref="B26:D26"/>
    <mergeCell ref="B101:C101"/>
    <mergeCell ref="A118:C118"/>
    <mergeCell ref="A120:C120"/>
    <mergeCell ref="D391:O391"/>
    <mergeCell ref="C172:E172"/>
    <mergeCell ref="B17:C17"/>
    <mergeCell ref="A5:C7"/>
    <mergeCell ref="P5:P7"/>
    <mergeCell ref="B8:C8"/>
    <mergeCell ref="A9:C9"/>
    <mergeCell ref="B11:C11"/>
    <mergeCell ref="B13:C13"/>
    <mergeCell ref="B14:C14"/>
    <mergeCell ref="B15:C15"/>
    <mergeCell ref="B16:C16"/>
    <mergeCell ref="I5:M5"/>
    <mergeCell ref="I6:M6"/>
    <mergeCell ref="N5:O5"/>
    <mergeCell ref="N6:O6"/>
    <mergeCell ref="D5:G5"/>
    <mergeCell ref="D6:G6"/>
  </mergeCells>
  <pageMargins left="0.35" right="0" top="0.75" bottom="0" header="0.3" footer="0.3"/>
  <pageSetup paperSize="5" scale="85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C6:AO26"/>
  <sheetViews>
    <sheetView topLeftCell="C1" workbookViewId="0">
      <selection activeCell="D20" sqref="D20"/>
    </sheetView>
  </sheetViews>
  <sheetFormatPr defaultRowHeight="15"/>
  <cols>
    <col min="3" max="3" width="13.28515625" bestFit="1" customWidth="1"/>
    <col min="8" max="8" width="15.28515625" style="73" bestFit="1" customWidth="1"/>
    <col min="10" max="10" width="15.28515625" bestFit="1" customWidth="1"/>
    <col min="12" max="12" width="14.28515625" bestFit="1" customWidth="1"/>
    <col min="15" max="15" width="15.28515625" bestFit="1" customWidth="1"/>
    <col min="17" max="17" width="14.28515625" bestFit="1" customWidth="1"/>
    <col min="20" max="20" width="15.28515625" bestFit="1" customWidth="1"/>
    <col min="22" max="22" width="14.28515625" bestFit="1" customWidth="1"/>
    <col min="40" max="40" width="16.85546875" bestFit="1" customWidth="1"/>
  </cols>
  <sheetData>
    <row r="6" spans="8:41">
      <c r="H6" s="73">
        <v>40000000</v>
      </c>
      <c r="J6" s="73">
        <v>100000000</v>
      </c>
      <c r="O6" s="73">
        <v>195000000</v>
      </c>
      <c r="T6" s="73">
        <v>300000000</v>
      </c>
      <c r="AN6" s="194">
        <f>H11*30%</f>
        <v>30000000</v>
      </c>
    </row>
    <row r="7" spans="8:41">
      <c r="J7" s="73"/>
      <c r="O7" s="73"/>
      <c r="T7" s="73"/>
    </row>
    <row r="8" spans="8:41">
      <c r="H8" s="73">
        <v>43</v>
      </c>
      <c r="J8" s="73">
        <v>43</v>
      </c>
      <c r="O8" s="73">
        <v>43</v>
      </c>
      <c r="T8" s="73">
        <v>43</v>
      </c>
    </row>
    <row r="9" spans="8:41">
      <c r="J9" s="73"/>
      <c r="O9" s="73"/>
      <c r="T9" s="73"/>
    </row>
    <row r="10" spans="8:41">
      <c r="J10" s="73"/>
      <c r="O10" s="73"/>
      <c r="T10" s="73"/>
    </row>
    <row r="11" spans="8:41">
      <c r="H11" s="73">
        <f>H6/40%</f>
        <v>100000000</v>
      </c>
      <c r="J11" s="73">
        <f>J6/40%</f>
        <v>250000000</v>
      </c>
      <c r="O11" s="73">
        <f>O6/40%</f>
        <v>487500000</v>
      </c>
      <c r="T11" s="73">
        <f>T6/40%</f>
        <v>750000000</v>
      </c>
      <c r="AN11" s="194">
        <f>H11/10%</f>
        <v>1000000000</v>
      </c>
    </row>
    <row r="12" spans="8:41">
      <c r="J12" s="73"/>
      <c r="O12" s="73"/>
      <c r="T12" s="73"/>
    </row>
    <row r="13" spans="8:41">
      <c r="J13" s="73"/>
      <c r="O13" s="73"/>
      <c r="T13" s="73"/>
      <c r="AN13" s="194">
        <f>AN11*30%</f>
        <v>300000000</v>
      </c>
      <c r="AO13" t="s">
        <v>373</v>
      </c>
    </row>
    <row r="14" spans="8:41">
      <c r="J14" s="73"/>
      <c r="O14" s="73"/>
      <c r="T14" s="73"/>
    </row>
    <row r="15" spans="8:41">
      <c r="J15" s="73"/>
      <c r="O15" s="73"/>
      <c r="T15" s="73"/>
    </row>
    <row r="16" spans="8:41">
      <c r="J16" s="73"/>
      <c r="O16" s="73"/>
      <c r="T16" s="73"/>
    </row>
    <row r="17" spans="3:38">
      <c r="H17" s="73">
        <f>H6*10%</f>
        <v>4000000</v>
      </c>
      <c r="J17" s="73">
        <f>J6*10%</f>
        <v>10000000</v>
      </c>
      <c r="O17" s="73">
        <f>O6*10%</f>
        <v>19500000</v>
      </c>
      <c r="T17" s="73">
        <f>T6*10%</f>
        <v>30000000</v>
      </c>
    </row>
    <row r="18" spans="3:38">
      <c r="H18" s="73">
        <f>H6*35%</f>
        <v>14000000</v>
      </c>
      <c r="J18" s="73">
        <f>J6*35%</f>
        <v>35000000</v>
      </c>
      <c r="O18" s="73">
        <f>O6*35%</f>
        <v>68250000</v>
      </c>
      <c r="T18" s="73">
        <f>T6*35%</f>
        <v>105000000</v>
      </c>
    </row>
    <row r="19" spans="3:38">
      <c r="J19" s="73"/>
      <c r="O19" s="73"/>
      <c r="T19" s="73"/>
    </row>
    <row r="20" spans="3:38">
      <c r="J20" s="73"/>
      <c r="O20" s="73"/>
      <c r="T20" s="73"/>
    </row>
    <row r="21" spans="3:38">
      <c r="J21" s="73"/>
      <c r="O21" s="73"/>
      <c r="T21" s="73"/>
    </row>
    <row r="22" spans="3:38">
      <c r="F22" t="s">
        <v>374</v>
      </c>
      <c r="H22" s="73">
        <f>H11*15%</f>
        <v>15000000</v>
      </c>
      <c r="J22" s="73">
        <f>J11*15%</f>
        <v>37500000</v>
      </c>
      <c r="L22" s="215">
        <f>J22-H22</f>
        <v>22500000</v>
      </c>
      <c r="M22" s="195">
        <f>L22/H22</f>
        <v>1.5</v>
      </c>
      <c r="N22" s="195"/>
      <c r="O22" s="73">
        <f>O11*15%</f>
        <v>73125000</v>
      </c>
      <c r="P22" s="195"/>
      <c r="Q22" s="215">
        <f>O22-J22</f>
        <v>35625000</v>
      </c>
      <c r="R22" s="195">
        <f>J22/Q22</f>
        <v>1.0526315789473684</v>
      </c>
      <c r="S22" s="195"/>
      <c r="T22" s="73">
        <f>T11*15%</f>
        <v>112500000</v>
      </c>
      <c r="U22" s="195"/>
      <c r="V22" s="215">
        <f>T22-Q22</f>
        <v>76875000</v>
      </c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</row>
    <row r="23" spans="3:38">
      <c r="C23" s="194">
        <f>H22*30%</f>
        <v>4500000</v>
      </c>
      <c r="J23" s="73"/>
      <c r="O23" s="73"/>
      <c r="T23" s="73"/>
    </row>
    <row r="24" spans="3:38">
      <c r="F24" t="s">
        <v>375</v>
      </c>
      <c r="H24" s="73">
        <f>H22*70%</f>
        <v>10500000</v>
      </c>
      <c r="J24" s="73">
        <f>J22*70%</f>
        <v>26250000</v>
      </c>
      <c r="O24" s="73">
        <f>O22*70%</f>
        <v>51187500</v>
      </c>
      <c r="T24" s="73">
        <f>T22*70%</f>
        <v>78750000</v>
      </c>
    </row>
    <row r="25" spans="3:38">
      <c r="J25" s="73"/>
      <c r="O25" s="73"/>
      <c r="T25" s="73"/>
    </row>
    <row r="26" spans="3:38">
      <c r="F26" t="s">
        <v>373</v>
      </c>
      <c r="H26" s="73">
        <f>H6*30%</f>
        <v>12000000</v>
      </c>
      <c r="J26" s="73">
        <f>J6*30%</f>
        <v>30000000</v>
      </c>
      <c r="O26" s="73">
        <f>O6*30%</f>
        <v>58500000</v>
      </c>
      <c r="T26" s="73">
        <f>T6*30%</f>
        <v>90000000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81"/>
  <sheetViews>
    <sheetView topLeftCell="A56" workbookViewId="0">
      <selection activeCell="C24" sqref="C24"/>
    </sheetView>
  </sheetViews>
  <sheetFormatPr defaultRowHeight="15"/>
  <cols>
    <col min="1" max="1" width="11.28515625" customWidth="1"/>
    <col min="2" max="2" width="66.42578125" bestFit="1" customWidth="1"/>
    <col min="3" max="3" width="16.85546875" bestFit="1" customWidth="1"/>
    <col min="5" max="5" width="16.85546875" bestFit="1" customWidth="1"/>
  </cols>
  <sheetData>
    <row r="1" spans="1:7">
      <c r="A1" t="s">
        <v>282</v>
      </c>
      <c r="B1" s="202" t="s">
        <v>318</v>
      </c>
    </row>
    <row r="2" spans="1:7">
      <c r="B2" t="s">
        <v>305</v>
      </c>
      <c r="C2" s="194">
        <v>80000000</v>
      </c>
    </row>
    <row r="3" spans="1:7">
      <c r="B3" t="s">
        <v>306</v>
      </c>
      <c r="C3" s="73">
        <f>+C2/5</f>
        <v>16000000</v>
      </c>
    </row>
    <row r="5" spans="1:7">
      <c r="B5" t="s">
        <v>307</v>
      </c>
      <c r="C5" s="197">
        <v>0.35</v>
      </c>
    </row>
    <row r="7" spans="1:7">
      <c r="C7" s="194">
        <f>+C5*C3</f>
        <v>5600000</v>
      </c>
    </row>
    <row r="8" spans="1:7">
      <c r="B8" t="s">
        <v>308</v>
      </c>
      <c r="C8" s="194">
        <f>+C7+C3</f>
        <v>21600000</v>
      </c>
      <c r="F8">
        <v>8</v>
      </c>
    </row>
    <row r="9" spans="1:7">
      <c r="F9">
        <v>37</v>
      </c>
    </row>
    <row r="10" spans="1:7">
      <c r="B10" t="s">
        <v>309</v>
      </c>
      <c r="C10" s="73">
        <f>+C8*20%</f>
        <v>4320000</v>
      </c>
      <c r="F10">
        <v>5</v>
      </c>
      <c r="G10" t="s">
        <v>357</v>
      </c>
    </row>
    <row r="11" spans="1:7">
      <c r="B11" t="s">
        <v>310</v>
      </c>
      <c r="C11" s="194">
        <f>+C10+C8</f>
        <v>25920000</v>
      </c>
      <c r="F11">
        <v>10</v>
      </c>
      <c r="G11" t="s">
        <v>358</v>
      </c>
    </row>
    <row r="12" spans="1:7">
      <c r="B12" t="s">
        <v>311</v>
      </c>
      <c r="C12" s="73">
        <f>+C11*40</f>
        <v>1036800000</v>
      </c>
      <c r="F12">
        <v>60</v>
      </c>
    </row>
    <row r="14" spans="1:7">
      <c r="B14" t="s">
        <v>321</v>
      </c>
      <c r="C14" s="183">
        <f>+C12*20%</f>
        <v>207360000</v>
      </c>
      <c r="F14">
        <v>15.5</v>
      </c>
      <c r="G14" t="s">
        <v>366</v>
      </c>
    </row>
    <row r="15" spans="1:7">
      <c r="F15">
        <v>8</v>
      </c>
    </row>
    <row r="16" spans="1:7">
      <c r="B16" t="s">
        <v>312</v>
      </c>
      <c r="C16" s="194"/>
    </row>
    <row r="17" spans="2:6">
      <c r="F17">
        <v>23.5</v>
      </c>
    </row>
    <row r="18" spans="2:6">
      <c r="B18" t="s">
        <v>313</v>
      </c>
    </row>
    <row r="19" spans="2:6">
      <c r="B19" t="s">
        <v>314</v>
      </c>
      <c r="C19" s="194">
        <f>+'CAT 2019'!E23</f>
        <v>394499999.99999994</v>
      </c>
    </row>
    <row r="20" spans="2:6">
      <c r="B20" t="s">
        <v>315</v>
      </c>
      <c r="C20" s="183">
        <f>+C19*2</f>
        <v>788999999.99999988</v>
      </c>
    </row>
    <row r="23" spans="2:6">
      <c r="B23" t="s">
        <v>316</v>
      </c>
    </row>
    <row r="24" spans="2:6">
      <c r="B24" t="s">
        <v>314</v>
      </c>
      <c r="C24" s="194">
        <f>300000000*1.1</f>
        <v>330000000</v>
      </c>
    </row>
    <row r="25" spans="2:6">
      <c r="B25" t="s">
        <v>315</v>
      </c>
      <c r="C25" s="183">
        <f>+C24*2</f>
        <v>660000000</v>
      </c>
    </row>
    <row r="28" spans="2:6">
      <c r="B28" t="s">
        <v>317</v>
      </c>
      <c r="C28" s="201">
        <f>+C25+C20+C14</f>
        <v>1656360000</v>
      </c>
    </row>
    <row r="33" spans="1:5">
      <c r="B33" t="s">
        <v>13</v>
      </c>
      <c r="C33" s="73">
        <v>1608818706.4955027</v>
      </c>
      <c r="D33" s="195">
        <f>+C33/$C$38</f>
        <v>0.27773315158846223</v>
      </c>
      <c r="E33" s="194">
        <f t="shared" ref="E33:E36" si="0">+D33*$E$38</f>
        <v>2068844789.460568</v>
      </c>
    </row>
    <row r="34" spans="1:5">
      <c r="B34" t="s">
        <v>14</v>
      </c>
      <c r="C34" s="73">
        <v>440098369.8864646</v>
      </c>
      <c r="D34" s="195">
        <f t="shared" ref="D34:D37" si="1">+C34/$C$38</f>
        <v>7.5974941604058405E-2</v>
      </c>
      <c r="E34" s="194">
        <f t="shared" si="0"/>
        <v>565940224.16176283</v>
      </c>
    </row>
    <row r="35" spans="1:5">
      <c r="C35" s="73">
        <v>0</v>
      </c>
      <c r="D35" s="195">
        <f t="shared" si="1"/>
        <v>0</v>
      </c>
      <c r="E35" s="194">
        <f t="shared" si="0"/>
        <v>0</v>
      </c>
    </row>
    <row r="36" spans="1:5">
      <c r="B36" t="s">
        <v>244</v>
      </c>
      <c r="C36" s="73">
        <v>3253591104.131269</v>
      </c>
      <c r="D36" s="195">
        <f t="shared" si="1"/>
        <v>0.56167305096727993</v>
      </c>
      <c r="E36" s="194">
        <f t="shared" si="0"/>
        <v>4183923878.8314323</v>
      </c>
    </row>
    <row r="37" spans="1:5">
      <c r="B37" t="s">
        <v>245</v>
      </c>
      <c r="C37" s="73">
        <v>490169781.38671231</v>
      </c>
      <c r="D37" s="195">
        <f t="shared" si="1"/>
        <v>8.4618855840199486E-2</v>
      </c>
      <c r="E37" s="194">
        <f>+D37*$E$38</f>
        <v>630329069.44618511</v>
      </c>
    </row>
    <row r="38" spans="1:5">
      <c r="C38" s="201">
        <f>SUM(C33:C37)</f>
        <v>5792677961.8999481</v>
      </c>
      <c r="D38" s="182"/>
      <c r="E38" s="201">
        <f>+C38+C28</f>
        <v>7449037961.8999481</v>
      </c>
    </row>
    <row r="43" spans="1:5">
      <c r="A43" t="s">
        <v>282</v>
      </c>
      <c r="B43" s="202" t="s">
        <v>319</v>
      </c>
    </row>
    <row r="44" spans="1:5">
      <c r="B44" t="s">
        <v>305</v>
      </c>
      <c r="C44" s="194">
        <v>80000000</v>
      </c>
    </row>
    <row r="45" spans="1:5">
      <c r="B45" t="s">
        <v>306</v>
      </c>
      <c r="C45" s="73">
        <f>+C44/5</f>
        <v>16000000</v>
      </c>
    </row>
    <row r="47" spans="1:5">
      <c r="B47" t="s">
        <v>307</v>
      </c>
      <c r="C47" s="197">
        <v>0.35</v>
      </c>
    </row>
    <row r="49" spans="2:3">
      <c r="C49" s="194">
        <f>+C47*C45</f>
        <v>5600000</v>
      </c>
    </row>
    <row r="50" spans="2:3">
      <c r="B50" t="s">
        <v>308</v>
      </c>
      <c r="C50" s="194">
        <f>+C49+C45</f>
        <v>21600000</v>
      </c>
    </row>
    <row r="52" spans="2:3">
      <c r="B52" t="s">
        <v>309</v>
      </c>
      <c r="C52" s="73">
        <f>+C50*20%</f>
        <v>4320000</v>
      </c>
    </row>
    <row r="53" spans="2:3">
      <c r="B53" t="s">
        <v>310</v>
      </c>
      <c r="C53" s="194">
        <f>+C52+C50</f>
        <v>25920000</v>
      </c>
    </row>
    <row r="54" spans="2:3">
      <c r="B54" t="s">
        <v>311</v>
      </c>
      <c r="C54" s="73">
        <f>+C53*40</f>
        <v>1036800000</v>
      </c>
    </row>
    <row r="56" spans="2:3">
      <c r="B56" t="s">
        <v>322</v>
      </c>
      <c r="C56" s="183">
        <f>+C54*50%</f>
        <v>518400000</v>
      </c>
    </row>
    <row r="58" spans="2:3">
      <c r="B58" t="s">
        <v>312</v>
      </c>
      <c r="C58" s="194"/>
    </row>
    <row r="60" spans="2:3">
      <c r="B60" t="s">
        <v>313</v>
      </c>
    </row>
    <row r="61" spans="2:3">
      <c r="B61" t="s">
        <v>314</v>
      </c>
      <c r="C61" s="194">
        <f>+C19</f>
        <v>394499999.99999994</v>
      </c>
    </row>
    <row r="62" spans="2:3">
      <c r="B62" t="s">
        <v>315</v>
      </c>
      <c r="C62" s="183">
        <f>+C61*2</f>
        <v>788999999.99999988</v>
      </c>
    </row>
    <row r="65" spans="2:5">
      <c r="B65" t="s">
        <v>316</v>
      </c>
    </row>
    <row r="66" spans="2:5">
      <c r="B66" t="s">
        <v>314</v>
      </c>
      <c r="C66" s="194">
        <f>300000000*1.1</f>
        <v>330000000</v>
      </c>
    </row>
    <row r="67" spans="2:5">
      <c r="B67" t="s">
        <v>315</v>
      </c>
      <c r="C67" s="183">
        <f>+C66*2</f>
        <v>660000000</v>
      </c>
    </row>
    <row r="70" spans="2:5">
      <c r="B70" t="s">
        <v>327</v>
      </c>
      <c r="C70" s="201">
        <f>+C67+C62+C56</f>
        <v>1967400000</v>
      </c>
    </row>
    <row r="75" spans="2:5">
      <c r="B75" t="s">
        <v>13</v>
      </c>
      <c r="C75" s="73">
        <v>1608818706.4955027</v>
      </c>
      <c r="D75" s="195">
        <f>+C75/$C$38</f>
        <v>0.27773315158846223</v>
      </c>
      <c r="E75" s="194">
        <f>+D75*$E$80</f>
        <v>2155230908.9306436</v>
      </c>
    </row>
    <row r="76" spans="2:5">
      <c r="B76" t="s">
        <v>14</v>
      </c>
      <c r="C76" s="73">
        <v>440098369.8864646</v>
      </c>
      <c r="D76" s="195">
        <f t="shared" ref="D76:D79" si="2">+C76/$C$38</f>
        <v>7.5974941604058405E-2</v>
      </c>
      <c r="E76" s="194">
        <f t="shared" ref="E76:E79" si="3">+D76*$E$80</f>
        <v>589571469.99828911</v>
      </c>
    </row>
    <row r="77" spans="2:5">
      <c r="C77" s="73">
        <v>0</v>
      </c>
      <c r="D77" s="195">
        <f t="shared" si="2"/>
        <v>0</v>
      </c>
      <c r="E77" s="194">
        <f t="shared" si="3"/>
        <v>0</v>
      </c>
    </row>
    <row r="78" spans="2:5">
      <c r="B78" t="s">
        <v>244</v>
      </c>
      <c r="C78" s="73">
        <v>3253591104.131269</v>
      </c>
      <c r="D78" s="195">
        <f t="shared" si="2"/>
        <v>0.56167305096727993</v>
      </c>
      <c r="E78" s="194">
        <f t="shared" si="3"/>
        <v>4358626664.6042957</v>
      </c>
    </row>
    <row r="79" spans="2:5">
      <c r="B79" t="s">
        <v>245</v>
      </c>
      <c r="C79" s="73">
        <v>490169781.38671231</v>
      </c>
      <c r="D79" s="195">
        <f t="shared" si="2"/>
        <v>8.4618855840199486E-2</v>
      </c>
      <c r="E79" s="194">
        <f t="shared" si="3"/>
        <v>656648918.3667208</v>
      </c>
    </row>
    <row r="80" spans="2:5">
      <c r="C80" s="201">
        <f>SUM(C75:C79)</f>
        <v>5792677961.8999481</v>
      </c>
      <c r="D80" s="182"/>
      <c r="E80" s="201">
        <f>+C80+C70</f>
        <v>7760077961.8999481</v>
      </c>
    </row>
    <row r="84" spans="1:3">
      <c r="A84" t="s">
        <v>282</v>
      </c>
      <c r="B84" s="202" t="s">
        <v>320</v>
      </c>
    </row>
    <row r="85" spans="1:3">
      <c r="B85" t="s">
        <v>305</v>
      </c>
      <c r="C85" s="194">
        <v>80000000</v>
      </c>
    </row>
    <row r="86" spans="1:3">
      <c r="B86" t="s">
        <v>306</v>
      </c>
      <c r="C86" s="73">
        <f>+C85/5</f>
        <v>16000000</v>
      </c>
    </row>
    <row r="88" spans="1:3">
      <c r="B88" t="s">
        <v>307</v>
      </c>
      <c r="C88" s="197">
        <v>0.35</v>
      </c>
    </row>
    <row r="90" spans="1:3">
      <c r="C90" s="194">
        <f>+C88*C86</f>
        <v>5600000</v>
      </c>
    </row>
    <row r="91" spans="1:3">
      <c r="B91" t="s">
        <v>308</v>
      </c>
      <c r="C91" s="194">
        <f>+C90+C86</f>
        <v>21600000</v>
      </c>
    </row>
    <row r="93" spans="1:3">
      <c r="B93" t="s">
        <v>309</v>
      </c>
      <c r="C93" s="73">
        <f>+C91*20%</f>
        <v>4320000</v>
      </c>
    </row>
    <row r="94" spans="1:3">
      <c r="B94" t="s">
        <v>310</v>
      </c>
      <c r="C94" s="194">
        <f>+C93+C91</f>
        <v>25920000</v>
      </c>
    </row>
    <row r="95" spans="1:3">
      <c r="B95" t="s">
        <v>311</v>
      </c>
      <c r="C95" s="73">
        <f>+C94*40</f>
        <v>1036800000</v>
      </c>
    </row>
    <row r="97" spans="2:3">
      <c r="B97" t="s">
        <v>323</v>
      </c>
      <c r="C97" s="183">
        <f>+C95*70%</f>
        <v>725760000</v>
      </c>
    </row>
    <row r="99" spans="2:3">
      <c r="B99" t="s">
        <v>312</v>
      </c>
      <c r="C99" s="194"/>
    </row>
    <row r="101" spans="2:3">
      <c r="B101" t="s">
        <v>313</v>
      </c>
    </row>
    <row r="102" spans="2:3">
      <c r="B102" t="s">
        <v>314</v>
      </c>
      <c r="C102" s="194">
        <f>+C61</f>
        <v>394499999.99999994</v>
      </c>
    </row>
    <row r="103" spans="2:3">
      <c r="B103" t="s">
        <v>315</v>
      </c>
      <c r="C103" s="183">
        <f>+C102*2</f>
        <v>788999999.99999988</v>
      </c>
    </row>
    <row r="106" spans="2:3">
      <c r="B106" t="s">
        <v>316</v>
      </c>
    </row>
    <row r="107" spans="2:3">
      <c r="B107" t="s">
        <v>314</v>
      </c>
      <c r="C107" s="194">
        <f>300000000*1.1</f>
        <v>330000000</v>
      </c>
    </row>
    <row r="108" spans="2:3">
      <c r="B108" t="s">
        <v>315</v>
      </c>
      <c r="C108" s="183">
        <f>+C107*2</f>
        <v>660000000</v>
      </c>
    </row>
    <row r="111" spans="2:3">
      <c r="B111" t="s">
        <v>328</v>
      </c>
      <c r="C111" s="201">
        <f>+C108+C103+C97</f>
        <v>2174760000</v>
      </c>
    </row>
    <row r="116" spans="1:5">
      <c r="B116" t="s">
        <v>13</v>
      </c>
      <c r="C116" s="73">
        <v>1608818706.4955027</v>
      </c>
      <c r="D116" s="195">
        <f>+C116/$C$38</f>
        <v>0.27773315158846223</v>
      </c>
      <c r="E116" s="194">
        <f>+D116*$E$121</f>
        <v>2212821655.2440267</v>
      </c>
    </row>
    <row r="117" spans="1:5">
      <c r="B117" t="s">
        <v>14</v>
      </c>
      <c r="C117" s="73">
        <v>440098369.8864646</v>
      </c>
      <c r="D117" s="195">
        <f t="shared" ref="D117:D120" si="4">+C117/$C$38</f>
        <v>7.5974941604058405E-2</v>
      </c>
      <c r="E117" s="194">
        <f t="shared" ref="E117:E120" si="5">+D117*$E$121</f>
        <v>605325633.88930666</v>
      </c>
    </row>
    <row r="118" spans="1:5">
      <c r="C118" s="73">
        <v>0</v>
      </c>
      <c r="D118" s="195">
        <f t="shared" si="4"/>
        <v>0</v>
      </c>
      <c r="E118" s="194">
        <f t="shared" si="5"/>
        <v>0</v>
      </c>
    </row>
    <row r="119" spans="1:5">
      <c r="B119" t="s">
        <v>244</v>
      </c>
      <c r="C119" s="73">
        <v>3253591104.131269</v>
      </c>
      <c r="D119" s="195">
        <f t="shared" si="4"/>
        <v>0.56167305096727993</v>
      </c>
      <c r="E119" s="194">
        <f t="shared" si="5"/>
        <v>4475095188.4528704</v>
      </c>
    </row>
    <row r="120" spans="1:5">
      <c r="B120" t="s">
        <v>245</v>
      </c>
      <c r="C120" s="73">
        <v>490169781.38671231</v>
      </c>
      <c r="D120" s="195">
        <f t="shared" si="4"/>
        <v>8.4618855840199486E-2</v>
      </c>
      <c r="E120" s="194">
        <f t="shared" si="5"/>
        <v>674195484.31374454</v>
      </c>
    </row>
    <row r="121" spans="1:5">
      <c r="C121" s="201">
        <f>SUM(C116:C120)</f>
        <v>5792677961.8999481</v>
      </c>
      <c r="D121" s="182"/>
      <c r="E121" s="201">
        <f>+C121+C111</f>
        <v>7967437961.8999481</v>
      </c>
    </row>
    <row r="126" spans="1:5">
      <c r="A126" t="s">
        <v>282</v>
      </c>
      <c r="B126" s="202" t="s">
        <v>324</v>
      </c>
    </row>
    <row r="127" spans="1:5">
      <c r="B127" t="s">
        <v>305</v>
      </c>
      <c r="C127" s="194">
        <v>80000000</v>
      </c>
    </row>
    <row r="128" spans="1:5">
      <c r="B128" t="s">
        <v>306</v>
      </c>
      <c r="C128" s="73">
        <f>+C127/5</f>
        <v>16000000</v>
      </c>
    </row>
    <row r="130" spans="2:3">
      <c r="B130" t="s">
        <v>307</v>
      </c>
      <c r="C130" s="197">
        <v>0.35</v>
      </c>
    </row>
    <row r="132" spans="2:3">
      <c r="C132" s="194">
        <f>+C130*C128</f>
        <v>5600000</v>
      </c>
    </row>
    <row r="133" spans="2:3">
      <c r="B133" t="s">
        <v>308</v>
      </c>
      <c r="C133" s="194">
        <f>+C132+C128</f>
        <v>21600000</v>
      </c>
    </row>
    <row r="135" spans="2:3">
      <c r="B135" t="s">
        <v>309</v>
      </c>
      <c r="C135" s="73">
        <f>+C133*20%</f>
        <v>4320000</v>
      </c>
    </row>
    <row r="136" spans="2:3">
      <c r="B136" t="s">
        <v>310</v>
      </c>
      <c r="C136" s="194">
        <f>+C135+C133</f>
        <v>25920000</v>
      </c>
    </row>
    <row r="137" spans="2:3">
      <c r="B137" t="s">
        <v>311</v>
      </c>
      <c r="C137" s="73">
        <f>+C136*40</f>
        <v>1036800000</v>
      </c>
    </row>
    <row r="139" spans="2:3">
      <c r="B139" t="s">
        <v>325</v>
      </c>
      <c r="C139" s="183">
        <f>+C137</f>
        <v>1036800000</v>
      </c>
    </row>
    <row r="141" spans="2:3">
      <c r="B141" t="s">
        <v>312</v>
      </c>
      <c r="C141" s="194"/>
    </row>
    <row r="143" spans="2:3">
      <c r="B143" t="s">
        <v>313</v>
      </c>
    </row>
    <row r="144" spans="2:3">
      <c r="B144" t="s">
        <v>314</v>
      </c>
      <c r="C144" s="194">
        <f>+C103</f>
        <v>788999999.99999988</v>
      </c>
    </row>
    <row r="145" spans="2:5">
      <c r="B145" t="s">
        <v>315</v>
      </c>
      <c r="C145" s="183">
        <f>+C144*2</f>
        <v>1577999999.9999998</v>
      </c>
    </row>
    <row r="148" spans="2:5">
      <c r="B148" t="s">
        <v>316</v>
      </c>
    </row>
    <row r="149" spans="2:5">
      <c r="B149" t="s">
        <v>314</v>
      </c>
      <c r="C149" s="194">
        <f>300000000*1.1</f>
        <v>330000000</v>
      </c>
    </row>
    <row r="150" spans="2:5">
      <c r="B150" t="s">
        <v>315</v>
      </c>
      <c r="C150" s="183">
        <f>+C149*2</f>
        <v>660000000</v>
      </c>
    </row>
    <row r="153" spans="2:5">
      <c r="B153" t="s">
        <v>326</v>
      </c>
      <c r="C153" s="201">
        <f>+C150+C145+C139</f>
        <v>3274800000</v>
      </c>
    </row>
    <row r="158" spans="2:5">
      <c r="B158" t="s">
        <v>13</v>
      </c>
      <c r="C158" s="73">
        <v>1608818706.4955027</v>
      </c>
      <c r="D158" s="195">
        <f>+C158/$C$38</f>
        <v>0.27773315158846223</v>
      </c>
      <c r="E158" s="194">
        <f>+D158*$E$163</f>
        <v>2518339231.317399</v>
      </c>
    </row>
    <row r="159" spans="2:5">
      <c r="B159" t="s">
        <v>14</v>
      </c>
      <c r="C159" s="73">
        <v>440098369.8864646</v>
      </c>
      <c r="D159" s="195">
        <f t="shared" ref="D159:D162" si="6">+C159/$C$38</f>
        <v>7.5974941604058405E-2</v>
      </c>
      <c r="E159" s="194">
        <f t="shared" ref="E159:E162" si="7">+D159*$E$163</f>
        <v>688901108.65143514</v>
      </c>
    </row>
    <row r="160" spans="2:5">
      <c r="C160" s="73">
        <v>0</v>
      </c>
      <c r="D160" s="195">
        <f t="shared" si="6"/>
        <v>0</v>
      </c>
      <c r="E160" s="194">
        <f t="shared" si="7"/>
        <v>0</v>
      </c>
    </row>
    <row r="161" spans="1:5">
      <c r="B161" t="s">
        <v>244</v>
      </c>
      <c r="C161" s="73">
        <v>3253591104.131269</v>
      </c>
      <c r="D161" s="195">
        <f t="shared" si="6"/>
        <v>0.56167305096727993</v>
      </c>
      <c r="E161" s="194">
        <f t="shared" si="7"/>
        <v>5092958011.4389172</v>
      </c>
    </row>
    <row r="162" spans="1:5">
      <c r="B162" t="s">
        <v>245</v>
      </c>
      <c r="C162" s="73">
        <v>490169781.38671231</v>
      </c>
      <c r="D162" s="195">
        <f t="shared" si="6"/>
        <v>8.4618855840199486E-2</v>
      </c>
      <c r="E162" s="194">
        <f t="shared" si="7"/>
        <v>767279610.49219751</v>
      </c>
    </row>
    <row r="163" spans="1:5">
      <c r="C163" s="201">
        <f>SUM(C158:C162)</f>
        <v>5792677961.8999481</v>
      </c>
      <c r="D163" s="182"/>
      <c r="E163" s="201">
        <f>+C163+C153</f>
        <v>9067477961.8999481</v>
      </c>
    </row>
    <row r="169" spans="1:5">
      <c r="A169" t="s">
        <v>282</v>
      </c>
      <c r="B169" t="s">
        <v>329</v>
      </c>
      <c r="C169" s="73">
        <v>730000000</v>
      </c>
    </row>
    <row r="170" spans="1:5">
      <c r="B170" t="s">
        <v>330</v>
      </c>
      <c r="C170" s="73">
        <f>+C169/105</f>
        <v>6952380.9523809524</v>
      </c>
    </row>
    <row r="173" spans="1:5">
      <c r="B173" t="s">
        <v>331</v>
      </c>
      <c r="C173" s="73">
        <f>+C170*40</f>
        <v>278095238.09523809</v>
      </c>
    </row>
    <row r="174" spans="1:5">
      <c r="B174" t="s">
        <v>332</v>
      </c>
      <c r="C174" s="194">
        <f>+C173*20%</f>
        <v>55619047.619047619</v>
      </c>
      <c r="E174" s="194"/>
    </row>
    <row r="176" spans="1:5">
      <c r="B176" t="s">
        <v>333</v>
      </c>
      <c r="C176" s="194">
        <f>+C174+C169</f>
        <v>785619047.61904764</v>
      </c>
    </row>
    <row r="181" spans="1:1">
      <c r="A181" s="219" t="s">
        <v>410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Y120"/>
  <sheetViews>
    <sheetView topLeftCell="D4" workbookViewId="0">
      <pane xSplit="1" ySplit="17" topLeftCell="E90" activePane="bottomRight" state="frozen"/>
      <selection activeCell="D4" sqref="D4"/>
      <selection pane="topRight" activeCell="E4" sqref="E4"/>
      <selection pane="bottomLeft" activeCell="D21" sqref="D21"/>
      <selection pane="bottomRight" activeCell="F17" sqref="F17"/>
    </sheetView>
  </sheetViews>
  <sheetFormatPr defaultRowHeight="15"/>
  <cols>
    <col min="2" max="2" width="3.5703125" customWidth="1"/>
    <col min="4" max="4" width="47.140625" customWidth="1"/>
    <col min="5" max="5" width="15" customWidth="1"/>
    <col min="6" max="6" width="9.140625" style="195"/>
    <col min="8" max="8" width="16.85546875" bestFit="1" customWidth="1"/>
    <col min="9" max="9" width="16.85546875" style="73" bestFit="1" customWidth="1"/>
    <col min="10" max="15" width="16.85546875" style="73" customWidth="1"/>
    <col min="16" max="16" width="28" style="73" bestFit="1" customWidth="1"/>
    <col min="17" max="22" width="16.85546875" style="73" customWidth="1"/>
    <col min="23" max="23" width="16.85546875" bestFit="1" customWidth="1"/>
    <col min="25" max="25" width="9.140625" style="195"/>
  </cols>
  <sheetData>
    <row r="2" spans="2:16">
      <c r="C2" t="s">
        <v>215</v>
      </c>
      <c r="M2" s="73">
        <f>-300000000-200000000-300000000</f>
        <v>-800000000</v>
      </c>
    </row>
    <row r="3" spans="2:16">
      <c r="B3" t="s">
        <v>134</v>
      </c>
    </row>
    <row r="4" spans="2:16">
      <c r="B4" t="s">
        <v>10</v>
      </c>
      <c r="C4" t="s">
        <v>11</v>
      </c>
      <c r="H4" s="73">
        <v>335205365.58065414</v>
      </c>
    </row>
    <row r="5" spans="2:16">
      <c r="H5" s="73"/>
    </row>
    <row r="6" spans="2:16">
      <c r="B6" t="s">
        <v>12</v>
      </c>
      <c r="C6" t="s">
        <v>159</v>
      </c>
      <c r="H6" s="73"/>
    </row>
    <row r="7" spans="2:16">
      <c r="C7" t="s">
        <v>13</v>
      </c>
      <c r="E7" s="74">
        <v>1571919194.8786337</v>
      </c>
      <c r="H7" s="73">
        <v>2068844789.460568</v>
      </c>
      <c r="K7" s="73">
        <v>2155230908.9306436</v>
      </c>
      <c r="N7" s="73">
        <v>2212821655.2440267</v>
      </c>
      <c r="P7" s="73">
        <v>2518339231.317399</v>
      </c>
    </row>
    <row r="8" spans="2:16">
      <c r="C8" t="s">
        <v>14</v>
      </c>
      <c r="E8" s="74">
        <v>430004370.57714212</v>
      </c>
      <c r="H8" s="73">
        <v>565940224.16176283</v>
      </c>
      <c r="K8" s="73">
        <v>589571469.99828911</v>
      </c>
      <c r="N8" s="73">
        <v>605325633.88930666</v>
      </c>
      <c r="P8" s="73">
        <v>688901108.65143514</v>
      </c>
    </row>
    <row r="9" spans="2:16">
      <c r="C9" t="s">
        <v>252</v>
      </c>
      <c r="E9" s="74">
        <v>500000000</v>
      </c>
      <c r="H9" s="73">
        <v>500000000</v>
      </c>
      <c r="K9" s="73">
        <v>500000000</v>
      </c>
      <c r="N9" s="73">
        <v>500000000</v>
      </c>
      <c r="P9" s="73">
        <v>500000000</v>
      </c>
    </row>
    <row r="10" spans="2:16">
      <c r="C10" t="s">
        <v>244</v>
      </c>
      <c r="E10" s="74">
        <v>3178967454.9539471</v>
      </c>
      <c r="H10" s="73">
        <v>3178967454.9539471</v>
      </c>
      <c r="K10" s="73">
        <v>4267602356.408061</v>
      </c>
      <c r="N10" s="73">
        <v>4402212931.2503386</v>
      </c>
      <c r="P10" s="73">
        <v>4564597092.2219276</v>
      </c>
    </row>
    <row r="11" spans="2:16">
      <c r="C11" t="s">
        <v>245</v>
      </c>
      <c r="E11" s="74">
        <v>478927355.20811814</v>
      </c>
      <c r="H11" s="73">
        <v>478927355.20811814</v>
      </c>
      <c r="K11" s="73">
        <v>655794363.85181093</v>
      </c>
      <c r="N11" s="73">
        <v>669847561.6258918</v>
      </c>
      <c r="P11" s="73">
        <v>701432981.88001978</v>
      </c>
    </row>
    <row r="12" spans="2:16">
      <c r="C12" t="s">
        <v>299</v>
      </c>
      <c r="E12" s="74"/>
      <c r="H12" s="73"/>
    </row>
    <row r="13" spans="2:16">
      <c r="C13" t="s">
        <v>219</v>
      </c>
      <c r="E13" s="74">
        <v>255986044.52501065</v>
      </c>
      <c r="H13" s="73">
        <v>311643340.2492581</v>
      </c>
      <c r="K13" s="73">
        <v>331770696.09464002</v>
      </c>
      <c r="N13" s="73">
        <v>290878542.62842655</v>
      </c>
      <c r="P13" s="73">
        <v>312822279.43535596</v>
      </c>
    </row>
    <row r="14" spans="2:16">
      <c r="C14" t="s">
        <v>220</v>
      </c>
      <c r="E14" s="74"/>
      <c r="H14" s="73">
        <v>0</v>
      </c>
      <c r="K14" s="73">
        <v>0</v>
      </c>
    </row>
    <row r="15" spans="2:16">
      <c r="C15" t="s">
        <v>216</v>
      </c>
      <c r="E15" s="74">
        <v>6415804420.1428528</v>
      </c>
      <c r="H15" s="73">
        <f>7104323164.03365-300000000</f>
        <v>6804323164.0336504</v>
      </c>
      <c r="I15" s="73">
        <f>+H15-E15</f>
        <v>388518743.89079762</v>
      </c>
      <c r="K15" s="73">
        <f>8499969795.28344-300000000</f>
        <v>8199969795.2834396</v>
      </c>
      <c r="N15" s="73">
        <f>SUM(N7:N14)-200000000</f>
        <v>8481086324.637989</v>
      </c>
      <c r="P15" s="73">
        <f>SUM(P7:P14)-200000000</f>
        <v>9086092693.5061378</v>
      </c>
    </row>
    <row r="16" spans="2:16">
      <c r="E16" s="74"/>
    </row>
    <row r="17" spans="2:25">
      <c r="B17" t="s">
        <v>19</v>
      </c>
      <c r="C17" t="s">
        <v>217</v>
      </c>
      <c r="E17" s="74">
        <v>7644571820.6913099</v>
      </c>
      <c r="I17" s="73">
        <f>+H15-E15</f>
        <v>388518743.89079762</v>
      </c>
    </row>
    <row r="18" spans="2:25">
      <c r="E18" s="74"/>
      <c r="I18" s="195">
        <f>+I17/E15</f>
        <v>6.0556513018229903E-2</v>
      </c>
    </row>
    <row r="19" spans="2:25">
      <c r="C19" t="s">
        <v>20</v>
      </c>
      <c r="E19" s="74"/>
    </row>
    <row r="20" spans="2:25">
      <c r="C20" t="s">
        <v>21</v>
      </c>
      <c r="E20" s="74"/>
    </row>
    <row r="21" spans="2:25">
      <c r="E21" s="74"/>
    </row>
    <row r="22" spans="2:25">
      <c r="C22">
        <v>6400</v>
      </c>
      <c r="D22" t="s">
        <v>22</v>
      </c>
      <c r="E22" s="74">
        <v>728043750</v>
      </c>
      <c r="F22" s="195">
        <f>+E22/$E$15</f>
        <v>0.11347661217886526</v>
      </c>
      <c r="H22" s="194">
        <f>+$H$15*F22</f>
        <v>772131540.82471597</v>
      </c>
      <c r="I22" s="73">
        <f>+H22/E22</f>
        <v>1.06055651301823</v>
      </c>
      <c r="K22" s="73">
        <f>+$K$15*F22</f>
        <v>930504792.33778799</v>
      </c>
      <c r="N22" s="73">
        <f>+$N$15*F22</f>
        <v>962404943.7164228</v>
      </c>
      <c r="P22" s="74">
        <f>+$P$15*F22</f>
        <v>1031059016.8022172</v>
      </c>
      <c r="W22" s="73">
        <v>1312662553.6303124</v>
      </c>
    </row>
    <row r="23" spans="2:25">
      <c r="C23">
        <v>6401</v>
      </c>
      <c r="D23" t="s">
        <v>23</v>
      </c>
      <c r="E23" s="74">
        <v>7664383.869245125</v>
      </c>
      <c r="F23" s="195">
        <f t="shared" ref="F23:F86" si="0">+E23/$E$15</f>
        <v>1.194609961173734E-3</v>
      </c>
      <c r="H23" s="194">
        <f>+$H$15*F23</f>
        <v>8128512.2307997784</v>
      </c>
      <c r="K23" s="73">
        <f t="shared" ref="K23:K86" si="1">+$K$15*F23</f>
        <v>9795765.5987693425</v>
      </c>
      <c r="N23" s="73">
        <f t="shared" ref="N23:N86" si="2">+$N$15*F23</f>
        <v>10131590.204986874</v>
      </c>
      <c r="P23" s="74">
        <f t="shared" ref="P23:P86" si="3">+$P$15*F23</f>
        <v>10854336.839810316</v>
      </c>
      <c r="W23" s="73">
        <v>7937810.38886574</v>
      </c>
      <c r="Y23" s="195">
        <f t="shared" ref="Y23:Y54" si="4">+I23/W23</f>
        <v>0</v>
      </c>
    </row>
    <row r="24" spans="2:25">
      <c r="C24">
        <v>6402</v>
      </c>
      <c r="D24" t="s">
        <v>24</v>
      </c>
      <c r="E24" s="74">
        <v>2741269.4794192002</v>
      </c>
      <c r="F24" s="195">
        <f t="shared" si="0"/>
        <v>4.2726824259367992E-4</v>
      </c>
      <c r="H24" s="194">
        <f t="shared" ref="H24:H86" si="5">+$H$15*F24</f>
        <v>2907271.2003361252</v>
      </c>
      <c r="K24" s="73">
        <f t="shared" si="1"/>
        <v>3503586.6837520124</v>
      </c>
      <c r="N24" s="73">
        <f t="shared" si="2"/>
        <v>3623698.8492133655</v>
      </c>
      <c r="P24" s="74">
        <f t="shared" si="3"/>
        <v>3882198.8571976433</v>
      </c>
      <c r="W24" s="73">
        <v>3155153.1091176402</v>
      </c>
      <c r="Y24" s="195">
        <f t="shared" si="4"/>
        <v>0</v>
      </c>
    </row>
    <row r="25" spans="2:25">
      <c r="C25">
        <v>6403</v>
      </c>
      <c r="D25" t="s">
        <v>25</v>
      </c>
      <c r="E25" s="74"/>
      <c r="F25" s="195">
        <f t="shared" si="0"/>
        <v>0</v>
      </c>
      <c r="H25" s="194">
        <f t="shared" si="5"/>
        <v>0</v>
      </c>
      <c r="K25" s="73">
        <f t="shared" si="1"/>
        <v>0</v>
      </c>
      <c r="N25" s="73">
        <f t="shared" si="2"/>
        <v>0</v>
      </c>
      <c r="P25" s="74">
        <f t="shared" si="3"/>
        <v>0</v>
      </c>
      <c r="W25" s="73">
        <v>0</v>
      </c>
      <c r="Y25" s="195" t="e">
        <f t="shared" si="4"/>
        <v>#DIV/0!</v>
      </c>
    </row>
    <row r="26" spans="2:25">
      <c r="C26">
        <v>6404</v>
      </c>
      <c r="D26" t="s">
        <v>26</v>
      </c>
      <c r="E26" s="74">
        <v>0</v>
      </c>
      <c r="F26" s="195">
        <f t="shared" si="0"/>
        <v>0</v>
      </c>
      <c r="H26" s="194">
        <f t="shared" si="5"/>
        <v>0</v>
      </c>
      <c r="K26" s="73">
        <f t="shared" si="1"/>
        <v>0</v>
      </c>
      <c r="N26" s="73">
        <f t="shared" si="2"/>
        <v>0</v>
      </c>
      <c r="P26" s="74">
        <f t="shared" si="3"/>
        <v>0</v>
      </c>
      <c r="W26" s="73">
        <v>0</v>
      </c>
      <c r="Y26" s="195" t="e">
        <f t="shared" si="4"/>
        <v>#DIV/0!</v>
      </c>
    </row>
    <row r="27" spans="2:25">
      <c r="C27">
        <v>6405</v>
      </c>
      <c r="D27" t="s">
        <v>27</v>
      </c>
      <c r="E27" s="74">
        <v>487733.5189519627</v>
      </c>
      <c r="F27" s="195">
        <f t="shared" si="0"/>
        <v>7.6020633892874017E-5</v>
      </c>
      <c r="H27" s="194">
        <f t="shared" si="5"/>
        <v>517268.9601418043</v>
      </c>
      <c r="K27" s="73">
        <f t="shared" si="1"/>
        <v>623366.90173986752</v>
      </c>
      <c r="N27" s="73">
        <f t="shared" si="2"/>
        <v>644737.558499165</v>
      </c>
      <c r="P27" s="74">
        <f t="shared" si="3"/>
        <v>690730.5261697477</v>
      </c>
      <c r="W27" s="73">
        <v>636413.36936970265</v>
      </c>
      <c r="Y27" s="195">
        <f t="shared" si="4"/>
        <v>0</v>
      </c>
    </row>
    <row r="28" spans="2:25">
      <c r="C28">
        <v>6406</v>
      </c>
      <c r="D28" t="s">
        <v>28</v>
      </c>
      <c r="E28" s="74">
        <v>0</v>
      </c>
      <c r="F28" s="195">
        <f t="shared" si="0"/>
        <v>0</v>
      </c>
      <c r="H28" s="194">
        <f t="shared" si="5"/>
        <v>0</v>
      </c>
      <c r="K28" s="73">
        <f t="shared" si="1"/>
        <v>0</v>
      </c>
      <c r="N28" s="73">
        <f t="shared" si="2"/>
        <v>0</v>
      </c>
      <c r="P28" s="74">
        <f t="shared" si="3"/>
        <v>0</v>
      </c>
      <c r="W28" s="73">
        <v>0</v>
      </c>
      <c r="Y28" s="195" t="e">
        <f t="shared" si="4"/>
        <v>#DIV/0!</v>
      </c>
    </row>
    <row r="29" spans="2:25">
      <c r="C29">
        <v>6407</v>
      </c>
      <c r="D29" t="s">
        <v>29</v>
      </c>
      <c r="E29" s="74">
        <v>1393524.3398627504</v>
      </c>
      <c r="F29" s="195">
        <f t="shared" si="0"/>
        <v>2.1720181112249717E-4</v>
      </c>
      <c r="H29" s="194">
        <f t="shared" si="5"/>
        <v>1477911.3146908693</v>
      </c>
      <c r="K29" s="73">
        <f t="shared" si="1"/>
        <v>1781048.2906853354</v>
      </c>
      <c r="N29" s="73">
        <f t="shared" si="2"/>
        <v>1842107.3099976142</v>
      </c>
      <c r="P29" s="74">
        <f t="shared" si="3"/>
        <v>1973515.7890564217</v>
      </c>
      <c r="W29" s="73">
        <v>1818323.9124848647</v>
      </c>
      <c r="Y29" s="195">
        <f t="shared" si="4"/>
        <v>0</v>
      </c>
    </row>
    <row r="30" spans="2:25">
      <c r="C30">
        <v>6408</v>
      </c>
      <c r="D30" t="s">
        <v>30</v>
      </c>
      <c r="E30" s="74">
        <v>23689913.777666751</v>
      </c>
      <c r="F30" s="195">
        <f t="shared" si="0"/>
        <v>3.6924307890824509E-3</v>
      </c>
      <c r="H30" s="194">
        <f t="shared" si="5"/>
        <v>25124492.349744771</v>
      </c>
      <c r="K30" s="73">
        <f t="shared" si="1"/>
        <v>30277820.941650692</v>
      </c>
      <c r="N30" s="73">
        <f t="shared" si="2"/>
        <v>31315824.269959435</v>
      </c>
      <c r="P30" s="74">
        <f t="shared" si="3"/>
        <v>33549768.41395916</v>
      </c>
      <c r="W30" s="73">
        <v>30911506.512242693</v>
      </c>
      <c r="Y30" s="195">
        <f t="shared" si="4"/>
        <v>0</v>
      </c>
    </row>
    <row r="31" spans="2:25">
      <c r="C31">
        <v>6409</v>
      </c>
      <c r="D31" t="s">
        <v>31</v>
      </c>
      <c r="E31" s="74">
        <v>696762.16993137519</v>
      </c>
      <c r="F31" s="195">
        <f t="shared" si="0"/>
        <v>1.0860090556124858E-4</v>
      </c>
      <c r="H31" s="194">
        <f t="shared" si="5"/>
        <v>738955.65734543465</v>
      </c>
      <c r="K31" s="73">
        <f t="shared" si="1"/>
        <v>890524.1453426677</v>
      </c>
      <c r="N31" s="73">
        <f t="shared" si="2"/>
        <v>921053.65499880712</v>
      </c>
      <c r="P31" s="74">
        <f t="shared" si="3"/>
        <v>986757.89452821086</v>
      </c>
      <c r="W31" s="73">
        <v>909161.95624243235</v>
      </c>
      <c r="Y31" s="195">
        <f t="shared" si="4"/>
        <v>0</v>
      </c>
    </row>
    <row r="32" spans="2:25">
      <c r="C32">
        <v>6410</v>
      </c>
      <c r="D32" t="s">
        <v>32</v>
      </c>
      <c r="E32" s="74">
        <v>69676216.993137524</v>
      </c>
      <c r="F32" s="195">
        <f t="shared" si="0"/>
        <v>1.0860090556124859E-2</v>
      </c>
      <c r="H32" s="194">
        <f t="shared" si="5"/>
        <v>73895565.734543473</v>
      </c>
      <c r="K32" s="73">
        <f t="shared" si="1"/>
        <v>89052414.53426677</v>
      </c>
      <c r="N32" s="73">
        <f t="shared" si="2"/>
        <v>92105365.499880716</v>
      </c>
      <c r="P32" s="74">
        <f t="shared" si="3"/>
        <v>98675789.452821091</v>
      </c>
      <c r="W32" s="73">
        <v>90916195.624243215</v>
      </c>
      <c r="Y32" s="195">
        <f t="shared" si="4"/>
        <v>0</v>
      </c>
    </row>
    <row r="33" spans="3:25">
      <c r="C33">
        <v>6411</v>
      </c>
      <c r="D33" t="s">
        <v>33</v>
      </c>
      <c r="E33" s="74">
        <v>2090286.5097941253</v>
      </c>
      <c r="F33" s="195">
        <f t="shared" si="0"/>
        <v>3.258027166837457E-4</v>
      </c>
      <c r="H33" s="194">
        <f t="shared" si="5"/>
        <v>2216866.9720363035</v>
      </c>
      <c r="K33" s="73">
        <f t="shared" si="1"/>
        <v>2671572.4360280028</v>
      </c>
      <c r="N33" s="73">
        <f t="shared" si="2"/>
        <v>2763160.9649964208</v>
      </c>
      <c r="P33" s="74">
        <f t="shared" si="3"/>
        <v>2960273.6835846319</v>
      </c>
      <c r="W33" s="73">
        <v>2727485.8687272957</v>
      </c>
      <c r="Y33" s="195">
        <f t="shared" si="4"/>
        <v>0</v>
      </c>
    </row>
    <row r="34" spans="3:25">
      <c r="C34">
        <v>6412</v>
      </c>
      <c r="D34" t="s">
        <v>34</v>
      </c>
      <c r="E34" s="74">
        <v>83611460.391764984</v>
      </c>
      <c r="F34" s="195">
        <f t="shared" si="0"/>
        <v>1.3032108667349824E-2</v>
      </c>
      <c r="H34" s="194">
        <f t="shared" si="5"/>
        <v>88674678.881452113</v>
      </c>
      <c r="K34" s="73">
        <f t="shared" si="1"/>
        <v>106862897.44112007</v>
      </c>
      <c r="N34" s="73">
        <f t="shared" si="2"/>
        <v>110526438.59985679</v>
      </c>
      <c r="P34" s="74">
        <f t="shared" si="3"/>
        <v>118410947.34338525</v>
      </c>
      <c r="W34" s="73">
        <v>109099434.74909182</v>
      </c>
      <c r="Y34" s="195">
        <f t="shared" si="4"/>
        <v>0</v>
      </c>
    </row>
    <row r="35" spans="3:25">
      <c r="C35">
        <v>6413</v>
      </c>
      <c r="D35" t="s">
        <v>35</v>
      </c>
      <c r="E35" s="74">
        <v>11844956.888833376</v>
      </c>
      <c r="F35" s="195">
        <f t="shared" si="0"/>
        <v>1.8462153945412254E-3</v>
      </c>
      <c r="H35" s="194">
        <f t="shared" si="5"/>
        <v>12562246.174872385</v>
      </c>
      <c r="K35" s="73">
        <f t="shared" si="1"/>
        <v>15138910.470825346</v>
      </c>
      <c r="N35" s="73">
        <f t="shared" si="2"/>
        <v>15657912.134979717</v>
      </c>
      <c r="P35" s="74">
        <f t="shared" si="3"/>
        <v>16774884.20697958</v>
      </c>
      <c r="W35" s="73">
        <v>15455753.256121347</v>
      </c>
      <c r="Y35" s="195">
        <f t="shared" si="4"/>
        <v>0</v>
      </c>
    </row>
    <row r="36" spans="3:25">
      <c r="C36">
        <v>6414</v>
      </c>
      <c r="D36" t="s">
        <v>36</v>
      </c>
      <c r="E36" s="74">
        <v>0</v>
      </c>
      <c r="F36" s="195">
        <f t="shared" si="0"/>
        <v>0</v>
      </c>
      <c r="H36" s="194">
        <f t="shared" si="5"/>
        <v>0</v>
      </c>
      <c r="K36" s="73">
        <f t="shared" si="1"/>
        <v>0</v>
      </c>
      <c r="N36" s="73">
        <f t="shared" si="2"/>
        <v>0</v>
      </c>
      <c r="P36" s="74">
        <f t="shared" si="3"/>
        <v>0</v>
      </c>
      <c r="W36" s="73">
        <v>0</v>
      </c>
      <c r="Y36" s="195" t="e">
        <f t="shared" si="4"/>
        <v>#DIV/0!</v>
      </c>
    </row>
    <row r="37" spans="3:25">
      <c r="C37">
        <v>6415</v>
      </c>
      <c r="D37" t="s">
        <v>37</v>
      </c>
      <c r="E37" s="74">
        <v>0</v>
      </c>
      <c r="F37" s="195">
        <f t="shared" si="0"/>
        <v>0</v>
      </c>
      <c r="H37" s="194">
        <f t="shared" si="5"/>
        <v>0</v>
      </c>
      <c r="K37" s="73">
        <f t="shared" si="1"/>
        <v>0</v>
      </c>
      <c r="N37" s="73">
        <f t="shared" si="2"/>
        <v>0</v>
      </c>
      <c r="P37" s="74">
        <f t="shared" si="3"/>
        <v>0</v>
      </c>
      <c r="W37" s="73">
        <v>0</v>
      </c>
      <c r="Y37" s="195" t="e">
        <f t="shared" si="4"/>
        <v>#DIV/0!</v>
      </c>
    </row>
    <row r="38" spans="3:25">
      <c r="C38">
        <v>6416</v>
      </c>
      <c r="D38" t="s">
        <v>38</v>
      </c>
      <c r="E38" s="74">
        <v>18115816.418215752</v>
      </c>
      <c r="F38" s="195">
        <f t="shared" si="0"/>
        <v>2.8236235445924626E-3</v>
      </c>
      <c r="H38" s="194">
        <f t="shared" si="5"/>
        <v>19212847.090981297</v>
      </c>
      <c r="K38" s="73">
        <f t="shared" si="1"/>
        <v>23153627.778909355</v>
      </c>
      <c r="N38" s="73">
        <f t="shared" si="2"/>
        <v>23947395.029968981</v>
      </c>
      <c r="P38" s="74">
        <f t="shared" si="3"/>
        <v>25655705.257733475</v>
      </c>
      <c r="W38" s="73">
        <v>23638210.862303238</v>
      </c>
      <c r="Y38" s="195">
        <f t="shared" si="4"/>
        <v>0</v>
      </c>
    </row>
    <row r="39" spans="3:25">
      <c r="C39">
        <v>6417</v>
      </c>
      <c r="D39" t="s">
        <v>39</v>
      </c>
      <c r="E39" s="74">
        <v>5574097.3594510015</v>
      </c>
      <c r="F39" s="195">
        <f t="shared" si="0"/>
        <v>8.6880724448998867E-4</v>
      </c>
      <c r="H39" s="194">
        <f t="shared" si="5"/>
        <v>5911645.2587634772</v>
      </c>
      <c r="K39" s="73">
        <f t="shared" si="1"/>
        <v>7124193.1627413416</v>
      </c>
      <c r="N39" s="73">
        <f t="shared" si="2"/>
        <v>7368429.239990457</v>
      </c>
      <c r="P39" s="74">
        <f t="shared" si="3"/>
        <v>7894063.1562256869</v>
      </c>
      <c r="W39" s="73">
        <v>7273295.6499394588</v>
      </c>
      <c r="Y39" s="195">
        <f t="shared" si="4"/>
        <v>0</v>
      </c>
    </row>
    <row r="40" spans="3:25">
      <c r="C40">
        <v>6418</v>
      </c>
      <c r="D40" t="s">
        <v>40</v>
      </c>
      <c r="E40" s="74">
        <v>9197260.6430941503</v>
      </c>
      <c r="F40" s="195">
        <f t="shared" si="0"/>
        <v>1.4335319534084809E-3</v>
      </c>
      <c r="H40" s="194">
        <f t="shared" si="5"/>
        <v>9754214.6769597344</v>
      </c>
      <c r="K40" s="73">
        <f t="shared" si="1"/>
        <v>11754918.71852321</v>
      </c>
      <c r="N40" s="73">
        <f t="shared" si="2"/>
        <v>12157908.245984251</v>
      </c>
      <c r="P40" s="74">
        <f t="shared" si="3"/>
        <v>13025204.20777238</v>
      </c>
      <c r="W40" s="73">
        <v>12000937.822400104</v>
      </c>
      <c r="Y40" s="195">
        <f t="shared" si="4"/>
        <v>0</v>
      </c>
    </row>
    <row r="41" spans="3:25">
      <c r="C41">
        <v>6419</v>
      </c>
      <c r="D41" t="s">
        <v>41</v>
      </c>
      <c r="E41" s="74">
        <v>8361146.0391765013</v>
      </c>
      <c r="F41" s="195">
        <f t="shared" si="0"/>
        <v>1.3032108667349828E-3</v>
      </c>
      <c r="H41" s="194">
        <f t="shared" si="5"/>
        <v>8867467.8881452139</v>
      </c>
      <c r="K41" s="73">
        <f t="shared" si="1"/>
        <v>10686289.744112011</v>
      </c>
      <c r="N41" s="73">
        <f t="shared" si="2"/>
        <v>11052643.859985683</v>
      </c>
      <c r="P41" s="74">
        <f t="shared" si="3"/>
        <v>11841094.734338528</v>
      </c>
      <c r="W41" s="73">
        <v>10909943.474909183</v>
      </c>
      <c r="Y41" s="195">
        <f t="shared" si="4"/>
        <v>0</v>
      </c>
    </row>
    <row r="42" spans="3:25">
      <c r="C42">
        <v>6420</v>
      </c>
      <c r="D42" t="s">
        <v>42</v>
      </c>
      <c r="E42" s="74">
        <v>3483810.8496568752</v>
      </c>
      <c r="F42" s="195">
        <f t="shared" si="0"/>
        <v>5.4300452780624286E-4</v>
      </c>
      <c r="H42" s="194">
        <f t="shared" si="5"/>
        <v>3694778.2867271728</v>
      </c>
      <c r="K42" s="73">
        <f t="shared" si="1"/>
        <v>4452620.7267133379</v>
      </c>
      <c r="N42" s="73">
        <f t="shared" si="2"/>
        <v>4605268.2749940353</v>
      </c>
      <c r="P42" s="74">
        <f t="shared" si="3"/>
        <v>4933789.4726410536</v>
      </c>
      <c r="W42" s="73">
        <v>4545809.7812121604</v>
      </c>
      <c r="Y42" s="195">
        <f t="shared" si="4"/>
        <v>0</v>
      </c>
    </row>
    <row r="43" spans="3:25">
      <c r="C43">
        <v>6421</v>
      </c>
      <c r="D43" t="s">
        <v>43</v>
      </c>
      <c r="E43" s="74">
        <v>0</v>
      </c>
      <c r="F43" s="195">
        <f t="shared" si="0"/>
        <v>0</v>
      </c>
      <c r="H43" s="194">
        <f t="shared" si="5"/>
        <v>0</v>
      </c>
      <c r="K43" s="73">
        <f t="shared" si="1"/>
        <v>0</v>
      </c>
      <c r="N43" s="73">
        <f t="shared" si="2"/>
        <v>0</v>
      </c>
      <c r="P43" s="74">
        <f t="shared" si="3"/>
        <v>0</v>
      </c>
      <c r="W43" s="73">
        <v>0</v>
      </c>
      <c r="Y43" s="195" t="e">
        <f t="shared" si="4"/>
        <v>#DIV/0!</v>
      </c>
    </row>
    <row r="44" spans="3:25">
      <c r="C44">
        <v>6422</v>
      </c>
      <c r="D44" t="s">
        <v>44</v>
      </c>
      <c r="E44" s="74">
        <v>20902865.097941246</v>
      </c>
      <c r="F44" s="195">
        <f t="shared" si="0"/>
        <v>3.2580271668374559E-3</v>
      </c>
      <c r="H44" s="194">
        <f t="shared" si="5"/>
        <v>22168669.720363028</v>
      </c>
      <c r="K44" s="73">
        <f t="shared" si="1"/>
        <v>26715724.360280018</v>
      </c>
      <c r="N44" s="73">
        <f t="shared" si="2"/>
        <v>27631609.649964198</v>
      </c>
      <c r="P44" s="74">
        <f t="shared" si="3"/>
        <v>29602736.835846312</v>
      </c>
      <c r="W44" s="73">
        <v>27274858.687272955</v>
      </c>
      <c r="Y44" s="195">
        <f t="shared" si="4"/>
        <v>0</v>
      </c>
    </row>
    <row r="45" spans="3:25">
      <c r="C45">
        <v>6423</v>
      </c>
      <c r="D45" t="s">
        <v>45</v>
      </c>
      <c r="E45" s="74">
        <v>18115816.418215752</v>
      </c>
      <c r="F45" s="195">
        <f t="shared" si="0"/>
        <v>2.8236235445924626E-3</v>
      </c>
      <c r="H45" s="194">
        <f t="shared" si="5"/>
        <v>19212847.090981297</v>
      </c>
      <c r="K45" s="73">
        <f t="shared" si="1"/>
        <v>23153627.778909355</v>
      </c>
      <c r="N45" s="73">
        <f t="shared" si="2"/>
        <v>23947395.029968981</v>
      </c>
      <c r="P45" s="74">
        <f t="shared" si="3"/>
        <v>25655705.257733475</v>
      </c>
      <c r="W45" s="73">
        <v>23638210.862303238</v>
      </c>
      <c r="Y45" s="195">
        <f t="shared" si="4"/>
        <v>0</v>
      </c>
    </row>
    <row r="46" spans="3:25">
      <c r="C46">
        <v>6424</v>
      </c>
      <c r="D46" t="s">
        <v>46</v>
      </c>
      <c r="E46" s="74">
        <v>68282656.20792</v>
      </c>
      <c r="F46" s="195">
        <f t="shared" si="0"/>
        <v>1.0642883064443482E-2</v>
      </c>
      <c r="H46" s="194">
        <f t="shared" si="5"/>
        <v>72417615.767494231</v>
      </c>
      <c r="K46" s="73">
        <f t="shared" si="1"/>
        <v>87271319.663170204</v>
      </c>
      <c r="N46" s="73">
        <f t="shared" si="2"/>
        <v>90263210.01257287</v>
      </c>
      <c r="P46" s="74">
        <f t="shared" si="3"/>
        <v>96702222.049680144</v>
      </c>
      <c r="W46" s="73">
        <v>87447139.629859686</v>
      </c>
      <c r="Y46" s="195">
        <f t="shared" si="4"/>
        <v>0</v>
      </c>
    </row>
    <row r="47" spans="3:25">
      <c r="C47" t="s">
        <v>47</v>
      </c>
      <c r="E47" s="74">
        <v>0</v>
      </c>
      <c r="F47" s="195">
        <f t="shared" si="0"/>
        <v>0</v>
      </c>
      <c r="H47" s="194">
        <f t="shared" si="5"/>
        <v>0</v>
      </c>
      <c r="K47" s="73">
        <f t="shared" si="1"/>
        <v>0</v>
      </c>
      <c r="N47" s="73">
        <f t="shared" si="2"/>
        <v>0</v>
      </c>
      <c r="P47" s="74">
        <f t="shared" si="3"/>
        <v>0</v>
      </c>
      <c r="W47" s="73">
        <v>0</v>
      </c>
      <c r="Y47" s="195" t="e">
        <f t="shared" si="4"/>
        <v>#DIV/0!</v>
      </c>
    </row>
    <row r="48" spans="3:25">
      <c r="C48">
        <v>6300</v>
      </c>
      <c r="D48" t="s">
        <v>48</v>
      </c>
      <c r="E48" s="74">
        <v>0</v>
      </c>
      <c r="F48" s="195">
        <f t="shared" si="0"/>
        <v>0</v>
      </c>
      <c r="H48" s="194">
        <f t="shared" si="5"/>
        <v>0</v>
      </c>
      <c r="K48" s="73">
        <f t="shared" si="1"/>
        <v>0</v>
      </c>
      <c r="N48" s="73">
        <f t="shared" si="2"/>
        <v>0</v>
      </c>
      <c r="P48" s="74">
        <f t="shared" si="3"/>
        <v>0</v>
      </c>
      <c r="W48" s="73">
        <v>0</v>
      </c>
      <c r="Y48" s="195" t="e">
        <f t="shared" si="4"/>
        <v>#DIV/0!</v>
      </c>
    </row>
    <row r="49" spans="3:25">
      <c r="C49">
        <v>6301</v>
      </c>
      <c r="D49" t="s">
        <v>49</v>
      </c>
      <c r="E49" s="74">
        <v>0</v>
      </c>
      <c r="F49" s="195">
        <f t="shared" si="0"/>
        <v>0</v>
      </c>
      <c r="H49" s="194">
        <f t="shared" si="5"/>
        <v>0</v>
      </c>
      <c r="K49" s="73">
        <f t="shared" si="1"/>
        <v>0</v>
      </c>
      <c r="N49" s="73">
        <f t="shared" si="2"/>
        <v>0</v>
      </c>
      <c r="P49" s="74">
        <f t="shared" si="3"/>
        <v>0</v>
      </c>
      <c r="W49" s="73">
        <v>0</v>
      </c>
      <c r="Y49" s="195" t="e">
        <f t="shared" si="4"/>
        <v>#DIV/0!</v>
      </c>
    </row>
    <row r="50" spans="3:25">
      <c r="C50">
        <v>6302</v>
      </c>
      <c r="D50" t="s">
        <v>50</v>
      </c>
      <c r="E50" s="74">
        <v>55740973.594510004</v>
      </c>
      <c r="F50" s="195">
        <f t="shared" si="0"/>
        <v>8.6880724448998858E-3</v>
      </c>
      <c r="H50" s="194">
        <f t="shared" si="5"/>
        <v>59116452.587634765</v>
      </c>
      <c r="K50" s="73">
        <f t="shared" si="1"/>
        <v>71241931.627413407</v>
      </c>
      <c r="N50" s="73">
        <f t="shared" si="2"/>
        <v>73684292.399904564</v>
      </c>
      <c r="P50" s="74">
        <f t="shared" si="3"/>
        <v>78940631.562256858</v>
      </c>
      <c r="W50" s="73">
        <v>72732956.499394566</v>
      </c>
      <c r="Y50" s="195">
        <f t="shared" si="4"/>
        <v>0</v>
      </c>
    </row>
    <row r="51" spans="3:25">
      <c r="C51">
        <v>6303</v>
      </c>
      <c r="D51" t="s">
        <v>51</v>
      </c>
      <c r="E51" s="74">
        <v>6967621.6993137505</v>
      </c>
      <c r="F51" s="195">
        <f t="shared" si="0"/>
        <v>1.0860090556124857E-3</v>
      </c>
      <c r="H51" s="194">
        <f t="shared" si="5"/>
        <v>7389556.5734543456</v>
      </c>
      <c r="K51" s="73">
        <f t="shared" si="1"/>
        <v>8905241.4534266759</v>
      </c>
      <c r="N51" s="73">
        <f t="shared" si="2"/>
        <v>9210536.5499880705</v>
      </c>
      <c r="P51" s="74">
        <f t="shared" si="3"/>
        <v>9867578.9452821072</v>
      </c>
      <c r="W51" s="73">
        <v>9091619.5624243207</v>
      </c>
      <c r="Y51" s="195">
        <f t="shared" si="4"/>
        <v>0</v>
      </c>
    </row>
    <row r="52" spans="3:25">
      <c r="C52">
        <v>6304</v>
      </c>
      <c r="D52" t="s">
        <v>52</v>
      </c>
      <c r="E52" s="74">
        <v>13935243.398627501</v>
      </c>
      <c r="F52" s="195">
        <f t="shared" si="0"/>
        <v>2.1720181112249715E-3</v>
      </c>
      <c r="H52" s="194">
        <f t="shared" si="5"/>
        <v>14779113.146908691</v>
      </c>
      <c r="K52" s="73">
        <f t="shared" si="1"/>
        <v>17810482.906853352</v>
      </c>
      <c r="N52" s="73">
        <f t="shared" si="2"/>
        <v>18421073.099976141</v>
      </c>
      <c r="P52" s="74">
        <f t="shared" si="3"/>
        <v>19735157.890564214</v>
      </c>
      <c r="W52" s="73">
        <v>18183239.124848641</v>
      </c>
      <c r="Y52" s="195">
        <f t="shared" si="4"/>
        <v>0</v>
      </c>
    </row>
    <row r="53" spans="3:25">
      <c r="C53">
        <v>6306</v>
      </c>
      <c r="D53" t="s">
        <v>53</v>
      </c>
      <c r="E53" s="74">
        <v>5950348.9312139442</v>
      </c>
      <c r="F53" s="195">
        <f t="shared" si="0"/>
        <v>9.2745173349306287E-4</v>
      </c>
      <c r="H53" s="194">
        <f t="shared" si="5"/>
        <v>6310681.3137300117</v>
      </c>
      <c r="K53" s="73">
        <f t="shared" si="1"/>
        <v>7605076.2012263816</v>
      </c>
      <c r="N53" s="73">
        <f t="shared" si="2"/>
        <v>7865798.2136898125</v>
      </c>
      <c r="P53" s="74">
        <f t="shared" si="3"/>
        <v>8426912.4192709196</v>
      </c>
      <c r="W53" s="73">
        <v>7764243.1063103694</v>
      </c>
      <c r="Y53" s="195">
        <f t="shared" si="4"/>
        <v>0</v>
      </c>
    </row>
    <row r="54" spans="3:25">
      <c r="C54">
        <v>6307</v>
      </c>
      <c r="D54" t="s">
        <v>54</v>
      </c>
      <c r="E54" s="74">
        <v>93366130.770804286</v>
      </c>
      <c r="F54" s="195">
        <f t="shared" si="0"/>
        <v>1.4552521345207311E-2</v>
      </c>
      <c r="H54" s="194">
        <f t="shared" si="5"/>
        <v>99020058.084288239</v>
      </c>
      <c r="K54" s="73">
        <f t="shared" si="1"/>
        <v>119330235.47591749</v>
      </c>
      <c r="N54" s="73">
        <f t="shared" si="2"/>
        <v>123421189.76984017</v>
      </c>
      <c r="P54" s="74">
        <f t="shared" si="3"/>
        <v>132225557.86678027</v>
      </c>
      <c r="W54" s="73">
        <v>121827702.1364859</v>
      </c>
      <c r="Y54" s="195">
        <f t="shared" si="4"/>
        <v>0</v>
      </c>
    </row>
    <row r="55" spans="3:25">
      <c r="E55" s="74">
        <v>0</v>
      </c>
      <c r="F55" s="195">
        <f t="shared" si="0"/>
        <v>0</v>
      </c>
      <c r="H55" s="194">
        <f t="shared" si="5"/>
        <v>0</v>
      </c>
      <c r="K55" s="73">
        <f t="shared" si="1"/>
        <v>0</v>
      </c>
      <c r="N55" s="73">
        <f t="shared" si="2"/>
        <v>0</v>
      </c>
      <c r="P55" s="74">
        <f t="shared" si="3"/>
        <v>0</v>
      </c>
      <c r="W55" s="73">
        <v>0</v>
      </c>
      <c r="Y55" s="195" t="e">
        <f t="shared" ref="Y55:Y75" si="6">+I55/W55</f>
        <v>#DIV/0!</v>
      </c>
    </row>
    <row r="56" spans="3:25">
      <c r="C56" t="s">
        <v>55</v>
      </c>
      <c r="E56" s="74">
        <v>0</v>
      </c>
      <c r="F56" s="195">
        <f t="shared" si="0"/>
        <v>0</v>
      </c>
      <c r="H56" s="194">
        <f t="shared" si="5"/>
        <v>0</v>
      </c>
      <c r="K56" s="73">
        <f t="shared" si="1"/>
        <v>0</v>
      </c>
      <c r="N56" s="73">
        <f t="shared" si="2"/>
        <v>0</v>
      </c>
      <c r="P56" s="74">
        <f t="shared" si="3"/>
        <v>0</v>
      </c>
      <c r="W56" s="73">
        <v>0</v>
      </c>
      <c r="Y56" s="195" t="e">
        <f t="shared" si="6"/>
        <v>#DIV/0!</v>
      </c>
    </row>
    <row r="57" spans="3:25">
      <c r="C57">
        <v>6500</v>
      </c>
      <c r="D57" t="s">
        <v>56</v>
      </c>
      <c r="E57" s="74">
        <v>2090286.5097941253</v>
      </c>
      <c r="F57" s="195">
        <f t="shared" si="0"/>
        <v>3.258027166837457E-4</v>
      </c>
      <c r="H57" s="194">
        <f t="shared" si="5"/>
        <v>2216866.9720363035</v>
      </c>
      <c r="K57" s="73">
        <f t="shared" si="1"/>
        <v>2671572.4360280028</v>
      </c>
      <c r="N57" s="73">
        <f t="shared" si="2"/>
        <v>2763160.9649964208</v>
      </c>
      <c r="P57" s="74">
        <f t="shared" si="3"/>
        <v>2960273.6835846319</v>
      </c>
      <c r="W57" s="73">
        <v>2727485.8687272957</v>
      </c>
      <c r="Y57" s="195">
        <f t="shared" si="6"/>
        <v>0</v>
      </c>
    </row>
    <row r="58" spans="3:25">
      <c r="C58">
        <v>6501</v>
      </c>
      <c r="D58" t="s">
        <v>57</v>
      </c>
      <c r="E58" s="74">
        <v>0</v>
      </c>
      <c r="F58" s="195">
        <f t="shared" si="0"/>
        <v>0</v>
      </c>
      <c r="H58" s="194">
        <f t="shared" si="5"/>
        <v>0</v>
      </c>
      <c r="K58" s="73">
        <f t="shared" si="1"/>
        <v>0</v>
      </c>
      <c r="N58" s="73">
        <f t="shared" si="2"/>
        <v>0</v>
      </c>
      <c r="P58" s="74">
        <f t="shared" si="3"/>
        <v>0</v>
      </c>
      <c r="W58" s="73">
        <v>0</v>
      </c>
      <c r="Y58" s="195" t="e">
        <f t="shared" si="6"/>
        <v>#DIV/0!</v>
      </c>
    </row>
    <row r="59" spans="3:25">
      <c r="E59" s="74">
        <v>0</v>
      </c>
      <c r="F59" s="195">
        <f t="shared" si="0"/>
        <v>0</v>
      </c>
      <c r="H59" s="194">
        <f t="shared" si="5"/>
        <v>0</v>
      </c>
      <c r="K59" s="73">
        <f t="shared" si="1"/>
        <v>0</v>
      </c>
      <c r="N59" s="73">
        <f t="shared" si="2"/>
        <v>0</v>
      </c>
      <c r="P59" s="74">
        <f t="shared" si="3"/>
        <v>0</v>
      </c>
      <c r="W59" s="73">
        <v>0</v>
      </c>
      <c r="Y59" s="195" t="e">
        <f t="shared" si="6"/>
        <v>#DIV/0!</v>
      </c>
    </row>
    <row r="60" spans="3:25">
      <c r="C60" t="s">
        <v>58</v>
      </c>
      <c r="E60" s="74">
        <v>0</v>
      </c>
      <c r="F60" s="195">
        <f t="shared" si="0"/>
        <v>0</v>
      </c>
      <c r="H60" s="194">
        <f t="shared" si="5"/>
        <v>0</v>
      </c>
      <c r="K60" s="73">
        <f t="shared" si="1"/>
        <v>0</v>
      </c>
      <c r="N60" s="73">
        <f t="shared" si="2"/>
        <v>0</v>
      </c>
      <c r="P60" s="74">
        <f t="shared" si="3"/>
        <v>0</v>
      </c>
      <c r="W60" s="73">
        <v>0</v>
      </c>
      <c r="Y60" s="195" t="e">
        <f t="shared" si="6"/>
        <v>#DIV/0!</v>
      </c>
    </row>
    <row r="61" spans="3:25">
      <c r="C61">
        <v>6600</v>
      </c>
      <c r="D61" t="s">
        <v>59</v>
      </c>
      <c r="E61" s="74">
        <v>5574097.3594510015</v>
      </c>
      <c r="F61" s="195">
        <f t="shared" si="0"/>
        <v>8.6880724448998867E-4</v>
      </c>
      <c r="H61" s="194">
        <f t="shared" si="5"/>
        <v>5911645.2587634772</v>
      </c>
      <c r="K61" s="73">
        <f t="shared" si="1"/>
        <v>7124193.1627413416</v>
      </c>
      <c r="N61" s="73">
        <f t="shared" si="2"/>
        <v>7368429.239990457</v>
      </c>
      <c r="P61" s="74">
        <f t="shared" si="3"/>
        <v>7894063.1562256869</v>
      </c>
      <c r="W61" s="73">
        <v>7273295.6499394588</v>
      </c>
      <c r="Y61" s="195">
        <f t="shared" si="6"/>
        <v>0</v>
      </c>
    </row>
    <row r="62" spans="3:25">
      <c r="C62">
        <v>6600</v>
      </c>
      <c r="D62" t="s">
        <v>60</v>
      </c>
      <c r="E62" s="74">
        <v>0</v>
      </c>
      <c r="F62" s="195">
        <f t="shared" si="0"/>
        <v>0</v>
      </c>
      <c r="H62" s="194">
        <f t="shared" si="5"/>
        <v>0</v>
      </c>
      <c r="K62" s="73">
        <f t="shared" si="1"/>
        <v>0</v>
      </c>
      <c r="N62" s="73">
        <f t="shared" si="2"/>
        <v>0</v>
      </c>
      <c r="P62" s="74">
        <f t="shared" si="3"/>
        <v>0</v>
      </c>
      <c r="W62" s="73">
        <v>0</v>
      </c>
      <c r="Y62" s="195" t="e">
        <f t="shared" si="6"/>
        <v>#DIV/0!</v>
      </c>
    </row>
    <row r="63" spans="3:25">
      <c r="E63" s="74">
        <v>0</v>
      </c>
      <c r="F63" s="195">
        <f t="shared" si="0"/>
        <v>0</v>
      </c>
      <c r="H63" s="194">
        <f t="shared" si="5"/>
        <v>0</v>
      </c>
      <c r="K63" s="73">
        <f t="shared" si="1"/>
        <v>0</v>
      </c>
      <c r="N63" s="73">
        <f t="shared" si="2"/>
        <v>0</v>
      </c>
      <c r="P63" s="74">
        <f t="shared" si="3"/>
        <v>0</v>
      </c>
      <c r="W63" s="73">
        <v>0</v>
      </c>
      <c r="Y63" s="195" t="e">
        <f t="shared" si="6"/>
        <v>#DIV/0!</v>
      </c>
    </row>
    <row r="64" spans="3:25">
      <c r="C64" t="s">
        <v>61</v>
      </c>
      <c r="E64" s="74">
        <v>0</v>
      </c>
      <c r="F64" s="195">
        <f t="shared" si="0"/>
        <v>0</v>
      </c>
      <c r="H64" s="194">
        <f t="shared" si="5"/>
        <v>0</v>
      </c>
      <c r="K64" s="73">
        <f t="shared" si="1"/>
        <v>0</v>
      </c>
      <c r="N64" s="73">
        <f t="shared" si="2"/>
        <v>0</v>
      </c>
      <c r="P64" s="74">
        <f t="shared" si="3"/>
        <v>0</v>
      </c>
      <c r="W64" s="73">
        <v>0</v>
      </c>
      <c r="Y64" s="195" t="e">
        <f t="shared" si="6"/>
        <v>#DIV/0!</v>
      </c>
    </row>
    <row r="65" spans="3:25">
      <c r="C65">
        <v>6200</v>
      </c>
      <c r="D65" t="s">
        <v>62</v>
      </c>
      <c r="E65" s="74">
        <v>12541719.05876475</v>
      </c>
      <c r="F65" s="195">
        <f t="shared" si="0"/>
        <v>1.954816300102474E-3</v>
      </c>
      <c r="H65" s="194">
        <f t="shared" si="5"/>
        <v>13301201.83221782</v>
      </c>
      <c r="K65" s="73">
        <f t="shared" si="1"/>
        <v>16029434.616168015</v>
      </c>
      <c r="N65" s="73">
        <f t="shared" si="2"/>
        <v>16578965.789978523</v>
      </c>
      <c r="P65" s="74">
        <f t="shared" si="3"/>
        <v>17761642.10150779</v>
      </c>
      <c r="W65" s="73">
        <v>16364915.212363774</v>
      </c>
      <c r="Y65" s="195">
        <f t="shared" si="6"/>
        <v>0</v>
      </c>
    </row>
    <row r="66" spans="3:25">
      <c r="C66">
        <v>6201</v>
      </c>
      <c r="D66" t="s">
        <v>63</v>
      </c>
      <c r="E66" s="74">
        <v>5574097.3594510015</v>
      </c>
      <c r="F66" s="195">
        <f t="shared" si="0"/>
        <v>8.6880724448998867E-4</v>
      </c>
      <c r="H66" s="194">
        <f t="shared" si="5"/>
        <v>5911645.2587634772</v>
      </c>
      <c r="K66" s="73">
        <f t="shared" si="1"/>
        <v>7124193.1627413416</v>
      </c>
      <c r="N66" s="73">
        <f t="shared" si="2"/>
        <v>7368429.239990457</v>
      </c>
      <c r="P66" s="74">
        <f t="shared" si="3"/>
        <v>7894063.1562256869</v>
      </c>
      <c r="W66" s="73">
        <v>7273295.6499394588</v>
      </c>
      <c r="Y66" s="195">
        <f t="shared" si="6"/>
        <v>0</v>
      </c>
    </row>
    <row r="67" spans="3:25">
      <c r="C67">
        <v>6210</v>
      </c>
      <c r="D67" t="s">
        <v>64</v>
      </c>
      <c r="E67" s="74">
        <v>2090286.5097941253</v>
      </c>
      <c r="F67" s="195">
        <f t="shared" si="0"/>
        <v>3.258027166837457E-4</v>
      </c>
      <c r="H67" s="194">
        <f t="shared" si="5"/>
        <v>2216866.9720363035</v>
      </c>
      <c r="K67" s="73">
        <f t="shared" si="1"/>
        <v>2671572.4360280028</v>
      </c>
      <c r="N67" s="73">
        <f t="shared" si="2"/>
        <v>2763160.9649964208</v>
      </c>
      <c r="P67" s="74">
        <f t="shared" si="3"/>
        <v>2960273.6835846319</v>
      </c>
      <c r="W67" s="73">
        <v>2727485.8687272957</v>
      </c>
      <c r="Y67" s="195">
        <f t="shared" si="6"/>
        <v>0</v>
      </c>
    </row>
    <row r="68" spans="3:25">
      <c r="C68">
        <v>6211</v>
      </c>
      <c r="D68" t="s">
        <v>65</v>
      </c>
      <c r="E68" s="74">
        <v>696762.16993137519</v>
      </c>
      <c r="F68" s="195">
        <f t="shared" si="0"/>
        <v>1.0860090556124858E-4</v>
      </c>
      <c r="H68" s="194">
        <f t="shared" si="5"/>
        <v>738955.65734543465</v>
      </c>
      <c r="K68" s="73">
        <f t="shared" si="1"/>
        <v>890524.1453426677</v>
      </c>
      <c r="N68" s="73">
        <f t="shared" si="2"/>
        <v>921053.65499880712</v>
      </c>
      <c r="P68" s="74">
        <f t="shared" si="3"/>
        <v>986757.89452821086</v>
      </c>
      <c r="W68" s="73">
        <v>909161.95624243235</v>
      </c>
      <c r="Y68" s="195">
        <f t="shared" si="6"/>
        <v>0</v>
      </c>
    </row>
    <row r="69" spans="3:25">
      <c r="C69">
        <v>6220</v>
      </c>
      <c r="D69" t="s">
        <v>66</v>
      </c>
      <c r="E69" s="74">
        <v>1393524.3398627504</v>
      </c>
      <c r="F69" s="195">
        <f t="shared" si="0"/>
        <v>2.1720181112249717E-4</v>
      </c>
      <c r="H69" s="194">
        <f t="shared" si="5"/>
        <v>1477911.3146908693</v>
      </c>
      <c r="K69" s="73">
        <f t="shared" si="1"/>
        <v>1781048.2906853354</v>
      </c>
      <c r="N69" s="73">
        <f t="shared" si="2"/>
        <v>1842107.3099976142</v>
      </c>
      <c r="P69" s="74">
        <f t="shared" si="3"/>
        <v>1973515.7890564217</v>
      </c>
      <c r="W69" s="73">
        <v>1818323.9124848647</v>
      </c>
      <c r="Y69" s="195">
        <f t="shared" si="6"/>
        <v>0</v>
      </c>
    </row>
    <row r="70" spans="3:25">
      <c r="C70">
        <v>6221</v>
      </c>
      <c r="D70" t="s">
        <v>67</v>
      </c>
      <c r="E70" s="74">
        <v>696762.16993137519</v>
      </c>
      <c r="F70" s="195">
        <f t="shared" si="0"/>
        <v>1.0860090556124858E-4</v>
      </c>
      <c r="H70" s="194">
        <f t="shared" si="5"/>
        <v>738955.65734543465</v>
      </c>
      <c r="K70" s="73">
        <f t="shared" si="1"/>
        <v>890524.1453426677</v>
      </c>
      <c r="N70" s="73">
        <f t="shared" si="2"/>
        <v>921053.65499880712</v>
      </c>
      <c r="P70" s="74">
        <f t="shared" si="3"/>
        <v>986757.89452821086</v>
      </c>
      <c r="W70" s="73">
        <v>909161.95624243235</v>
      </c>
      <c r="Y70" s="195">
        <f t="shared" si="6"/>
        <v>0</v>
      </c>
    </row>
    <row r="71" spans="3:25">
      <c r="C71">
        <v>6230</v>
      </c>
      <c r="D71" t="s">
        <v>68</v>
      </c>
      <c r="E71" s="74">
        <v>4319925.4535745252</v>
      </c>
      <c r="F71" s="195">
        <f t="shared" si="0"/>
        <v>6.7332561447974108E-4</v>
      </c>
      <c r="H71" s="194">
        <f t="shared" si="5"/>
        <v>4581525.0755416937</v>
      </c>
      <c r="K71" s="73">
        <f t="shared" si="1"/>
        <v>5521249.7011245387</v>
      </c>
      <c r="N71" s="73">
        <f t="shared" si="2"/>
        <v>5710532.6609926028</v>
      </c>
      <c r="P71" s="74">
        <f t="shared" si="3"/>
        <v>6117898.9460749058</v>
      </c>
      <c r="W71" s="73">
        <v>5636804.1287030773</v>
      </c>
      <c r="Y71" s="195">
        <f t="shared" si="6"/>
        <v>0</v>
      </c>
    </row>
    <row r="72" spans="3:25">
      <c r="C72">
        <v>6231</v>
      </c>
      <c r="D72" t="s">
        <v>69</v>
      </c>
      <c r="E72" s="74">
        <v>2787048.6797255008</v>
      </c>
      <c r="F72" s="195">
        <f t="shared" si="0"/>
        <v>4.3440362224499434E-4</v>
      </c>
      <c r="H72" s="194">
        <f t="shared" si="5"/>
        <v>2955822.6293817386</v>
      </c>
      <c r="K72" s="73">
        <f t="shared" si="1"/>
        <v>3562096.5813706708</v>
      </c>
      <c r="N72" s="73">
        <f t="shared" si="2"/>
        <v>3684214.6199952285</v>
      </c>
      <c r="P72" s="74">
        <f t="shared" si="3"/>
        <v>3947031.5781128434</v>
      </c>
      <c r="W72" s="73">
        <v>3636647.8249697294</v>
      </c>
      <c r="Y72" s="195">
        <f t="shared" si="6"/>
        <v>0</v>
      </c>
    </row>
    <row r="73" spans="3:25">
      <c r="C73">
        <v>6240</v>
      </c>
      <c r="D73" t="s">
        <v>70</v>
      </c>
      <c r="E73" s="74">
        <v>6270859.5293823751</v>
      </c>
      <c r="F73" s="195">
        <f t="shared" si="0"/>
        <v>9.7740815005123698E-4</v>
      </c>
      <c r="H73" s="194">
        <f t="shared" si="5"/>
        <v>6650600.91610891</v>
      </c>
      <c r="K73" s="73">
        <f t="shared" si="1"/>
        <v>8014717.3080840074</v>
      </c>
      <c r="N73" s="73">
        <f t="shared" si="2"/>
        <v>8289482.8949892614</v>
      </c>
      <c r="P73" s="74">
        <f t="shared" si="3"/>
        <v>8880821.0507538952</v>
      </c>
      <c r="W73" s="73">
        <v>8182457.606181887</v>
      </c>
      <c r="Y73" s="195">
        <f t="shared" si="6"/>
        <v>0</v>
      </c>
    </row>
    <row r="74" spans="3:25">
      <c r="C74">
        <v>6241</v>
      </c>
      <c r="D74" t="s">
        <v>71</v>
      </c>
      <c r="E74" s="74">
        <v>2787048.6797255008</v>
      </c>
      <c r="F74" s="195">
        <f t="shared" si="0"/>
        <v>4.3440362224499434E-4</v>
      </c>
      <c r="H74" s="194">
        <f t="shared" si="5"/>
        <v>2955822.6293817386</v>
      </c>
      <c r="K74" s="73">
        <f t="shared" si="1"/>
        <v>3562096.5813706708</v>
      </c>
      <c r="N74" s="73">
        <f t="shared" si="2"/>
        <v>3684214.6199952285</v>
      </c>
      <c r="P74" s="74">
        <f t="shared" si="3"/>
        <v>3947031.5781128434</v>
      </c>
      <c r="W74" s="73">
        <v>3636647.8249697294</v>
      </c>
      <c r="Y74" s="195">
        <f t="shared" si="6"/>
        <v>0</v>
      </c>
    </row>
    <row r="75" spans="3:25">
      <c r="C75">
        <v>6250</v>
      </c>
      <c r="D75" t="s">
        <v>72</v>
      </c>
      <c r="E75" s="74">
        <v>47658532.423306063</v>
      </c>
      <c r="F75" s="195">
        <f t="shared" si="0"/>
        <v>7.4283019403894035E-3</v>
      </c>
      <c r="H75" s="194">
        <f t="shared" si="5"/>
        <v>50544566.962427728</v>
      </c>
      <c r="K75" s="73">
        <f t="shared" si="1"/>
        <v>60911851.541438475</v>
      </c>
      <c r="N75" s="73">
        <f t="shared" si="2"/>
        <v>63000070.001918405</v>
      </c>
      <c r="P75" s="74">
        <f t="shared" si="3"/>
        <v>67494239.98572962</v>
      </c>
      <c r="W75" s="73">
        <v>62186677.806982376</v>
      </c>
      <c r="Y75" s="195">
        <f t="shared" si="6"/>
        <v>0</v>
      </c>
    </row>
    <row r="76" spans="3:25">
      <c r="E76" s="74">
        <v>0</v>
      </c>
      <c r="F76" s="195">
        <f t="shared" si="0"/>
        <v>0</v>
      </c>
      <c r="H76" s="194">
        <f t="shared" si="5"/>
        <v>0</v>
      </c>
      <c r="K76" s="73">
        <f t="shared" si="1"/>
        <v>0</v>
      </c>
      <c r="N76" s="73">
        <f t="shared" si="2"/>
        <v>0</v>
      </c>
      <c r="P76" s="74">
        <f t="shared" si="3"/>
        <v>0</v>
      </c>
      <c r="W76" s="73">
        <v>0</v>
      </c>
    </row>
    <row r="77" spans="3:25">
      <c r="C77" t="s">
        <v>73</v>
      </c>
      <c r="E77" s="74">
        <v>0</v>
      </c>
      <c r="F77" s="195">
        <f t="shared" si="0"/>
        <v>0</v>
      </c>
      <c r="H77" s="194">
        <f t="shared" si="5"/>
        <v>0</v>
      </c>
      <c r="K77" s="73">
        <f t="shared" si="1"/>
        <v>0</v>
      </c>
      <c r="N77" s="73">
        <f t="shared" si="2"/>
        <v>0</v>
      </c>
      <c r="P77" s="74">
        <f t="shared" si="3"/>
        <v>0</v>
      </c>
      <c r="W77" s="73">
        <v>0</v>
      </c>
    </row>
    <row r="78" spans="3:25">
      <c r="C78">
        <v>6000</v>
      </c>
      <c r="D78" t="s">
        <v>74</v>
      </c>
      <c r="E78" s="74">
        <v>0</v>
      </c>
      <c r="F78" s="195">
        <f t="shared" si="0"/>
        <v>0</v>
      </c>
      <c r="H78" s="194">
        <f t="shared" si="5"/>
        <v>0</v>
      </c>
      <c r="K78" s="73">
        <f t="shared" si="1"/>
        <v>0</v>
      </c>
      <c r="N78" s="73">
        <f t="shared" si="2"/>
        <v>0</v>
      </c>
      <c r="P78" s="74">
        <f t="shared" si="3"/>
        <v>0</v>
      </c>
      <c r="W78" s="73">
        <v>0</v>
      </c>
    </row>
    <row r="79" spans="3:25">
      <c r="C79">
        <v>6001</v>
      </c>
      <c r="D79" t="s">
        <v>75</v>
      </c>
      <c r="E79" s="74">
        <v>1532876773.8490255</v>
      </c>
      <c r="F79" s="195">
        <f t="shared" si="0"/>
        <v>0.23892199223474689</v>
      </c>
      <c r="H79" s="194">
        <f t="shared" si="5"/>
        <v>1625702446.1599562</v>
      </c>
      <c r="K79" s="73">
        <f t="shared" si="1"/>
        <v>1959153119.7538691</v>
      </c>
      <c r="N79" s="73">
        <f t="shared" si="2"/>
        <v>2026318040.9973757</v>
      </c>
      <c r="P79" s="74">
        <f t="shared" si="3"/>
        <v>2170867367.9620638</v>
      </c>
      <c r="W79" s="73">
        <v>2000156303.7333508</v>
      </c>
      <c r="Y79" s="195">
        <f>+I79/W79</f>
        <v>0</v>
      </c>
    </row>
    <row r="80" spans="3:25">
      <c r="C80">
        <v>6002</v>
      </c>
      <c r="D80" t="s">
        <v>76</v>
      </c>
      <c r="E80" s="74">
        <v>125417190.58764751</v>
      </c>
      <c r="F80" s="195">
        <f t="shared" si="0"/>
        <v>1.9548163001024743E-2</v>
      </c>
      <c r="H80" s="194">
        <f t="shared" si="5"/>
        <v>133012018.32217821</v>
      </c>
      <c r="K80" s="73">
        <f t="shared" si="1"/>
        <v>160294346.16168016</v>
      </c>
      <c r="N80" s="73">
        <f t="shared" si="2"/>
        <v>165789657.89978525</v>
      </c>
      <c r="P80" s="74">
        <f t="shared" si="3"/>
        <v>177616421.01507795</v>
      </c>
      <c r="W80" s="73">
        <v>163649152.12363777</v>
      </c>
      <c r="Y80" s="195">
        <f>+I80/W80</f>
        <v>0</v>
      </c>
    </row>
    <row r="81" spans="3:25">
      <c r="C81">
        <v>6020</v>
      </c>
      <c r="D81" t="s">
        <v>77</v>
      </c>
      <c r="E81" s="74">
        <v>1741905424.8284371</v>
      </c>
      <c r="F81" s="195">
        <f t="shared" si="0"/>
        <v>0.27150226390312132</v>
      </c>
      <c r="H81" s="194">
        <f t="shared" si="5"/>
        <v>1847389143.3635857</v>
      </c>
      <c r="K81" s="73">
        <f t="shared" si="1"/>
        <v>2226310363.356668</v>
      </c>
      <c r="N81" s="73">
        <f t="shared" si="2"/>
        <v>2302634137.4970164</v>
      </c>
      <c r="P81" s="74">
        <f t="shared" si="3"/>
        <v>2466894736.3205256</v>
      </c>
      <c r="W81" s="73">
        <v>2272904890.6060801</v>
      </c>
      <c r="Y81" s="195">
        <f>+I81/W81</f>
        <v>0</v>
      </c>
    </row>
    <row r="82" spans="3:25">
      <c r="C82">
        <v>6021</v>
      </c>
      <c r="D82" t="s">
        <v>78</v>
      </c>
      <c r="E82" s="74">
        <v>125417190.58764751</v>
      </c>
      <c r="F82" s="195">
        <f t="shared" si="0"/>
        <v>1.9548163001024743E-2</v>
      </c>
      <c r="H82" s="194">
        <f t="shared" si="5"/>
        <v>133012018.32217821</v>
      </c>
      <c r="K82" s="73">
        <f t="shared" si="1"/>
        <v>160294346.16168016</v>
      </c>
      <c r="N82" s="73">
        <f t="shared" si="2"/>
        <v>165789657.89978525</v>
      </c>
      <c r="P82" s="74">
        <f t="shared" si="3"/>
        <v>177616421.01507795</v>
      </c>
      <c r="W82" s="73">
        <v>163649152.12363777</v>
      </c>
      <c r="Y82" s="195">
        <f>+I82/W82</f>
        <v>0</v>
      </c>
    </row>
    <row r="83" spans="3:25">
      <c r="C83">
        <v>6030</v>
      </c>
      <c r="D83" t="s">
        <v>79</v>
      </c>
      <c r="E83" s="74">
        <v>5574097.3594510015</v>
      </c>
      <c r="F83" s="195">
        <f t="shared" si="0"/>
        <v>8.6880724448998867E-4</v>
      </c>
      <c r="H83" s="194">
        <f t="shared" si="5"/>
        <v>5911645.2587634772</v>
      </c>
      <c r="K83" s="73">
        <f t="shared" si="1"/>
        <v>7124193.1627413416</v>
      </c>
      <c r="N83" s="73">
        <f t="shared" si="2"/>
        <v>7368429.239990457</v>
      </c>
      <c r="P83" s="74">
        <f t="shared" si="3"/>
        <v>7894063.1562256869</v>
      </c>
      <c r="W83" s="73">
        <v>7273295.6499394588</v>
      </c>
      <c r="Y83" s="195">
        <f>+I83/W83</f>
        <v>0</v>
      </c>
    </row>
    <row r="84" spans="3:25">
      <c r="C84">
        <v>6040</v>
      </c>
      <c r="D84" t="s">
        <v>80</v>
      </c>
      <c r="E84" s="74">
        <v>0</v>
      </c>
      <c r="F84" s="195">
        <f t="shared" si="0"/>
        <v>0</v>
      </c>
      <c r="H84" s="194">
        <f t="shared" si="5"/>
        <v>0</v>
      </c>
      <c r="K84" s="73">
        <f t="shared" si="1"/>
        <v>0</v>
      </c>
      <c r="N84" s="73">
        <f t="shared" si="2"/>
        <v>0</v>
      </c>
      <c r="P84" s="74">
        <f t="shared" si="3"/>
        <v>0</v>
      </c>
      <c r="W84" s="73">
        <v>0</v>
      </c>
    </row>
    <row r="85" spans="3:25">
      <c r="C85">
        <v>6041</v>
      </c>
      <c r="D85" t="s">
        <v>81</v>
      </c>
      <c r="E85" s="74">
        <v>0</v>
      </c>
      <c r="F85" s="195">
        <f t="shared" si="0"/>
        <v>0</v>
      </c>
      <c r="H85" s="194">
        <f t="shared" si="5"/>
        <v>0</v>
      </c>
      <c r="K85" s="73">
        <f t="shared" si="1"/>
        <v>0</v>
      </c>
      <c r="N85" s="73">
        <f t="shared" si="2"/>
        <v>0</v>
      </c>
      <c r="P85" s="74">
        <f t="shared" si="3"/>
        <v>0</v>
      </c>
      <c r="W85" s="73">
        <v>0</v>
      </c>
    </row>
    <row r="86" spans="3:25">
      <c r="C86">
        <v>6050</v>
      </c>
      <c r="D86" t="s">
        <v>82</v>
      </c>
      <c r="E86" s="74">
        <v>160255299.08421627</v>
      </c>
      <c r="F86" s="195">
        <f t="shared" si="0"/>
        <v>2.4978208279087172E-2</v>
      </c>
      <c r="H86" s="194">
        <f t="shared" si="5"/>
        <v>169959801.18944994</v>
      </c>
      <c r="K86" s="73">
        <f t="shared" si="1"/>
        <v>204820553.42881355</v>
      </c>
      <c r="N86" s="73">
        <f t="shared" si="2"/>
        <v>211842340.64972562</v>
      </c>
      <c r="P86" s="74">
        <f t="shared" si="3"/>
        <v>226954315.74148849</v>
      </c>
      <c r="W86" s="73">
        <v>209107249.93575937</v>
      </c>
      <c r="Y86" s="195">
        <f>+I86/W86</f>
        <v>0</v>
      </c>
    </row>
    <row r="87" spans="3:25">
      <c r="C87">
        <v>6051</v>
      </c>
      <c r="D87" t="s">
        <v>83</v>
      </c>
      <c r="E87" s="74">
        <v>836114.60391765006</v>
      </c>
      <c r="F87" s="195">
        <f t="shared" ref="F87:F103" si="7">+E87/$E$15</f>
        <v>1.3032108667349827E-4</v>
      </c>
      <c r="H87" s="194">
        <f t="shared" ref="H87:H103" si="8">+$H$15*F87</f>
        <v>886746.78881452128</v>
      </c>
      <c r="K87" s="73">
        <f t="shared" ref="K87:K103" si="9">+$K$15*F87</f>
        <v>1068628.974411201</v>
      </c>
      <c r="N87" s="73">
        <f t="shared" ref="N87:N103" si="10">+$N$15*F87</f>
        <v>1105264.3859985683</v>
      </c>
      <c r="P87" s="74">
        <f t="shared" ref="P87:P99" si="11">+$P$15*F87</f>
        <v>1184109.4734338527</v>
      </c>
      <c r="W87" s="73">
        <v>1090994.3474909186</v>
      </c>
      <c r="Y87" s="195">
        <f>+I87/W87</f>
        <v>0</v>
      </c>
    </row>
    <row r="88" spans="3:25">
      <c r="C88">
        <v>6052</v>
      </c>
      <c r="D88" t="s">
        <v>84</v>
      </c>
      <c r="E88" s="74">
        <v>696762.16993137519</v>
      </c>
      <c r="F88" s="195">
        <f t="shared" si="7"/>
        <v>1.0860090556124858E-4</v>
      </c>
      <c r="H88" s="194">
        <f t="shared" si="8"/>
        <v>738955.65734543465</v>
      </c>
      <c r="K88" s="73">
        <f t="shared" si="9"/>
        <v>890524.1453426677</v>
      </c>
      <c r="N88" s="73">
        <f t="shared" si="10"/>
        <v>921053.65499880712</v>
      </c>
      <c r="P88" s="74">
        <f t="shared" si="11"/>
        <v>986757.89452821086</v>
      </c>
      <c r="W88" s="73">
        <v>909161.95624243235</v>
      </c>
      <c r="Y88" s="195">
        <f t="shared" ref="Y88:Y89" si="12">+I88/W88</f>
        <v>0</v>
      </c>
    </row>
    <row r="89" spans="3:25">
      <c r="C89">
        <v>6090</v>
      </c>
      <c r="D89" t="s">
        <v>85</v>
      </c>
      <c r="E89" s="74">
        <v>1393524.3398627504</v>
      </c>
      <c r="F89" s="195">
        <f t="shared" si="7"/>
        <v>2.1720181112249717E-4</v>
      </c>
      <c r="H89" s="194">
        <f t="shared" si="8"/>
        <v>1477911.3146908693</v>
      </c>
      <c r="K89" s="73">
        <f t="shared" si="9"/>
        <v>1781048.2906853354</v>
      </c>
      <c r="N89" s="73">
        <f t="shared" si="10"/>
        <v>1842107.3099976142</v>
      </c>
      <c r="P89" s="74">
        <f t="shared" si="11"/>
        <v>1973515.7890564217</v>
      </c>
      <c r="W89" s="73">
        <v>1818323.9124848647</v>
      </c>
      <c r="Y89" s="195">
        <f t="shared" si="12"/>
        <v>0</v>
      </c>
    </row>
    <row r="90" spans="3:25">
      <c r="D90" t="s">
        <v>86</v>
      </c>
      <c r="E90" s="74">
        <v>90579082.091078773</v>
      </c>
      <c r="F90" s="195">
        <f t="shared" si="7"/>
        <v>1.4118117722962316E-2</v>
      </c>
      <c r="H90" s="194">
        <f t="shared" si="8"/>
        <v>96064235.454906508</v>
      </c>
      <c r="K90" s="73">
        <f t="shared" si="9"/>
        <v>115768138.89454681</v>
      </c>
      <c r="N90" s="73">
        <f t="shared" si="10"/>
        <v>119736975.14984493</v>
      </c>
      <c r="P90" s="74">
        <f t="shared" si="11"/>
        <v>128278526.28866741</v>
      </c>
      <c r="W90" s="73">
        <v>118191054.31151618</v>
      </c>
    </row>
    <row r="91" spans="3:25">
      <c r="D91" t="s">
        <v>87</v>
      </c>
      <c r="E91" s="74"/>
      <c r="F91" s="195">
        <f t="shared" si="7"/>
        <v>0</v>
      </c>
      <c r="H91" s="194">
        <f t="shared" si="8"/>
        <v>0</v>
      </c>
      <c r="K91" s="73">
        <f t="shared" si="9"/>
        <v>0</v>
      </c>
      <c r="N91" s="73">
        <f t="shared" si="10"/>
        <v>0</v>
      </c>
      <c r="P91" s="74">
        <f t="shared" si="11"/>
        <v>0</v>
      </c>
    </row>
    <row r="92" spans="3:25">
      <c r="D92" t="s">
        <v>88</v>
      </c>
      <c r="E92" s="74"/>
      <c r="F92" s="195">
        <f t="shared" si="7"/>
        <v>0</v>
      </c>
      <c r="H92" s="194">
        <f t="shared" si="8"/>
        <v>0</v>
      </c>
      <c r="K92" s="73">
        <f t="shared" si="9"/>
        <v>0</v>
      </c>
      <c r="N92" s="73">
        <f t="shared" si="10"/>
        <v>0</v>
      </c>
      <c r="P92" s="74">
        <f t="shared" si="11"/>
        <v>0</v>
      </c>
    </row>
    <row r="93" spans="3:25">
      <c r="D93" t="s">
        <v>89</v>
      </c>
      <c r="E93" s="74"/>
      <c r="F93" s="195">
        <f t="shared" si="7"/>
        <v>0</v>
      </c>
      <c r="H93" s="194">
        <f t="shared" si="8"/>
        <v>0</v>
      </c>
      <c r="K93" s="73">
        <f t="shared" si="9"/>
        <v>0</v>
      </c>
      <c r="N93" s="73">
        <f t="shared" si="10"/>
        <v>0</v>
      </c>
      <c r="P93" s="74">
        <f t="shared" si="11"/>
        <v>0</v>
      </c>
    </row>
    <row r="94" spans="3:25">
      <c r="C94" t="s">
        <v>90</v>
      </c>
      <c r="E94" s="74">
        <v>5139366455.1106586</v>
      </c>
      <c r="F94" s="195">
        <f t="shared" si="7"/>
        <v>0.80104786844425457</v>
      </c>
      <c r="H94" s="194">
        <f t="shared" si="8"/>
        <v>5450588566.755022</v>
      </c>
      <c r="K94" s="73">
        <f t="shared" si="9"/>
        <v>6568568325.8190699</v>
      </c>
      <c r="N94" s="73">
        <f t="shared" si="10"/>
        <v>6793756122.4429789</v>
      </c>
      <c r="P94" s="74">
        <f t="shared" si="11"/>
        <v>7278395184.6200075</v>
      </c>
    </row>
    <row r="95" spans="3:25">
      <c r="D95" t="s">
        <v>112</v>
      </c>
      <c r="E95" s="74"/>
      <c r="F95" s="195">
        <f t="shared" si="7"/>
        <v>0</v>
      </c>
      <c r="H95" s="194">
        <f t="shared" si="8"/>
        <v>0</v>
      </c>
      <c r="K95" s="73">
        <f t="shared" si="9"/>
        <v>0</v>
      </c>
      <c r="N95" s="73">
        <f t="shared" si="10"/>
        <v>0</v>
      </c>
      <c r="P95" s="74">
        <f t="shared" si="11"/>
        <v>0</v>
      </c>
    </row>
    <row r="96" spans="3:25">
      <c r="D96" t="s">
        <v>230</v>
      </c>
      <c r="E96" s="74"/>
      <c r="F96" s="195">
        <f t="shared" si="7"/>
        <v>0</v>
      </c>
      <c r="H96" s="194">
        <f t="shared" si="8"/>
        <v>0</v>
      </c>
      <c r="K96" s="73">
        <f t="shared" si="9"/>
        <v>0</v>
      </c>
      <c r="N96" s="73">
        <f t="shared" si="10"/>
        <v>0</v>
      </c>
      <c r="P96" s="74">
        <f t="shared" si="11"/>
        <v>0</v>
      </c>
    </row>
    <row r="97" spans="2:16">
      <c r="D97" t="s">
        <v>338</v>
      </c>
      <c r="E97" s="74">
        <v>300000000</v>
      </c>
      <c r="F97" s="195">
        <f t="shared" si="7"/>
        <v>4.6759530115682714E-2</v>
      </c>
      <c r="H97" s="194">
        <f t="shared" si="8"/>
        <v>318166953.90546894</v>
      </c>
      <c r="K97" s="73">
        <f t="shared" si="9"/>
        <v>383426734.59024459</v>
      </c>
      <c r="N97" s="73">
        <f t="shared" si="10"/>
        <v>396571611.41061485</v>
      </c>
      <c r="P97" s="74">
        <f t="shared" si="11"/>
        <v>424861424.93588489</v>
      </c>
    </row>
    <row r="98" spans="2:16">
      <c r="D98" t="s">
        <v>380</v>
      </c>
      <c r="E98" s="74">
        <v>0</v>
      </c>
      <c r="F98" s="195">
        <f t="shared" si="7"/>
        <v>0</v>
      </c>
      <c r="H98" s="194">
        <f t="shared" si="8"/>
        <v>0</v>
      </c>
      <c r="K98" s="73">
        <f t="shared" si="9"/>
        <v>0</v>
      </c>
      <c r="N98" s="73">
        <f t="shared" si="10"/>
        <v>0</v>
      </c>
      <c r="P98" s="74">
        <f t="shared" si="11"/>
        <v>0</v>
      </c>
    </row>
    <row r="99" spans="2:16">
      <c r="D99" t="s">
        <v>96</v>
      </c>
      <c r="E99" s="74"/>
      <c r="F99" s="195">
        <f t="shared" si="7"/>
        <v>0</v>
      </c>
      <c r="H99" s="194">
        <f t="shared" si="8"/>
        <v>0</v>
      </c>
      <c r="K99" s="73">
        <f t="shared" si="9"/>
        <v>0</v>
      </c>
      <c r="N99" s="73">
        <f t="shared" si="10"/>
        <v>0</v>
      </c>
      <c r="P99" s="74">
        <f t="shared" si="11"/>
        <v>0</v>
      </c>
    </row>
    <row r="100" spans="2:16">
      <c r="D100" t="s">
        <v>372</v>
      </c>
      <c r="E100" s="74">
        <v>250000000</v>
      </c>
      <c r="F100" s="195">
        <f t="shared" si="7"/>
        <v>3.8966275096402263E-2</v>
      </c>
      <c r="H100" s="194">
        <f t="shared" si="8"/>
        <v>265139128.25455749</v>
      </c>
      <c r="K100" s="73">
        <f t="shared" si="9"/>
        <v>319522278.82520384</v>
      </c>
      <c r="N100" s="73">
        <f t="shared" si="10"/>
        <v>330476342.84217906</v>
      </c>
    </row>
    <row r="101" spans="2:16">
      <c r="D101" t="s">
        <v>144</v>
      </c>
      <c r="E101" s="74">
        <v>120000000</v>
      </c>
      <c r="F101" s="195">
        <f t="shared" si="7"/>
        <v>1.8703812046273086E-2</v>
      </c>
      <c r="H101" s="194">
        <f t="shared" si="8"/>
        <v>127266781.5621876</v>
      </c>
      <c r="K101" s="73">
        <f t="shared" si="9"/>
        <v>153370693.83609787</v>
      </c>
      <c r="N101" s="73">
        <f t="shared" si="10"/>
        <v>158628644.56424597</v>
      </c>
    </row>
    <row r="102" spans="2:16">
      <c r="D102" t="s">
        <v>239</v>
      </c>
      <c r="E102" s="74">
        <v>1500000000</v>
      </c>
      <c r="F102" s="195">
        <f t="shared" si="7"/>
        <v>0.23379765057841356</v>
      </c>
      <c r="H102" s="194">
        <f t="shared" si="8"/>
        <v>1590834769.5273447</v>
      </c>
      <c r="K102" s="73">
        <f t="shared" si="9"/>
        <v>1917133672.9512229</v>
      </c>
      <c r="N102" s="73">
        <f t="shared" si="10"/>
        <v>1982858057.0530744</v>
      </c>
    </row>
    <row r="103" spans="2:16">
      <c r="B103" t="s">
        <v>102</v>
      </c>
      <c r="E103" s="74">
        <v>7309366455.1106586</v>
      </c>
      <c r="F103" s="195">
        <f t="shared" si="7"/>
        <v>1.1392751362810261</v>
      </c>
      <c r="H103" s="194">
        <f t="shared" si="8"/>
        <v>7751996200.0045795</v>
      </c>
      <c r="K103" s="73">
        <f t="shared" si="9"/>
        <v>9342021706.0218372</v>
      </c>
      <c r="N103" s="73">
        <f t="shared" si="10"/>
        <v>9662290778.3130913</v>
      </c>
    </row>
    <row r="104" spans="2:16">
      <c r="E104" s="74"/>
      <c r="F104" s="195">
        <f t="shared" ref="F104" si="13">+E104/$E$15</f>
        <v>0</v>
      </c>
    </row>
    <row r="105" spans="2:16">
      <c r="B105" t="s">
        <v>103</v>
      </c>
      <c r="E105" s="74">
        <v>335205365.58065414</v>
      </c>
    </row>
    <row r="109" spans="2:16">
      <c r="E109">
        <v>5139366455.1106586</v>
      </c>
    </row>
    <row r="112" spans="2:16">
      <c r="E112">
        <v>300000000</v>
      </c>
    </row>
    <row r="113" spans="5:5">
      <c r="E113">
        <v>0</v>
      </c>
    </row>
    <row r="115" spans="5:5">
      <c r="E115">
        <v>250000000</v>
      </c>
    </row>
    <row r="116" spans="5:5">
      <c r="E116">
        <v>120000000</v>
      </c>
    </row>
    <row r="117" spans="5:5">
      <c r="E117">
        <v>1500000000</v>
      </c>
    </row>
    <row r="118" spans="5:5">
      <c r="E118">
        <v>7309366455.1106586</v>
      </c>
    </row>
    <row r="120" spans="5:5">
      <c r="E120">
        <v>335205365.58065414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FF00"/>
  </sheetPr>
  <dimension ref="A1:BV855"/>
  <sheetViews>
    <sheetView workbookViewId="0">
      <pane xSplit="3" ySplit="8" topLeftCell="O9" activePane="bottomRight" state="frozen"/>
      <selection pane="topRight" activeCell="D1" sqref="D1"/>
      <selection pane="bottomLeft" activeCell="A4" sqref="A4"/>
      <selection pane="bottomRight" activeCell="C43" sqref="C43"/>
    </sheetView>
  </sheetViews>
  <sheetFormatPr defaultRowHeight="15"/>
  <cols>
    <col min="1" max="1" width="1.140625" style="135" customWidth="1"/>
    <col min="2" max="2" width="6.28515625" style="135" customWidth="1"/>
    <col min="3" max="3" width="34.42578125" style="135" customWidth="1"/>
    <col min="4" max="10" width="15.42578125" style="136" hidden="1" customWidth="1"/>
    <col min="11" max="12" width="14.140625" style="136" hidden="1" customWidth="1"/>
    <col min="13" max="13" width="13.85546875" style="136" hidden="1" customWidth="1"/>
    <col min="14" max="14" width="14" style="136" hidden="1" customWidth="1"/>
    <col min="15" max="15" width="0.42578125" style="136" hidden="1" customWidth="1"/>
    <col min="16" max="17" width="21.85546875" style="136" customWidth="1"/>
    <col min="18" max="36" width="16.28515625" style="136" customWidth="1"/>
    <col min="37" max="37" width="18" style="136" bestFit="1" customWidth="1"/>
    <col min="38" max="55" width="16.28515625" style="136" customWidth="1"/>
    <col min="56" max="56" width="16" style="125" bestFit="1" customWidth="1"/>
    <col min="57" max="58" width="15" style="125" customWidth="1"/>
    <col min="59" max="59" width="16.85546875" style="125" bestFit="1" customWidth="1"/>
    <col min="60" max="60" width="16" style="125" bestFit="1" customWidth="1"/>
    <col min="61" max="61" width="16.85546875" style="125" bestFit="1" customWidth="1"/>
    <col min="62" max="62" width="15" style="125" customWidth="1"/>
    <col min="63" max="72" width="15" style="74" customWidth="1"/>
    <col min="73" max="73" width="9.85546875" customWidth="1"/>
    <col min="74" max="74" width="12.5703125" bestFit="1" customWidth="1"/>
  </cols>
  <sheetData>
    <row r="1" spans="1:72" ht="15.75">
      <c r="A1" s="237" t="s">
        <v>537</v>
      </c>
      <c r="B1" s="364"/>
      <c r="C1" s="364"/>
      <c r="D1" s="364"/>
      <c r="E1" s="364"/>
      <c r="F1" s="364"/>
      <c r="G1" s="364"/>
      <c r="H1" s="364"/>
      <c r="I1" s="364"/>
      <c r="J1" s="128" t="s">
        <v>271</v>
      </c>
    </row>
    <row r="2" spans="1:72">
      <c r="A2" s="261" t="s">
        <v>226</v>
      </c>
      <c r="B2" s="262"/>
      <c r="C2" s="262"/>
      <c r="D2" s="315"/>
      <c r="E2" s="283"/>
      <c r="F2" s="313"/>
      <c r="G2" s="313"/>
      <c r="H2" s="313"/>
      <c r="I2" s="128"/>
      <c r="J2" s="128"/>
      <c r="BF2" s="125">
        <v>2139828425</v>
      </c>
    </row>
    <row r="3" spans="1:72">
      <c r="A3" s="261" t="s">
        <v>228</v>
      </c>
      <c r="B3" s="262"/>
      <c r="C3" s="262"/>
      <c r="D3" s="313" t="s">
        <v>277</v>
      </c>
      <c r="E3" s="313"/>
      <c r="F3" s="313"/>
      <c r="G3" s="356"/>
      <c r="H3" s="313"/>
      <c r="I3" s="128"/>
    </row>
    <row r="4" spans="1:72">
      <c r="A4" s="261"/>
      <c r="B4" s="262"/>
      <c r="C4" s="262"/>
      <c r="D4" s="313"/>
      <c r="E4" s="313"/>
      <c r="F4" s="313"/>
      <c r="G4" s="356"/>
      <c r="H4" s="313"/>
      <c r="I4" s="128"/>
    </row>
    <row r="5" spans="1:72">
      <c r="A5" s="261"/>
      <c r="B5" s="262"/>
      <c r="C5" s="262"/>
      <c r="D5" s="313"/>
      <c r="E5" s="313"/>
      <c r="F5" s="313"/>
      <c r="G5" s="356"/>
      <c r="H5" s="313"/>
      <c r="I5" s="128"/>
    </row>
    <row r="6" spans="1:72">
      <c r="A6" s="602" t="s">
        <v>1</v>
      </c>
      <c r="B6" s="603"/>
      <c r="C6" s="603"/>
      <c r="D6" s="656" t="s">
        <v>3</v>
      </c>
      <c r="E6" s="656"/>
      <c r="F6" s="656"/>
      <c r="G6" s="656"/>
      <c r="H6" s="656"/>
      <c r="I6" s="656"/>
      <c r="J6" s="656"/>
      <c r="K6" s="656"/>
      <c r="L6" s="656"/>
      <c r="M6" s="656"/>
      <c r="N6" s="656"/>
      <c r="O6" s="656"/>
      <c r="P6" s="522" t="s">
        <v>235</v>
      </c>
      <c r="Q6" s="658" t="s">
        <v>673</v>
      </c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210" t="s">
        <v>355</v>
      </c>
      <c r="AK6" s="210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</row>
    <row r="7" spans="1:72">
      <c r="A7" s="604"/>
      <c r="B7" s="605"/>
      <c r="C7" s="605"/>
      <c r="D7" s="657" t="s">
        <v>126</v>
      </c>
      <c r="E7" s="657"/>
      <c r="F7" s="657"/>
      <c r="G7" s="657"/>
      <c r="H7" s="657"/>
      <c r="I7" s="657"/>
      <c r="J7" s="657"/>
      <c r="K7" s="657"/>
      <c r="L7" s="657"/>
      <c r="M7" s="657"/>
      <c r="N7" s="657"/>
      <c r="O7" s="657"/>
      <c r="P7" s="523"/>
      <c r="Q7" s="659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210" t="s">
        <v>356</v>
      </c>
      <c r="AK7" s="210">
        <v>7000000000</v>
      </c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78"/>
      <c r="BE7" s="78"/>
      <c r="BF7" s="78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</row>
    <row r="8" spans="1:72">
      <c r="A8" s="604"/>
      <c r="B8" s="605"/>
      <c r="C8" s="605"/>
      <c r="D8" s="264" t="s">
        <v>4</v>
      </c>
      <c r="E8" s="264" t="s">
        <v>5</v>
      </c>
      <c r="F8" s="264" t="s">
        <v>6</v>
      </c>
      <c r="G8" s="264" t="s">
        <v>7</v>
      </c>
      <c r="H8" s="264" t="s">
        <v>8</v>
      </c>
      <c r="I8" s="143" t="s">
        <v>9</v>
      </c>
      <c r="J8" s="143" t="s">
        <v>127</v>
      </c>
      <c r="K8" s="143" t="s">
        <v>129</v>
      </c>
      <c r="L8" s="143" t="s">
        <v>142</v>
      </c>
      <c r="M8" s="143" t="s">
        <v>131</v>
      </c>
      <c r="N8" s="143" t="s">
        <v>132</v>
      </c>
      <c r="O8" s="143" t="s">
        <v>133</v>
      </c>
      <c r="P8" s="523"/>
      <c r="Q8" s="660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210">
        <v>2020</v>
      </c>
      <c r="AK8" s="210">
        <v>12000000000</v>
      </c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</row>
    <row r="9" spans="1:72" hidden="1">
      <c r="A9" s="503"/>
      <c r="B9" s="605" t="s">
        <v>215</v>
      </c>
      <c r="C9" s="605"/>
      <c r="D9" s="264">
        <v>-2</v>
      </c>
      <c r="E9" s="359">
        <f>E10-D10</f>
        <v>1.6200000000000045</v>
      </c>
      <c r="F9" s="359">
        <f t="shared" ref="F9" si="0">F10-E10</f>
        <v>3.8399999999999892</v>
      </c>
      <c r="G9" s="359">
        <f>G10-F10</f>
        <v>-0.45999999999999375</v>
      </c>
      <c r="H9" s="359">
        <f t="shared" ref="H9:K9" si="1">H10-G10</f>
        <v>-1</v>
      </c>
      <c r="I9" s="157">
        <f t="shared" si="1"/>
        <v>-12</v>
      </c>
      <c r="J9" s="157">
        <f t="shared" si="1"/>
        <v>0</v>
      </c>
      <c r="K9" s="157">
        <f t="shared" si="1"/>
        <v>9</v>
      </c>
      <c r="L9" s="157">
        <f>L10-K10</f>
        <v>0</v>
      </c>
      <c r="M9" s="157">
        <f t="shared" ref="M9:O9" si="2">M10-L10</f>
        <v>1</v>
      </c>
      <c r="N9" s="157">
        <f t="shared" si="2"/>
        <v>0</v>
      </c>
      <c r="O9" s="157">
        <f t="shared" si="2"/>
        <v>0</v>
      </c>
      <c r="P9" s="157"/>
      <c r="Q9" s="158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>
        <f>SUM(AK7:AK8)</f>
        <v>19000000000</v>
      </c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23"/>
      <c r="BE9" s="123"/>
      <c r="BF9" s="123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</row>
    <row r="10" spans="1:72" hidden="1">
      <c r="A10" s="606" t="s">
        <v>134</v>
      </c>
      <c r="B10" s="607"/>
      <c r="C10" s="607"/>
      <c r="D10" s="275">
        <v>84</v>
      </c>
      <c r="E10" s="275">
        <v>85.62</v>
      </c>
      <c r="F10" s="275">
        <v>89.46</v>
      </c>
      <c r="G10" s="275">
        <v>89</v>
      </c>
      <c r="H10" s="275">
        <v>88</v>
      </c>
      <c r="I10" s="142">
        <v>76</v>
      </c>
      <c r="J10" s="142">
        <v>76</v>
      </c>
      <c r="K10" s="143">
        <v>85</v>
      </c>
      <c r="L10" s="143">
        <v>85</v>
      </c>
      <c r="M10" s="143">
        <v>86</v>
      </c>
      <c r="N10" s="143">
        <v>86</v>
      </c>
      <c r="O10" s="143">
        <f>N10</f>
        <v>86</v>
      </c>
      <c r="P10" s="143">
        <f>SUM(D10:O10)/12</f>
        <v>84.673333333333332</v>
      </c>
      <c r="Q10" s="145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80"/>
      <c r="BE10" s="80"/>
      <c r="BF10" s="80"/>
      <c r="BG10" s="80"/>
      <c r="BH10" s="80"/>
      <c r="BI10" s="80"/>
      <c r="BJ10" s="80"/>
      <c r="BK10" s="81"/>
      <c r="BL10" s="81"/>
      <c r="BM10" s="81"/>
      <c r="BN10" s="81"/>
      <c r="BO10" s="81"/>
      <c r="BP10" s="81"/>
      <c r="BQ10" s="81"/>
      <c r="BR10" s="81"/>
      <c r="BS10" s="81"/>
      <c r="BT10" s="81"/>
    </row>
    <row r="11" spans="1:72" s="124" customFormat="1" hidden="1">
      <c r="A11" s="265" t="s">
        <v>10</v>
      </c>
      <c r="B11" s="594" t="s">
        <v>11</v>
      </c>
      <c r="C11" s="594"/>
      <c r="D11" s="264">
        <f>+'CF 2016'!O133</f>
        <v>158455851.49250126</v>
      </c>
      <c r="E11" s="264">
        <f>+D120</f>
        <v>376471444.1562233</v>
      </c>
      <c r="F11" s="264">
        <f t="shared" ref="F11:O11" si="3">+E120</f>
        <v>1185644003.1455593</v>
      </c>
      <c r="G11" s="264">
        <f t="shared" si="3"/>
        <v>1179074708.1265373</v>
      </c>
      <c r="H11" s="264">
        <f t="shared" si="3"/>
        <v>1693305898.3851328</v>
      </c>
      <c r="I11" s="143">
        <f t="shared" si="3"/>
        <v>867503155.76181984</v>
      </c>
      <c r="J11" s="143">
        <f t="shared" si="3"/>
        <v>617978948.06452751</v>
      </c>
      <c r="K11" s="143">
        <f t="shared" si="3"/>
        <v>582020378.80739307</v>
      </c>
      <c r="L11" s="143">
        <f t="shared" si="3"/>
        <v>892205148.28591442</v>
      </c>
      <c r="M11" s="143">
        <f t="shared" si="3"/>
        <v>769905229.90505123</v>
      </c>
      <c r="N11" s="143">
        <f t="shared" si="3"/>
        <v>283204545.78125477</v>
      </c>
      <c r="O11" s="143">
        <f t="shared" si="3"/>
        <v>118395310.27275848</v>
      </c>
      <c r="P11" s="143"/>
      <c r="Q11" s="145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80"/>
      <c r="BE11" s="80"/>
      <c r="BF11" s="80"/>
      <c r="BG11" s="118">
        <v>-684592114.15999985</v>
      </c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</row>
    <row r="12" spans="1:72" s="124" customFormat="1" hidden="1">
      <c r="A12" s="265"/>
      <c r="B12" s="504"/>
      <c r="C12" s="504"/>
      <c r="D12" s="264"/>
      <c r="E12" s="264"/>
      <c r="F12" s="264"/>
      <c r="G12" s="264"/>
      <c r="H12" s="264"/>
      <c r="I12" s="143"/>
      <c r="J12" s="143"/>
      <c r="K12" s="143"/>
      <c r="L12" s="143"/>
      <c r="M12" s="143"/>
      <c r="N12" s="143"/>
      <c r="O12" s="143"/>
      <c r="P12" s="143"/>
      <c r="Q12" s="145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80"/>
      <c r="BE12" s="80"/>
      <c r="BF12" s="80"/>
      <c r="BG12" s="118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</row>
    <row r="13" spans="1:72" s="124" customFormat="1" ht="15" hidden="1" customHeight="1">
      <c r="A13" s="265" t="s">
        <v>12</v>
      </c>
      <c r="B13" s="594" t="s">
        <v>159</v>
      </c>
      <c r="C13" s="594"/>
      <c r="D13" s="264"/>
      <c r="E13" s="264"/>
      <c r="F13" s="264"/>
      <c r="G13" s="264"/>
      <c r="H13" s="264"/>
      <c r="I13" s="143"/>
      <c r="J13" s="143"/>
      <c r="K13" s="143"/>
      <c r="L13" s="143"/>
      <c r="M13" s="143"/>
      <c r="N13" s="143"/>
      <c r="O13" s="143"/>
      <c r="P13" s="143"/>
      <c r="Q13" s="145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80"/>
      <c r="BE13" s="80"/>
      <c r="BF13" s="80"/>
      <c r="BG13" s="118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</row>
    <row r="14" spans="1:72" s="124" customFormat="1" ht="15" hidden="1" customHeight="1">
      <c r="A14" s="265"/>
      <c r="B14" s="587" t="s">
        <v>13</v>
      </c>
      <c r="C14" s="587"/>
      <c r="D14" s="264">
        <f>D203</f>
        <v>1173264032.2505348</v>
      </c>
      <c r="E14" s="264">
        <f t="shared" ref="E14:O15" si="4">E203</f>
        <v>1192270909.5729935</v>
      </c>
      <c r="F14" s="264">
        <f t="shared" si="4"/>
        <v>1238054112.5005963</v>
      </c>
      <c r="G14" s="264">
        <f t="shared" si="4"/>
        <v>1232359063.5830936</v>
      </c>
      <c r="H14" s="264">
        <f t="shared" si="4"/>
        <v>1220035472.9472628</v>
      </c>
      <c r="I14" s="143">
        <f t="shared" si="4"/>
        <v>1293977016.7622483</v>
      </c>
      <c r="J14" s="143">
        <f t="shared" si="4"/>
        <v>1293977016.7622483</v>
      </c>
      <c r="K14" s="143">
        <f t="shared" si="4"/>
        <v>1420139775.8965676</v>
      </c>
      <c r="L14" s="143">
        <f t="shared" si="4"/>
        <v>1420139775.8965676</v>
      </c>
      <c r="M14" s="143">
        <f t="shared" si="4"/>
        <v>1434341173.6555333</v>
      </c>
      <c r="N14" s="143">
        <f t="shared" si="4"/>
        <v>1434341173.6555333</v>
      </c>
      <c r="O14" s="143">
        <f t="shared" si="4"/>
        <v>1434341173.6555333</v>
      </c>
      <c r="P14" s="143">
        <f>SUM(D14:O14)</f>
        <v>15787240697.138712</v>
      </c>
      <c r="Q14" s="145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53"/>
      <c r="BA14" s="163"/>
      <c r="BB14" s="163"/>
      <c r="BC14" s="163"/>
      <c r="BD14" s="80">
        <f>+'CF 2016'!O14+('CF 2016'!O14*5%)</f>
        <v>1197208196.174015</v>
      </c>
      <c r="BE14" s="80"/>
      <c r="BF14" s="80"/>
      <c r="BG14" s="118">
        <v>1250000000</v>
      </c>
      <c r="BH14" s="80"/>
      <c r="BI14" s="118">
        <v>1250000000</v>
      </c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</row>
    <row r="15" spans="1:72" s="124" customFormat="1" ht="15" hidden="1" customHeight="1">
      <c r="A15" s="265"/>
      <c r="B15" s="587" t="s">
        <v>14</v>
      </c>
      <c r="C15" s="587"/>
      <c r="D15" s="264">
        <f>D204</f>
        <v>320950760.92486006</v>
      </c>
      <c r="E15" s="264">
        <f t="shared" si="4"/>
        <v>326150163.2518428</v>
      </c>
      <c r="F15" s="264">
        <f t="shared" si="4"/>
        <v>338674329.52071351</v>
      </c>
      <c r="G15" s="264">
        <f t="shared" si="4"/>
        <v>337116427.60491824</v>
      </c>
      <c r="H15" s="264">
        <f t="shared" si="4"/>
        <v>333745263.32886904</v>
      </c>
      <c r="I15" s="143">
        <f t="shared" si="4"/>
        <v>353972248.98516417</v>
      </c>
      <c r="J15" s="143">
        <f t="shared" si="4"/>
        <v>353972248.98516417</v>
      </c>
      <c r="K15" s="143">
        <f t="shared" si="4"/>
        <v>657503452.48994243</v>
      </c>
      <c r="L15" s="143">
        <f t="shared" si="4"/>
        <v>657503452.48994243</v>
      </c>
      <c r="M15" s="143">
        <f t="shared" si="4"/>
        <v>664078487.01484191</v>
      </c>
      <c r="N15" s="143">
        <f t="shared" si="4"/>
        <v>664078487.01484191</v>
      </c>
      <c r="O15" s="143">
        <f t="shared" si="4"/>
        <v>664078487.01484191</v>
      </c>
      <c r="P15" s="143">
        <f t="shared" ref="P15:P80" si="5">SUM(D15:O15)</f>
        <v>5671823808.6259432</v>
      </c>
      <c r="Q15" s="145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53">
        <f>+'[5]CF 2017'!P12</f>
        <v>14457807806.722359</v>
      </c>
      <c r="BA15" s="163"/>
      <c r="BB15" s="163"/>
      <c r="BC15" s="163"/>
      <c r="BD15" s="80">
        <f>+'CF 2016'!O15+('CF 2016'!O15*5%)</f>
        <v>327500776.45393884</v>
      </c>
      <c r="BE15" s="80"/>
      <c r="BF15" s="80"/>
      <c r="BG15" s="118">
        <v>350000000</v>
      </c>
      <c r="BH15" s="80"/>
      <c r="BI15" s="118">
        <v>350000000</v>
      </c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</row>
    <row r="16" spans="1:72" s="182" customFormat="1" ht="15" hidden="1" customHeight="1">
      <c r="A16" s="265"/>
      <c r="B16" s="587" t="s">
        <v>252</v>
      </c>
      <c r="C16" s="587"/>
      <c r="D16" s="264">
        <f>'CF 2016'!O16</f>
        <v>40000000</v>
      </c>
      <c r="E16" s="264">
        <f>10*5000000</f>
        <v>50000000</v>
      </c>
      <c r="F16" s="264">
        <f>E16</f>
        <v>50000000</v>
      </c>
      <c r="G16" s="264">
        <f t="shared" ref="G16:O16" si="6">F16</f>
        <v>50000000</v>
      </c>
      <c r="H16" s="264">
        <f t="shared" si="6"/>
        <v>50000000</v>
      </c>
      <c r="I16" s="143">
        <f>20*6500000</f>
        <v>130000000</v>
      </c>
      <c r="J16" s="143">
        <f t="shared" si="6"/>
        <v>130000000</v>
      </c>
      <c r="K16" s="143">
        <f t="shared" si="6"/>
        <v>130000000</v>
      </c>
      <c r="L16" s="143">
        <f t="shared" si="6"/>
        <v>130000000</v>
      </c>
      <c r="M16" s="143">
        <f>30*7500000</f>
        <v>225000000</v>
      </c>
      <c r="N16" s="143">
        <f t="shared" si="6"/>
        <v>225000000</v>
      </c>
      <c r="O16" s="143">
        <f t="shared" si="6"/>
        <v>225000000</v>
      </c>
      <c r="P16" s="143">
        <f t="shared" si="5"/>
        <v>1435000000</v>
      </c>
      <c r="Q16" s="145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93">
        <f>+'[5]CF 2017'!P13</f>
        <v>3807771308.1421647</v>
      </c>
      <c r="BA16" s="190"/>
      <c r="BB16" s="190"/>
      <c r="BC16" s="190"/>
      <c r="BD16" s="80"/>
      <c r="BE16" s="181"/>
      <c r="BF16" s="181"/>
      <c r="BG16" s="188"/>
      <c r="BH16" s="181"/>
      <c r="BI16" s="188"/>
      <c r="BJ16" s="181"/>
      <c r="BK16" s="181"/>
      <c r="BL16" s="181"/>
      <c r="BM16" s="181"/>
      <c r="BN16" s="181"/>
      <c r="BO16" s="181"/>
      <c r="BP16" s="181"/>
      <c r="BQ16" s="181"/>
      <c r="BR16" s="181"/>
      <c r="BS16" s="181"/>
      <c r="BT16" s="181"/>
    </row>
    <row r="17" spans="1:72" s="124" customFormat="1" ht="28.5" hidden="1" customHeight="1">
      <c r="A17" s="265"/>
      <c r="B17" s="587" t="str">
        <f>'CF 2016'!B17</f>
        <v>Penerimaan dari Pembayaran Piutang (BPJS)</v>
      </c>
      <c r="C17" s="587"/>
      <c r="D17" s="264">
        <f>'CF 2016'!N211</f>
        <v>2352225720.5612855</v>
      </c>
      <c r="E17" s="264">
        <f>'CF 2016'!O211</f>
        <v>2352225720.5612855</v>
      </c>
      <c r="F17" s="264">
        <f>D206</f>
        <v>2396475511.344121</v>
      </c>
      <c r="G17" s="264">
        <f t="shared" ref="G17:H17" si="7">E206</f>
        <v>2435298414.6278958</v>
      </c>
      <c r="H17" s="264">
        <f t="shared" si="7"/>
        <v>2528813873.7496066</v>
      </c>
      <c r="I17" s="143">
        <f>G206</f>
        <v>2517181329.9303584</v>
      </c>
      <c r="J17" s="143">
        <f>H206</f>
        <v>2492009516.6310549</v>
      </c>
      <c r="K17" s="143">
        <f>I206</f>
        <v>2643040396.4268765</v>
      </c>
      <c r="L17" s="143">
        <f>J206</f>
        <v>2643040396.4268765</v>
      </c>
      <c r="M17" s="143">
        <f t="shared" ref="M17:N17" si="8">K206</f>
        <v>2662863199.4000783</v>
      </c>
      <c r="N17" s="143">
        <f t="shared" si="8"/>
        <v>2662863199.4000783</v>
      </c>
      <c r="O17" s="143">
        <f>M206</f>
        <v>2689491831.3940792</v>
      </c>
      <c r="P17" s="143">
        <f t="shared" si="5"/>
        <v>30375529110.453598</v>
      </c>
      <c r="Q17" s="145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53"/>
      <c r="BA17" s="163"/>
      <c r="BB17" s="163"/>
      <c r="BC17" s="163"/>
      <c r="BD17" s="80">
        <f>+'CF 2016'!O17+('CF 2016'!O17*5%)</f>
        <v>2445383174.84094</v>
      </c>
      <c r="BE17" s="80"/>
      <c r="BF17" s="80"/>
      <c r="BG17" s="118"/>
      <c r="BH17" s="80"/>
      <c r="BI17" s="118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</row>
    <row r="18" spans="1:72" s="124" customFormat="1" ht="28.5" hidden="1" customHeight="1">
      <c r="A18" s="265"/>
      <c r="B18" s="587" t="str">
        <f>'CF 2016'!B18</f>
        <v>Penerimaan dari Pembayaran Piutang (Asuransi)</v>
      </c>
      <c r="C18" s="587"/>
      <c r="D18" s="264">
        <f>'CF 2016'!O212</f>
        <v>347391996.62678683</v>
      </c>
      <c r="E18" s="264">
        <f>D207</f>
        <v>357466364.52896369</v>
      </c>
      <c r="F18" s="264">
        <f>E207</f>
        <v>363257319.6343329</v>
      </c>
      <c r="G18" s="264">
        <f t="shared" ref="G18:H18" si="9">F207</f>
        <v>377206400.70829123</v>
      </c>
      <c r="H18" s="264">
        <f t="shared" si="9"/>
        <v>375471251.26503313</v>
      </c>
      <c r="I18" s="143">
        <f>H207</f>
        <v>371716538.75238281</v>
      </c>
      <c r="J18" s="143">
        <f>I207</f>
        <v>394244813.8282848</v>
      </c>
      <c r="K18" s="143">
        <f>J207</f>
        <v>394244813.8282848</v>
      </c>
      <c r="L18" s="143">
        <f>K207</f>
        <v>397201649.93199694</v>
      </c>
      <c r="M18" s="143">
        <f t="shared" ref="M18:N18" si="10">L207</f>
        <v>397201649.93199694</v>
      </c>
      <c r="N18" s="143">
        <f t="shared" si="10"/>
        <v>401173666.43131691</v>
      </c>
      <c r="O18" s="143">
        <f>N207</f>
        <v>401173666.43131691</v>
      </c>
      <c r="P18" s="143">
        <f t="shared" si="5"/>
        <v>4577750131.8989878</v>
      </c>
      <c r="Q18" s="145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53">
        <f>+'[5]CF 2017'!P15</f>
        <v>26151432617.744949</v>
      </c>
      <c r="BA18" s="163"/>
      <c r="BB18" s="163"/>
      <c r="BC18" s="163"/>
      <c r="BD18" s="80">
        <f>+'CF 2016'!O18+('CF 2016'!O18*5%)</f>
        <v>364761596.45812619</v>
      </c>
      <c r="BE18" s="80"/>
      <c r="BF18" s="80"/>
      <c r="BG18" s="118">
        <v>2450000000</v>
      </c>
      <c r="BH18" s="80"/>
      <c r="BI18" s="118">
        <v>2450000000</v>
      </c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</row>
    <row r="19" spans="1:72" s="124" customFormat="1" ht="15.75" hidden="1" customHeight="1">
      <c r="A19" s="265"/>
      <c r="B19" s="502" t="s">
        <v>15</v>
      </c>
      <c r="C19" s="502"/>
      <c r="D19" s="264">
        <v>0</v>
      </c>
      <c r="E19" s="264">
        <v>0</v>
      </c>
      <c r="F19" s="264">
        <v>0</v>
      </c>
      <c r="G19" s="264">
        <v>0</v>
      </c>
      <c r="H19" s="264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f t="shared" si="5"/>
        <v>0</v>
      </c>
      <c r="Q19" s="145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53">
        <f>+'[5]CF 2017'!P16</f>
        <v>4189051802.4953437</v>
      </c>
      <c r="BA19" s="163"/>
      <c r="BB19" s="163"/>
      <c r="BC19" s="163"/>
      <c r="BD19" s="80"/>
      <c r="BE19" s="80"/>
      <c r="BF19" s="80"/>
      <c r="BG19" s="118"/>
      <c r="BH19" s="80"/>
      <c r="BI19" s="118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</row>
    <row r="20" spans="1:72" s="124" customFormat="1" ht="31.5" hidden="1" customHeight="1">
      <c r="A20" s="265"/>
      <c r="B20" s="587" t="s">
        <v>218</v>
      </c>
      <c r="C20" s="587"/>
      <c r="D20" s="264">
        <v>0</v>
      </c>
      <c r="E20" s="264">
        <v>0</v>
      </c>
      <c r="F20" s="264">
        <v>0</v>
      </c>
      <c r="G20" s="264">
        <v>0</v>
      </c>
      <c r="H20" s="264">
        <v>0</v>
      </c>
      <c r="I20" s="143">
        <v>0</v>
      </c>
      <c r="J20" s="143">
        <v>0</v>
      </c>
      <c r="K20" s="143">
        <v>0</v>
      </c>
      <c r="L20" s="143">
        <v>0</v>
      </c>
      <c r="M20" s="143">
        <v>0</v>
      </c>
      <c r="N20" s="143">
        <v>0</v>
      </c>
      <c r="O20" s="143">
        <v>0</v>
      </c>
      <c r="P20" s="143">
        <f t="shared" si="5"/>
        <v>0</v>
      </c>
      <c r="Q20" s="145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53">
        <f>+'[5]CF 2017'!P17</f>
        <v>0</v>
      </c>
      <c r="BA20" s="163"/>
      <c r="BB20" s="163"/>
      <c r="BC20" s="163"/>
      <c r="BD20" s="80"/>
      <c r="BE20" s="80"/>
      <c r="BF20" s="80"/>
      <c r="BG20" s="118"/>
      <c r="BH20" s="80"/>
      <c r="BI20" s="118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</row>
    <row r="21" spans="1:72" s="124" customFormat="1" ht="15" hidden="1" customHeight="1">
      <c r="A21" s="265"/>
      <c r="B21" s="587" t="s">
        <v>16</v>
      </c>
      <c r="C21" s="587"/>
      <c r="D21" s="264">
        <v>0</v>
      </c>
      <c r="E21" s="264">
        <v>0</v>
      </c>
      <c r="F21" s="264">
        <v>0</v>
      </c>
      <c r="G21" s="264">
        <v>0</v>
      </c>
      <c r="H21" s="264">
        <v>0</v>
      </c>
      <c r="I21" s="143">
        <v>0</v>
      </c>
      <c r="J21" s="143">
        <v>0</v>
      </c>
      <c r="K21" s="143">
        <v>0</v>
      </c>
      <c r="L21" s="143">
        <v>0</v>
      </c>
      <c r="M21" s="143">
        <v>0</v>
      </c>
      <c r="N21" s="143">
        <v>0</v>
      </c>
      <c r="O21" s="143">
        <v>0</v>
      </c>
      <c r="P21" s="143">
        <f t="shared" si="5"/>
        <v>0</v>
      </c>
      <c r="Q21" s="145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53">
        <f>+'[5]CF 2017'!P18</f>
        <v>0</v>
      </c>
      <c r="BA21" s="163"/>
      <c r="BB21" s="163"/>
      <c r="BC21" s="163"/>
      <c r="BD21" s="80"/>
      <c r="BE21" s="80"/>
      <c r="BF21" s="80"/>
      <c r="BG21" s="118"/>
      <c r="BH21" s="80"/>
      <c r="BI21" s="118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</row>
    <row r="22" spans="1:72" s="124" customFormat="1" ht="15" hidden="1" customHeight="1">
      <c r="A22" s="265"/>
      <c r="B22" s="587" t="s">
        <v>17</v>
      </c>
      <c r="C22" s="587"/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143">
        <v>0</v>
      </c>
      <c r="J22" s="143">
        <v>0</v>
      </c>
      <c r="K22" s="143">
        <v>0</v>
      </c>
      <c r="L22" s="143">
        <v>0</v>
      </c>
      <c r="M22" s="143">
        <v>0</v>
      </c>
      <c r="N22" s="143">
        <v>0</v>
      </c>
      <c r="O22" s="143">
        <v>0</v>
      </c>
      <c r="P22" s="143">
        <f t="shared" si="5"/>
        <v>0</v>
      </c>
      <c r="Q22" s="145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53">
        <f>+'[5]CF 2017'!P19</f>
        <v>0</v>
      </c>
      <c r="BA22" s="163"/>
      <c r="BB22" s="163"/>
      <c r="BC22" s="163"/>
      <c r="BD22" s="80"/>
      <c r="BE22" s="80"/>
      <c r="BF22" s="80"/>
      <c r="BG22" s="118"/>
      <c r="BH22" s="80"/>
      <c r="BI22" s="118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</row>
    <row r="23" spans="1:72" s="124" customFormat="1" ht="15" hidden="1" customHeight="1">
      <c r="A23" s="265"/>
      <c r="B23" s="587" t="s">
        <v>18</v>
      </c>
      <c r="C23" s="587"/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143">
        <v>0</v>
      </c>
      <c r="J23" s="143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  <c r="P23" s="143">
        <f t="shared" si="5"/>
        <v>0</v>
      </c>
      <c r="Q23" s="145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53">
        <f>+'[5]CF 2017'!P20</f>
        <v>0</v>
      </c>
      <c r="BA23" s="163"/>
      <c r="BB23" s="163"/>
      <c r="BC23" s="163"/>
      <c r="BD23" s="80"/>
      <c r="BE23" s="80"/>
      <c r="BF23" s="80"/>
      <c r="BG23" s="118"/>
      <c r="BH23" s="80"/>
      <c r="BI23" s="118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</row>
    <row r="24" spans="1:72" s="124" customFormat="1" ht="15" hidden="1" customHeight="1">
      <c r="A24" s="265"/>
      <c r="B24" s="587" t="str">
        <f>+'CF 2016'!B19:C19</f>
        <v>Penerimaan Pinjaman Dari Pihak Ke 3</v>
      </c>
      <c r="C24" s="587"/>
      <c r="D24" s="264">
        <v>1500000000</v>
      </c>
      <c r="E24" s="264">
        <f>+D24</f>
        <v>1500000000</v>
      </c>
      <c r="F24" s="264">
        <v>1000000000</v>
      </c>
      <c r="G24" s="264">
        <v>1500000000</v>
      </c>
      <c r="H24" s="264"/>
      <c r="I24" s="143"/>
      <c r="J24" s="143">
        <v>1000000000</v>
      </c>
      <c r="K24" s="143">
        <v>2000000000</v>
      </c>
      <c r="L24" s="143">
        <v>1500000000</v>
      </c>
      <c r="M24" s="143">
        <v>1000000000</v>
      </c>
      <c r="N24" s="143">
        <v>1500000000</v>
      </c>
      <c r="O24" s="143">
        <v>1500000000</v>
      </c>
      <c r="P24" s="143">
        <f>SUM(D24:O24)</f>
        <v>14000000000</v>
      </c>
      <c r="Q24" s="145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>
        <f>+P24+'CF 2016'!P19+'CF 2018'!P20-'CF 2018'!I20</f>
        <v>28000000000</v>
      </c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53">
        <f>+'[5]CF 2017'!P21</f>
        <v>0</v>
      </c>
      <c r="BA24" s="163"/>
      <c r="BB24" s="163"/>
      <c r="BC24" s="163"/>
      <c r="BD24" s="80"/>
      <c r="BE24" s="80">
        <v>25000000000</v>
      </c>
      <c r="BF24" s="80"/>
      <c r="BG24" s="118"/>
      <c r="BH24" s="80"/>
      <c r="BI24" s="118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</row>
    <row r="25" spans="1:72" s="124" customFormat="1" ht="15" hidden="1" customHeight="1">
      <c r="A25" s="265"/>
      <c r="B25" s="587" t="s">
        <v>219</v>
      </c>
      <c r="C25" s="587"/>
      <c r="D25" s="264">
        <f>'CF 2016'!O25+('CF 2016'!O25*'CF 2016'!O9)</f>
        <v>262168301.30025598</v>
      </c>
      <c r="E25" s="264">
        <f>D25+(D25*D9%)</f>
        <v>256924935.27425086</v>
      </c>
      <c r="F25" s="264">
        <f t="shared" ref="F25:O25" si="11">E25+(E25*E9%)</f>
        <v>261087119.22569373</v>
      </c>
      <c r="G25" s="264">
        <f t="shared" si="11"/>
        <v>271112864.60396034</v>
      </c>
      <c r="H25" s="264">
        <f t="shared" si="11"/>
        <v>269865745.42678213</v>
      </c>
      <c r="I25" s="143">
        <f>H25+(H25*H9%)</f>
        <v>267167087.9725143</v>
      </c>
      <c r="J25" s="143">
        <f t="shared" si="11"/>
        <v>235107037.41581258</v>
      </c>
      <c r="K25" s="143">
        <f t="shared" si="11"/>
        <v>235107037.41581258</v>
      </c>
      <c r="L25" s="143">
        <f t="shared" si="11"/>
        <v>256266670.78323573</v>
      </c>
      <c r="M25" s="143">
        <f>L25+(L25*L9%)</f>
        <v>256266670.78323573</v>
      </c>
      <c r="N25" s="143">
        <f t="shared" si="11"/>
        <v>258829337.49106809</v>
      </c>
      <c r="O25" s="143">
        <f t="shared" si="11"/>
        <v>258829337.49106809</v>
      </c>
      <c r="P25" s="143">
        <f t="shared" si="5"/>
        <v>3088732145.1836896</v>
      </c>
      <c r="Q25" s="145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53">
        <f>+'[5]CF 2017'!P22</f>
        <v>3076896600.0209379</v>
      </c>
      <c r="BA25" s="163"/>
      <c r="BB25" s="163"/>
      <c r="BC25" s="163"/>
      <c r="BD25" s="80"/>
      <c r="BE25" s="80"/>
      <c r="BF25" s="80"/>
      <c r="BG25" s="118">
        <v>280000000</v>
      </c>
      <c r="BH25" s="80"/>
      <c r="BI25" s="118">
        <v>280000000</v>
      </c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</row>
    <row r="26" spans="1:72" s="124" customFormat="1" ht="15" hidden="1" customHeight="1">
      <c r="A26" s="265"/>
      <c r="B26" s="587" t="s">
        <v>220</v>
      </c>
      <c r="C26" s="587"/>
      <c r="D26" s="264">
        <v>0</v>
      </c>
      <c r="E26" s="264">
        <f t="shared" ref="E26" si="12">D26+(D26*E20%)</f>
        <v>0</v>
      </c>
      <c r="F26" s="264">
        <f t="shared" ref="F26:G26" si="13">E26+(E26*$E$9%)</f>
        <v>0</v>
      </c>
      <c r="G26" s="264">
        <f t="shared" si="13"/>
        <v>0</v>
      </c>
      <c r="H26" s="264"/>
      <c r="I26" s="143"/>
      <c r="J26" s="143"/>
      <c r="K26" s="143"/>
      <c r="L26" s="143"/>
      <c r="M26" s="143"/>
      <c r="N26" s="143"/>
      <c r="O26" s="143"/>
      <c r="P26" s="143">
        <f t="shared" si="5"/>
        <v>0</v>
      </c>
      <c r="Q26" s="145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53">
        <f>+'[5]CF 2017'!P23</f>
        <v>0</v>
      </c>
      <c r="BA26" s="163"/>
      <c r="BB26" s="163"/>
      <c r="BC26" s="163"/>
      <c r="BD26" s="80"/>
      <c r="BE26" s="80"/>
      <c r="BF26" s="80"/>
      <c r="BG26" s="118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</row>
    <row r="27" spans="1:72" s="124" customFormat="1" ht="15" hidden="1" customHeight="1">
      <c r="A27" s="265"/>
      <c r="B27" s="594" t="s">
        <v>216</v>
      </c>
      <c r="C27" s="594"/>
      <c r="D27" s="267">
        <f>SUM(D14:D26)</f>
        <v>5996000811.663722</v>
      </c>
      <c r="E27" s="267">
        <f t="shared" ref="E27:O27" si="14">SUM(E14:E26)</f>
        <v>6035038093.1893358</v>
      </c>
      <c r="F27" s="267">
        <f t="shared" si="14"/>
        <v>5647548392.2254572</v>
      </c>
      <c r="G27" s="267">
        <f t="shared" si="14"/>
        <v>6203093171.1281586</v>
      </c>
      <c r="H27" s="267">
        <f t="shared" si="14"/>
        <v>4777931606.7175541</v>
      </c>
      <c r="I27" s="147">
        <f t="shared" si="14"/>
        <v>4934014222.402668</v>
      </c>
      <c r="J27" s="147">
        <f t="shared" si="14"/>
        <v>5899310633.6225653</v>
      </c>
      <c r="K27" s="147">
        <f t="shared" si="14"/>
        <v>7480035476.0574846</v>
      </c>
      <c r="L27" s="147">
        <f t="shared" si="14"/>
        <v>7004151945.5286198</v>
      </c>
      <c r="M27" s="147">
        <f t="shared" si="14"/>
        <v>6639751180.7856865</v>
      </c>
      <c r="N27" s="147">
        <f t="shared" si="14"/>
        <v>7146285863.9928389</v>
      </c>
      <c r="O27" s="147">
        <f t="shared" si="14"/>
        <v>7172914495.9868402</v>
      </c>
      <c r="P27" s="147">
        <f t="shared" si="5"/>
        <v>74936075893.300919</v>
      </c>
      <c r="Q27" s="149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>
        <f>SUM(AZ15:AZ26)</f>
        <v>51682960135.125755</v>
      </c>
      <c r="BA27" s="153">
        <f>+AZ27-P27</f>
        <v>-23253115758.175163</v>
      </c>
      <c r="BB27" s="153"/>
      <c r="BC27" s="153"/>
      <c r="BD27" s="82">
        <f>+P27-P24</f>
        <v>60936075893.300919</v>
      </c>
      <c r="BE27" s="82"/>
      <c r="BF27" s="82"/>
      <c r="BG27" s="119">
        <v>4330000000</v>
      </c>
      <c r="BH27" s="82">
        <f>SUM(D27:O27)</f>
        <v>74936075893.300919</v>
      </c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</row>
    <row r="28" spans="1:72" s="124" customFormat="1" hidden="1">
      <c r="A28" s="265"/>
      <c r="B28" s="505"/>
      <c r="C28" s="505"/>
      <c r="D28" s="267"/>
      <c r="E28" s="267"/>
      <c r="F28" s="267"/>
      <c r="G28" s="267"/>
      <c r="H28" s="267"/>
      <c r="I28" s="147"/>
      <c r="J28" s="147"/>
      <c r="K28" s="147"/>
      <c r="L28" s="147"/>
      <c r="M28" s="147"/>
      <c r="N28" s="147"/>
      <c r="O28" s="147"/>
      <c r="P28" s="147">
        <f t="shared" si="5"/>
        <v>0</v>
      </c>
      <c r="Q28" s="149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82"/>
      <c r="BE28" s="82"/>
      <c r="BF28" s="82"/>
      <c r="BG28" s="119"/>
      <c r="BH28" s="82">
        <v>53079394528.563904</v>
      </c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</row>
    <row r="29" spans="1:72" s="124" customFormat="1" ht="28.5" hidden="1" customHeight="1">
      <c r="A29" s="265" t="s">
        <v>19</v>
      </c>
      <c r="B29" s="594" t="s">
        <v>217</v>
      </c>
      <c r="C29" s="594"/>
      <c r="D29" s="267">
        <f>+D27+D11</f>
        <v>6154456663.1562233</v>
      </c>
      <c r="E29" s="267">
        <f t="shared" ref="E29:O29" si="15">+E27+E11</f>
        <v>6411509537.3455591</v>
      </c>
      <c r="F29" s="267">
        <f t="shared" si="15"/>
        <v>6833192395.3710165</v>
      </c>
      <c r="G29" s="267">
        <f t="shared" si="15"/>
        <v>7382167879.2546959</v>
      </c>
      <c r="H29" s="267">
        <f t="shared" si="15"/>
        <v>6471237505.1026869</v>
      </c>
      <c r="I29" s="147">
        <f t="shared" si="15"/>
        <v>5801517378.1644878</v>
      </c>
      <c r="J29" s="147">
        <f t="shared" si="15"/>
        <v>6517289581.6870928</v>
      </c>
      <c r="K29" s="147">
        <f t="shared" si="15"/>
        <v>8062055854.8648777</v>
      </c>
      <c r="L29" s="147">
        <f t="shared" si="15"/>
        <v>7896357093.8145342</v>
      </c>
      <c r="M29" s="147">
        <f t="shared" si="15"/>
        <v>7409656410.6907377</v>
      </c>
      <c r="N29" s="147">
        <f t="shared" si="15"/>
        <v>7429490409.7740936</v>
      </c>
      <c r="O29" s="147">
        <f t="shared" si="15"/>
        <v>7291309806.2595987</v>
      </c>
      <c r="P29" s="147">
        <f>P27+D11</f>
        <v>75094531744.793427</v>
      </c>
      <c r="Q29" s="149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82"/>
      <c r="BE29" s="82"/>
      <c r="BF29" s="82"/>
      <c r="BG29" s="119">
        <v>3645407885.8400002</v>
      </c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</row>
    <row r="30" spans="1:72" s="124" customFormat="1">
      <c r="A30" s="265"/>
      <c r="B30" s="504"/>
      <c r="C30" s="505"/>
      <c r="D30" s="264"/>
      <c r="E30" s="264"/>
      <c r="F30" s="264"/>
      <c r="G30" s="264"/>
      <c r="H30" s="264"/>
      <c r="I30" s="143"/>
      <c r="J30" s="143"/>
      <c r="K30" s="143"/>
      <c r="L30" s="143"/>
      <c r="M30" s="143"/>
      <c r="N30" s="143"/>
      <c r="O30" s="143"/>
      <c r="P30" s="143">
        <f t="shared" si="5"/>
        <v>0</v>
      </c>
      <c r="Q30" s="145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80"/>
      <c r="BE30" s="80"/>
      <c r="BF30" s="80"/>
      <c r="BG30" s="118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</row>
    <row r="31" spans="1:72" s="124" customFormat="1">
      <c r="A31" s="265"/>
      <c r="B31" s="594" t="s">
        <v>20</v>
      </c>
      <c r="C31" s="594"/>
      <c r="D31" s="594"/>
      <c r="E31" s="264"/>
      <c r="F31" s="264"/>
      <c r="G31" s="264"/>
      <c r="H31" s="264"/>
      <c r="I31" s="143"/>
      <c r="J31" s="143"/>
      <c r="K31" s="143"/>
      <c r="L31" s="143"/>
      <c r="M31" s="143"/>
      <c r="N31" s="143"/>
      <c r="O31" s="143"/>
      <c r="P31" s="143">
        <f t="shared" si="5"/>
        <v>0</v>
      </c>
      <c r="Q31" s="145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80"/>
      <c r="BE31" s="80"/>
      <c r="BF31" s="80"/>
      <c r="BG31" s="118"/>
      <c r="BH31" s="80">
        <f>+BH28-BH27</f>
        <v>-21856681364.737015</v>
      </c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</row>
    <row r="32" spans="1:72" s="124" customFormat="1">
      <c r="A32" s="265"/>
      <c r="B32" s="269" t="s">
        <v>21</v>
      </c>
      <c r="C32" s="270"/>
      <c r="D32" s="264"/>
      <c r="E32" s="264"/>
      <c r="F32" s="264"/>
      <c r="G32" s="264"/>
      <c r="H32" s="264"/>
      <c r="I32" s="143"/>
      <c r="J32" s="143"/>
      <c r="K32" s="143"/>
      <c r="L32" s="143"/>
      <c r="M32" s="143"/>
      <c r="N32" s="143"/>
      <c r="O32" s="143"/>
      <c r="P32" s="143">
        <f t="shared" si="5"/>
        <v>0</v>
      </c>
      <c r="Q32" s="145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80"/>
      <c r="BE32" s="80"/>
      <c r="BF32" s="80"/>
      <c r="BG32" s="118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</row>
    <row r="33" spans="1:74" s="124" customFormat="1">
      <c r="A33" s="265"/>
      <c r="B33" s="269"/>
      <c r="C33" s="270"/>
      <c r="D33" s="264"/>
      <c r="E33" s="264"/>
      <c r="F33" s="264"/>
      <c r="G33" s="264"/>
      <c r="H33" s="264"/>
      <c r="I33" s="143"/>
      <c r="J33" s="143"/>
      <c r="K33" s="143"/>
      <c r="L33" s="143"/>
      <c r="M33" s="143"/>
      <c r="N33" s="143"/>
      <c r="O33" s="143"/>
      <c r="P33" s="143">
        <f t="shared" si="5"/>
        <v>0</v>
      </c>
      <c r="Q33" s="145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80"/>
      <c r="BE33" s="80"/>
      <c r="BF33" s="80"/>
      <c r="BG33" s="118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</row>
    <row r="34" spans="1:74" s="124" customFormat="1">
      <c r="A34" s="265"/>
      <c r="B34" s="270">
        <v>6400</v>
      </c>
      <c r="C34" s="270" t="s">
        <v>22</v>
      </c>
      <c r="D34" s="264">
        <f>'CF 2016'!O34+('CF 2016'!O34*7.5%)</f>
        <v>677250000</v>
      </c>
      <c r="E34" s="264">
        <f>D34</f>
        <v>677250000</v>
      </c>
      <c r="F34" s="264">
        <f>E34</f>
        <v>677250000</v>
      </c>
      <c r="G34" s="264">
        <f>F34</f>
        <v>677250000</v>
      </c>
      <c r="H34" s="264">
        <f>G34</f>
        <v>677250000</v>
      </c>
      <c r="I34" s="143">
        <f t="shared" ref="I34:O34" si="16">H34</f>
        <v>677250000</v>
      </c>
      <c r="J34" s="143">
        <f t="shared" si="16"/>
        <v>677250000</v>
      </c>
      <c r="K34" s="143">
        <f t="shared" si="16"/>
        <v>677250000</v>
      </c>
      <c r="L34" s="143">
        <f t="shared" si="16"/>
        <v>677250000</v>
      </c>
      <c r="M34" s="143">
        <f t="shared" si="16"/>
        <v>677250000</v>
      </c>
      <c r="N34" s="143">
        <f t="shared" si="16"/>
        <v>677250000</v>
      </c>
      <c r="O34" s="143">
        <f t="shared" si="16"/>
        <v>677250000</v>
      </c>
      <c r="P34" s="143">
        <f t="shared" si="5"/>
        <v>8127000000</v>
      </c>
      <c r="Q34" s="145" t="s">
        <v>674</v>
      </c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80"/>
      <c r="BE34" s="80"/>
      <c r="BF34" s="80"/>
      <c r="BG34" s="118">
        <v>630000000</v>
      </c>
      <c r="BH34" s="80">
        <v>630000000</v>
      </c>
      <c r="BI34" s="80">
        <f t="shared" ref="BI34:BI97" si="17">+D34</f>
        <v>677250000</v>
      </c>
      <c r="BJ34" s="80">
        <f t="shared" ref="BJ34:BJ97" si="18">+BH34/BI34</f>
        <v>0.93023255813953487</v>
      </c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V34" s="129">
        <v>500</v>
      </c>
    </row>
    <row r="35" spans="1:74" s="124" customFormat="1">
      <c r="A35" s="265"/>
      <c r="B35" s="270">
        <v>6401</v>
      </c>
      <c r="C35" s="270" t="s">
        <v>23</v>
      </c>
      <c r="D35" s="264">
        <f>'CF 2016'!O35*1.05</f>
        <v>5775000</v>
      </c>
      <c r="E35" s="264">
        <f>D35+(D35*$E$9%)</f>
        <v>5868555</v>
      </c>
      <c r="F35" s="264">
        <f>E35+(E35*$F$9%)</f>
        <v>6093907.5119999992</v>
      </c>
      <c r="G35" s="264">
        <f>F35+(F35*$G$9%)</f>
        <v>6065875.5374447992</v>
      </c>
      <c r="H35" s="264">
        <f>G35+(G35*$H$9%)</f>
        <v>6005216.7820703508</v>
      </c>
      <c r="I35" s="143">
        <f>H35+(H35*$I$9%)</f>
        <v>5284590.7682219092</v>
      </c>
      <c r="J35" s="143">
        <f>I35+(I35*$J$9%)</f>
        <v>5284590.7682219092</v>
      </c>
      <c r="K35" s="143">
        <f t="shared" ref="K35:K97" si="19">J35+(J35*$K$9%)</f>
        <v>5760203.9373618811</v>
      </c>
      <c r="L35" s="143">
        <f>K35+(K35*$I$9%)</f>
        <v>5068979.4648784557</v>
      </c>
      <c r="M35" s="143">
        <f>L35+(L35*$J$9%)</f>
        <v>5068979.4648784557</v>
      </c>
      <c r="N35" s="143">
        <f t="shared" ref="N35:N97" si="20">M35+(M35*$K$9%)</f>
        <v>5525187.6167175164</v>
      </c>
      <c r="O35" s="143">
        <f>N35+(N35*$O$9%)</f>
        <v>5525187.6167175164</v>
      </c>
      <c r="P35" s="143">
        <f t="shared" si="5"/>
        <v>67326274.468512788</v>
      </c>
      <c r="Q35" s="145" t="s">
        <v>674</v>
      </c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80"/>
      <c r="BE35" s="80"/>
      <c r="BF35" s="80"/>
      <c r="BG35" s="118">
        <v>5500000</v>
      </c>
      <c r="BH35" s="80">
        <v>5500000</v>
      </c>
      <c r="BI35" s="80">
        <f t="shared" si="17"/>
        <v>5775000</v>
      </c>
      <c r="BJ35" s="80">
        <f t="shared" si="18"/>
        <v>0.95238095238095233</v>
      </c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V35" s="129">
        <v>5.5</v>
      </c>
    </row>
    <row r="36" spans="1:74" s="124" customFormat="1">
      <c r="A36" s="265"/>
      <c r="B36" s="270">
        <v>6402</v>
      </c>
      <c r="C36" s="270" t="s">
        <v>24</v>
      </c>
      <c r="D36" s="264">
        <f>'CF 2016'!O36*1.05</f>
        <v>2100000</v>
      </c>
      <c r="E36" s="264">
        <f>D36+(D36*$E$9%)</f>
        <v>2134020</v>
      </c>
      <c r="F36" s="264">
        <f t="shared" ref="F36:F99" si="21">E36+(E36*$F$9%)</f>
        <v>2215966.3679999998</v>
      </c>
      <c r="G36" s="264">
        <f t="shared" ref="G36:G99" si="22">F36+(F36*$G$9%)</f>
        <v>2205772.9227072001</v>
      </c>
      <c r="H36" s="264">
        <f t="shared" ref="H36:H99" si="23">G36+(G36*$H$9%)</f>
        <v>2183715.193480128</v>
      </c>
      <c r="I36" s="143">
        <f>H36+(H36*$I$9%)</f>
        <v>1921669.3702625127</v>
      </c>
      <c r="J36" s="143">
        <f>69456766.5*1.1</f>
        <v>76402443.150000006</v>
      </c>
      <c r="K36" s="143">
        <f>I36+(I36*$K$9%)</f>
        <v>2094619.6135861389</v>
      </c>
      <c r="L36" s="143">
        <f t="shared" ref="L36:L99" si="24">K36+(K36*$I$9%)</f>
        <v>1843265.2599558022</v>
      </c>
      <c r="M36" s="143">
        <f>L36+(L36*$J$9%)</f>
        <v>1843265.2599558022</v>
      </c>
      <c r="N36" s="143">
        <f t="shared" si="20"/>
        <v>2009159.1333518245</v>
      </c>
      <c r="O36" s="143">
        <f t="shared" ref="O36:O99" si="25">N36+(N36*$O$9%)</f>
        <v>2009159.1333518245</v>
      </c>
      <c r="P36" s="143">
        <f t="shared" si="5"/>
        <v>98963055.40465124</v>
      </c>
      <c r="Q36" s="145" t="s">
        <v>674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80"/>
      <c r="BE36" s="80"/>
      <c r="BF36" s="80"/>
      <c r="BG36" s="118">
        <v>2000000</v>
      </c>
      <c r="BH36" s="80">
        <v>2000000</v>
      </c>
      <c r="BI36" s="80">
        <f t="shared" si="17"/>
        <v>2100000</v>
      </c>
      <c r="BJ36" s="80">
        <f t="shared" si="18"/>
        <v>0.95238095238095233</v>
      </c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V36" s="129">
        <v>29.582894249999995</v>
      </c>
    </row>
    <row r="37" spans="1:74" s="124" customFormat="1">
      <c r="A37" s="265"/>
      <c r="B37" s="270">
        <v>6403</v>
      </c>
      <c r="C37" s="270" t="s">
        <v>25</v>
      </c>
      <c r="D37" s="264">
        <f>'CF 2016'!O37*1.05</f>
        <v>0</v>
      </c>
      <c r="E37" s="264">
        <f t="shared" ref="E37:E100" si="26">D37+(D37*$E$9%)</f>
        <v>0</v>
      </c>
      <c r="F37" s="264">
        <f t="shared" si="21"/>
        <v>0</v>
      </c>
      <c r="G37" s="264">
        <f t="shared" si="22"/>
        <v>0</v>
      </c>
      <c r="H37" s="264">
        <f t="shared" si="23"/>
        <v>0</v>
      </c>
      <c r="I37" s="143">
        <f t="shared" ref="I37:I100" si="27">H37+(H37*$I$9%)</f>
        <v>0</v>
      </c>
      <c r="J37" s="143">
        <f>J34</f>
        <v>677250000</v>
      </c>
      <c r="K37" s="143"/>
      <c r="L37" s="143"/>
      <c r="M37" s="143">
        <f t="shared" ref="M37:M100" si="28">L37+(L37*$J$9%)</f>
        <v>0</v>
      </c>
      <c r="N37" s="143"/>
      <c r="O37" s="143"/>
      <c r="P37" s="143">
        <f t="shared" si="5"/>
        <v>677250000</v>
      </c>
      <c r="Q37" s="145" t="s">
        <v>674</v>
      </c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80"/>
      <c r="BE37" s="80"/>
      <c r="BF37" s="80"/>
      <c r="BG37" s="118">
        <v>0</v>
      </c>
      <c r="BH37" s="80">
        <v>0</v>
      </c>
      <c r="BI37" s="80">
        <f t="shared" si="17"/>
        <v>0</v>
      </c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V37" s="129"/>
    </row>
    <row r="38" spans="1:74" s="124" customFormat="1">
      <c r="A38" s="265"/>
      <c r="B38" s="270">
        <v>6404</v>
      </c>
      <c r="C38" s="270" t="s">
        <v>26</v>
      </c>
      <c r="D38" s="264">
        <f>'CF 2016'!O38*1.05</f>
        <v>0</v>
      </c>
      <c r="E38" s="264">
        <f t="shared" si="26"/>
        <v>0</v>
      </c>
      <c r="F38" s="264">
        <f t="shared" si="21"/>
        <v>0</v>
      </c>
      <c r="G38" s="264">
        <f t="shared" si="22"/>
        <v>0</v>
      </c>
      <c r="H38" s="264">
        <f t="shared" si="23"/>
        <v>0</v>
      </c>
      <c r="I38" s="143">
        <f t="shared" si="27"/>
        <v>0</v>
      </c>
      <c r="J38" s="143">
        <f t="shared" ref="J38:J101" si="29">I38+(I38*$J$9%)</f>
        <v>0</v>
      </c>
      <c r="K38" s="143">
        <f t="shared" si="19"/>
        <v>0</v>
      </c>
      <c r="L38" s="143">
        <f t="shared" si="24"/>
        <v>0</v>
      </c>
      <c r="M38" s="143">
        <f t="shared" si="28"/>
        <v>0</v>
      </c>
      <c r="N38" s="143">
        <f t="shared" si="20"/>
        <v>0</v>
      </c>
      <c r="O38" s="143">
        <f t="shared" si="25"/>
        <v>0</v>
      </c>
      <c r="P38" s="143">
        <f t="shared" si="5"/>
        <v>0</v>
      </c>
      <c r="Q38" s="145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80"/>
      <c r="BE38" s="80"/>
      <c r="BF38" s="80"/>
      <c r="BG38" s="118"/>
      <c r="BH38" s="80"/>
      <c r="BI38" s="80">
        <f t="shared" si="17"/>
        <v>0</v>
      </c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V38" s="129">
        <v>120</v>
      </c>
    </row>
    <row r="39" spans="1:74" s="124" customFormat="1">
      <c r="A39" s="265"/>
      <c r="B39" s="270">
        <v>6405</v>
      </c>
      <c r="C39" s="270" t="s">
        <v>27</v>
      </c>
      <c r="D39" s="264">
        <f>'CF 2016'!O39*1.05</f>
        <v>367500</v>
      </c>
      <c r="E39" s="264">
        <f t="shared" si="26"/>
        <v>373453.5</v>
      </c>
      <c r="F39" s="264">
        <f t="shared" si="21"/>
        <v>387794.11439999996</v>
      </c>
      <c r="G39" s="264">
        <f t="shared" si="22"/>
        <v>386010.26147376001</v>
      </c>
      <c r="H39" s="264">
        <f t="shared" si="23"/>
        <v>382150.15885902243</v>
      </c>
      <c r="I39" s="143">
        <f t="shared" si="27"/>
        <v>336292.13979593973</v>
      </c>
      <c r="J39" s="143">
        <f t="shared" si="29"/>
        <v>336292.13979593973</v>
      </c>
      <c r="K39" s="143">
        <f t="shared" si="19"/>
        <v>366558.43237757433</v>
      </c>
      <c r="L39" s="143">
        <f t="shared" si="24"/>
        <v>322571.42049226543</v>
      </c>
      <c r="M39" s="143">
        <f t="shared" si="28"/>
        <v>322571.42049226543</v>
      </c>
      <c r="N39" s="143">
        <f t="shared" si="20"/>
        <v>351602.84833656932</v>
      </c>
      <c r="O39" s="143">
        <f t="shared" si="25"/>
        <v>351602.84833656932</v>
      </c>
      <c r="P39" s="143">
        <f t="shared" si="5"/>
        <v>4284399.2843599059</v>
      </c>
      <c r="Q39" s="145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80"/>
      <c r="BE39" s="80"/>
      <c r="BF39" s="80"/>
      <c r="BG39" s="118">
        <v>250000</v>
      </c>
      <c r="BH39" s="80">
        <v>350000</v>
      </c>
      <c r="BI39" s="80">
        <f t="shared" si="17"/>
        <v>367500</v>
      </c>
      <c r="BJ39" s="80">
        <f t="shared" si="18"/>
        <v>0.95238095238095233</v>
      </c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V39" s="129">
        <v>0.25</v>
      </c>
    </row>
    <row r="40" spans="1:74" s="124" customFormat="1">
      <c r="A40" s="265"/>
      <c r="B40" s="270">
        <v>6406</v>
      </c>
      <c r="C40" s="270" t="s">
        <v>28</v>
      </c>
      <c r="D40" s="264">
        <f>'CF 2016'!O40*1.05</f>
        <v>0</v>
      </c>
      <c r="E40" s="264">
        <f t="shared" si="26"/>
        <v>0</v>
      </c>
      <c r="F40" s="264">
        <f t="shared" si="21"/>
        <v>0</v>
      </c>
      <c r="G40" s="264">
        <f t="shared" si="22"/>
        <v>0</v>
      </c>
      <c r="H40" s="264">
        <f t="shared" si="23"/>
        <v>0</v>
      </c>
      <c r="I40" s="143">
        <f t="shared" si="27"/>
        <v>0</v>
      </c>
      <c r="J40" s="143">
        <f t="shared" si="29"/>
        <v>0</v>
      </c>
      <c r="K40" s="143">
        <f t="shared" si="19"/>
        <v>0</v>
      </c>
      <c r="L40" s="143">
        <f t="shared" si="24"/>
        <v>0</v>
      </c>
      <c r="M40" s="143">
        <f t="shared" si="28"/>
        <v>0</v>
      </c>
      <c r="N40" s="143">
        <f t="shared" si="20"/>
        <v>0</v>
      </c>
      <c r="O40" s="143">
        <f t="shared" si="25"/>
        <v>0</v>
      </c>
      <c r="P40" s="143">
        <f t="shared" si="5"/>
        <v>0</v>
      </c>
      <c r="Q40" s="145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80"/>
      <c r="BE40" s="80"/>
      <c r="BF40" s="80"/>
      <c r="BG40" s="118">
        <v>0</v>
      </c>
      <c r="BH40" s="80">
        <v>0</v>
      </c>
      <c r="BI40" s="80">
        <f t="shared" si="17"/>
        <v>0</v>
      </c>
      <c r="BJ40" s="80" t="e">
        <f t="shared" si="18"/>
        <v>#DIV/0!</v>
      </c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V40" s="129"/>
    </row>
    <row r="41" spans="1:74" s="124" customFormat="1">
      <c r="A41" s="265"/>
      <c r="B41" s="270">
        <v>6407</v>
      </c>
      <c r="C41" s="270" t="s">
        <v>29</v>
      </c>
      <c r="D41" s="264">
        <f>'CF 2016'!O41*1.05</f>
        <v>1050000</v>
      </c>
      <c r="E41" s="264">
        <f t="shared" si="26"/>
        <v>1067010</v>
      </c>
      <c r="F41" s="264">
        <f t="shared" si="21"/>
        <v>1107983.1839999999</v>
      </c>
      <c r="G41" s="264">
        <f t="shared" si="22"/>
        <v>1102886.4613536</v>
      </c>
      <c r="H41" s="264">
        <f t="shared" si="23"/>
        <v>1091857.596740064</v>
      </c>
      <c r="I41" s="143">
        <f t="shared" si="27"/>
        <v>960834.68513125635</v>
      </c>
      <c r="J41" s="143">
        <f t="shared" si="29"/>
        <v>960834.68513125635</v>
      </c>
      <c r="K41" s="143">
        <f t="shared" si="19"/>
        <v>1047309.8067930695</v>
      </c>
      <c r="L41" s="143">
        <f t="shared" si="24"/>
        <v>921632.62997790112</v>
      </c>
      <c r="M41" s="143">
        <f t="shared" si="28"/>
        <v>921632.62997790112</v>
      </c>
      <c r="N41" s="143">
        <f t="shared" si="20"/>
        <v>1004579.5666759122</v>
      </c>
      <c r="O41" s="143">
        <f t="shared" si="25"/>
        <v>1004579.5666759122</v>
      </c>
      <c r="P41" s="143">
        <f t="shared" si="5"/>
        <v>12241140.812456872</v>
      </c>
      <c r="Q41" s="145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80"/>
      <c r="BE41" s="80"/>
      <c r="BF41" s="80"/>
      <c r="BG41" s="118">
        <v>1000000</v>
      </c>
      <c r="BH41" s="80">
        <v>1000000</v>
      </c>
      <c r="BI41" s="80">
        <f t="shared" si="17"/>
        <v>1050000</v>
      </c>
      <c r="BJ41" s="80">
        <f t="shared" si="18"/>
        <v>0.95238095238095233</v>
      </c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V41" s="129">
        <v>1</v>
      </c>
    </row>
    <row r="42" spans="1:74" s="182" customFormat="1" ht="30">
      <c r="A42" s="265"/>
      <c r="B42" s="270">
        <v>6408</v>
      </c>
      <c r="C42" s="272" t="s">
        <v>711</v>
      </c>
      <c r="D42" s="264">
        <f>'CF 2016'!O42*1.05</f>
        <v>17850000</v>
      </c>
      <c r="E42" s="264">
        <f t="shared" si="26"/>
        <v>18139170</v>
      </c>
      <c r="F42" s="264">
        <f t="shared" si="21"/>
        <v>18835714.127999999</v>
      </c>
      <c r="G42" s="264">
        <f t="shared" si="22"/>
        <v>18749069.8430112</v>
      </c>
      <c r="H42" s="264">
        <f t="shared" si="23"/>
        <v>18561579.144581087</v>
      </c>
      <c r="I42" s="143">
        <f t="shared" si="27"/>
        <v>16334189.647231357</v>
      </c>
      <c r="J42" s="143">
        <f t="shared" si="29"/>
        <v>16334189.647231357</v>
      </c>
      <c r="K42" s="143">
        <f t="shared" si="19"/>
        <v>17804266.715482179</v>
      </c>
      <c r="L42" s="143">
        <f t="shared" si="24"/>
        <v>15667754.709624317</v>
      </c>
      <c r="M42" s="143">
        <f t="shared" si="28"/>
        <v>15667754.709624317</v>
      </c>
      <c r="N42" s="143">
        <f t="shared" si="20"/>
        <v>17077852.633490507</v>
      </c>
      <c r="O42" s="143">
        <f t="shared" si="25"/>
        <v>17077852.633490507</v>
      </c>
      <c r="P42" s="143">
        <f t="shared" si="5"/>
        <v>208099393.8117668</v>
      </c>
      <c r="Q42" s="507" t="s">
        <v>675</v>
      </c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81"/>
      <c r="BE42" s="181"/>
      <c r="BF42" s="181"/>
      <c r="BG42" s="188">
        <v>17000000</v>
      </c>
      <c r="BH42" s="181">
        <v>17000000</v>
      </c>
      <c r="BI42" s="181">
        <f t="shared" si="17"/>
        <v>17850000</v>
      </c>
      <c r="BJ42" s="181">
        <f t="shared" si="18"/>
        <v>0.95238095238095233</v>
      </c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V42" s="183">
        <v>17</v>
      </c>
    </row>
    <row r="43" spans="1:74" s="124" customFormat="1">
      <c r="A43" s="265"/>
      <c r="B43" s="270">
        <v>6409</v>
      </c>
      <c r="C43" s="270" t="s">
        <v>31</v>
      </c>
      <c r="D43" s="264">
        <f>'CF 2016'!O43*1.05</f>
        <v>525000</v>
      </c>
      <c r="E43" s="264">
        <f t="shared" si="26"/>
        <v>533505</v>
      </c>
      <c r="F43" s="264">
        <f t="shared" si="21"/>
        <v>553991.59199999995</v>
      </c>
      <c r="G43" s="264">
        <f t="shared" si="22"/>
        <v>551443.23067680001</v>
      </c>
      <c r="H43" s="264">
        <f t="shared" si="23"/>
        <v>545928.79837003199</v>
      </c>
      <c r="I43" s="143">
        <f t="shared" si="27"/>
        <v>480417.34256562818</v>
      </c>
      <c r="J43" s="143">
        <f t="shared" si="29"/>
        <v>480417.34256562818</v>
      </c>
      <c r="K43" s="143">
        <f t="shared" si="19"/>
        <v>523654.90339653473</v>
      </c>
      <c r="L43" s="143">
        <f t="shared" si="24"/>
        <v>460816.31498895056</v>
      </c>
      <c r="M43" s="143">
        <f t="shared" si="28"/>
        <v>460816.31498895056</v>
      </c>
      <c r="N43" s="143">
        <f t="shared" si="20"/>
        <v>502289.78333795612</v>
      </c>
      <c r="O43" s="143">
        <f t="shared" si="25"/>
        <v>502289.78333795612</v>
      </c>
      <c r="P43" s="143">
        <f t="shared" si="5"/>
        <v>6120570.4062284362</v>
      </c>
      <c r="Q43" s="145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80"/>
      <c r="BE43" s="80"/>
      <c r="BF43" s="80"/>
      <c r="BG43" s="118">
        <v>500000</v>
      </c>
      <c r="BH43" s="80">
        <v>500000</v>
      </c>
      <c r="BI43" s="80">
        <f t="shared" si="17"/>
        <v>525000</v>
      </c>
      <c r="BJ43" s="80">
        <f t="shared" si="18"/>
        <v>0.95238095238095233</v>
      </c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V43" s="129">
        <v>0.5</v>
      </c>
    </row>
    <row r="44" spans="1:74" s="124" customFormat="1">
      <c r="A44" s="265"/>
      <c r="B44" s="270">
        <v>6410</v>
      </c>
      <c r="C44" s="270" t="s">
        <v>32</v>
      </c>
      <c r="D44" s="264">
        <f>'CF 2016'!O44*1.05</f>
        <v>52500000</v>
      </c>
      <c r="E44" s="264">
        <f t="shared" si="26"/>
        <v>53350500</v>
      </c>
      <c r="F44" s="264">
        <f t="shared" si="21"/>
        <v>55399159.199999996</v>
      </c>
      <c r="G44" s="264">
        <f t="shared" si="22"/>
        <v>55144323.067680001</v>
      </c>
      <c r="H44" s="264">
        <f t="shared" si="23"/>
        <v>54592879.837003201</v>
      </c>
      <c r="I44" s="143">
        <f t="shared" si="27"/>
        <v>48041734.256562814</v>
      </c>
      <c r="J44" s="143">
        <f t="shared" si="29"/>
        <v>48041734.256562814</v>
      </c>
      <c r="K44" s="143">
        <f t="shared" si="19"/>
        <v>52365490.33965347</v>
      </c>
      <c r="L44" s="143">
        <f t="shared" si="24"/>
        <v>46081631.498895057</v>
      </c>
      <c r="M44" s="143">
        <f t="shared" si="28"/>
        <v>46081631.498895057</v>
      </c>
      <c r="N44" s="143">
        <f t="shared" si="20"/>
        <v>50228978.333795615</v>
      </c>
      <c r="O44" s="143">
        <f t="shared" si="25"/>
        <v>50228978.333795615</v>
      </c>
      <c r="P44" s="143">
        <f t="shared" si="5"/>
        <v>612057040.62284374</v>
      </c>
      <c r="Q44" s="145" t="s">
        <v>687</v>
      </c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80"/>
      <c r="BE44" s="80"/>
      <c r="BF44" s="80"/>
      <c r="BG44" s="118">
        <v>50000000</v>
      </c>
      <c r="BH44" s="80">
        <v>50000000</v>
      </c>
      <c r="BI44" s="80">
        <f t="shared" si="17"/>
        <v>52500000</v>
      </c>
      <c r="BJ44" s="80">
        <f t="shared" si="18"/>
        <v>0.95238095238095233</v>
      </c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V44" s="129">
        <v>24.756499999999999</v>
      </c>
    </row>
    <row r="45" spans="1:74" s="124" customFormat="1">
      <c r="A45" s="265"/>
      <c r="B45" s="270">
        <v>6411</v>
      </c>
      <c r="C45" s="270" t="s">
        <v>33</v>
      </c>
      <c r="D45" s="264">
        <f>'CF 2016'!O45*1.05</f>
        <v>1575000</v>
      </c>
      <c r="E45" s="264">
        <f t="shared" si="26"/>
        <v>1600515</v>
      </c>
      <c r="F45" s="264">
        <f t="shared" si="21"/>
        <v>1661974.7759999998</v>
      </c>
      <c r="G45" s="264">
        <f t="shared" si="22"/>
        <v>1654329.6920304</v>
      </c>
      <c r="H45" s="264">
        <f t="shared" si="23"/>
        <v>1637786.3951100961</v>
      </c>
      <c r="I45" s="143">
        <f t="shared" si="27"/>
        <v>1441252.0276968845</v>
      </c>
      <c r="J45" s="143">
        <f t="shared" si="29"/>
        <v>1441252.0276968845</v>
      </c>
      <c r="K45" s="143">
        <f t="shared" si="19"/>
        <v>1570964.710189604</v>
      </c>
      <c r="L45" s="143">
        <f t="shared" si="24"/>
        <v>1382448.9449668515</v>
      </c>
      <c r="M45" s="143">
        <f t="shared" si="28"/>
        <v>1382448.9449668515</v>
      </c>
      <c r="N45" s="143">
        <f t="shared" si="20"/>
        <v>1506869.3500138682</v>
      </c>
      <c r="O45" s="143">
        <f t="shared" si="25"/>
        <v>1506869.3500138682</v>
      </c>
      <c r="P45" s="143">
        <f t="shared" si="5"/>
        <v>18361711.218685307</v>
      </c>
      <c r="Q45" s="145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80"/>
      <c r="BE45" s="80"/>
      <c r="BF45" s="80"/>
      <c r="BG45" s="118">
        <v>1500000</v>
      </c>
      <c r="BH45" s="80">
        <v>1500000</v>
      </c>
      <c r="BI45" s="80">
        <f t="shared" si="17"/>
        <v>1575000</v>
      </c>
      <c r="BJ45" s="80">
        <f t="shared" si="18"/>
        <v>0.95238095238095233</v>
      </c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V45" s="129">
        <v>1.5</v>
      </c>
    </row>
    <row r="46" spans="1:74" s="124" customFormat="1">
      <c r="A46" s="265"/>
      <c r="B46" s="270">
        <v>6412</v>
      </c>
      <c r="C46" s="270" t="s">
        <v>34</v>
      </c>
      <c r="D46" s="264">
        <f>'CF 2016'!O46*1.05</f>
        <v>63000000</v>
      </c>
      <c r="E46" s="264">
        <f t="shared" si="26"/>
        <v>64020600</v>
      </c>
      <c r="F46" s="264">
        <f t="shared" si="21"/>
        <v>66478991.039999992</v>
      </c>
      <c r="G46" s="264">
        <f t="shared" si="22"/>
        <v>66173187.681215994</v>
      </c>
      <c r="H46" s="264">
        <f t="shared" si="23"/>
        <v>65511455.804403834</v>
      </c>
      <c r="I46" s="143">
        <f t="shared" si="27"/>
        <v>57650081.107875377</v>
      </c>
      <c r="J46" s="143">
        <f t="shared" si="29"/>
        <v>57650081.107875377</v>
      </c>
      <c r="K46" s="143">
        <f t="shared" si="19"/>
        <v>62838588.407584161</v>
      </c>
      <c r="L46" s="143">
        <f t="shared" si="24"/>
        <v>55297957.798674062</v>
      </c>
      <c r="M46" s="143">
        <f t="shared" si="28"/>
        <v>55297957.798674062</v>
      </c>
      <c r="N46" s="143">
        <f t="shared" si="20"/>
        <v>60274774.000554726</v>
      </c>
      <c r="O46" s="143">
        <f t="shared" si="25"/>
        <v>60274774.000554726</v>
      </c>
      <c r="P46" s="143">
        <f t="shared" si="5"/>
        <v>734468448.74741232</v>
      </c>
      <c r="Q46" s="145" t="s">
        <v>676</v>
      </c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80"/>
      <c r="BE46" s="80"/>
      <c r="BF46" s="80"/>
      <c r="BG46" s="118">
        <v>60000000</v>
      </c>
      <c r="BH46" s="80">
        <v>60000000</v>
      </c>
      <c r="BI46" s="80">
        <f t="shared" si="17"/>
        <v>63000000</v>
      </c>
      <c r="BJ46" s="80">
        <f t="shared" si="18"/>
        <v>0.95238095238095233</v>
      </c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V46" s="129">
        <v>60</v>
      </c>
    </row>
    <row r="47" spans="1:74" s="124" customFormat="1">
      <c r="A47" s="265"/>
      <c r="B47" s="270">
        <v>6413</v>
      </c>
      <c r="C47" s="270" t="s">
        <v>35</v>
      </c>
      <c r="D47" s="264">
        <f>'CF 2016'!O47*1.07</f>
        <v>12840000</v>
      </c>
      <c r="E47" s="264">
        <f t="shared" si="26"/>
        <v>13048008</v>
      </c>
      <c r="F47" s="264">
        <f t="shared" si="21"/>
        <v>13549051.507199999</v>
      </c>
      <c r="G47" s="264">
        <f t="shared" si="22"/>
        <v>13486725.870266879</v>
      </c>
      <c r="H47" s="264">
        <f t="shared" si="23"/>
        <v>13351858.61156421</v>
      </c>
      <c r="I47" s="143">
        <f t="shared" si="27"/>
        <v>11749635.578176504</v>
      </c>
      <c r="J47" s="143">
        <f t="shared" si="29"/>
        <v>11749635.578176504</v>
      </c>
      <c r="K47" s="143">
        <f t="shared" si="19"/>
        <v>12807102.780212389</v>
      </c>
      <c r="L47" s="143">
        <f t="shared" si="24"/>
        <v>11270250.446586903</v>
      </c>
      <c r="M47" s="143">
        <f t="shared" si="28"/>
        <v>11270250.446586903</v>
      </c>
      <c r="N47" s="143">
        <f t="shared" si="20"/>
        <v>12284572.986779725</v>
      </c>
      <c r="O47" s="143">
        <f t="shared" si="25"/>
        <v>12284572.986779725</v>
      </c>
      <c r="P47" s="143">
        <f t="shared" si="5"/>
        <v>149691664.79232973</v>
      </c>
      <c r="Q47" s="145" t="s">
        <v>676</v>
      </c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80"/>
      <c r="BE47" s="80"/>
      <c r="BF47" s="80"/>
      <c r="BG47" s="118">
        <v>8500000</v>
      </c>
      <c r="BH47" s="80">
        <v>8500000</v>
      </c>
      <c r="BI47" s="80">
        <f t="shared" si="17"/>
        <v>12840000</v>
      </c>
      <c r="BJ47" s="80">
        <f t="shared" si="18"/>
        <v>0.661993769470405</v>
      </c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V47" s="129">
        <v>8.5</v>
      </c>
    </row>
    <row r="48" spans="1:74" s="124" customFormat="1">
      <c r="A48" s="265"/>
      <c r="B48" s="270">
        <v>6414</v>
      </c>
      <c r="C48" s="270" t="s">
        <v>36</v>
      </c>
      <c r="D48" s="264">
        <f>'CF 2016'!O48*1.05</f>
        <v>0</v>
      </c>
      <c r="E48" s="264">
        <f t="shared" si="26"/>
        <v>0</v>
      </c>
      <c r="F48" s="264">
        <f t="shared" si="21"/>
        <v>0</v>
      </c>
      <c r="G48" s="264">
        <f t="shared" si="22"/>
        <v>0</v>
      </c>
      <c r="H48" s="264">
        <f t="shared" si="23"/>
        <v>0</v>
      </c>
      <c r="I48" s="143">
        <f t="shared" si="27"/>
        <v>0</v>
      </c>
      <c r="J48" s="143">
        <f t="shared" si="29"/>
        <v>0</v>
      </c>
      <c r="K48" s="143">
        <f t="shared" si="19"/>
        <v>0</v>
      </c>
      <c r="L48" s="143">
        <f t="shared" si="24"/>
        <v>0</v>
      </c>
      <c r="M48" s="143">
        <f t="shared" si="28"/>
        <v>0</v>
      </c>
      <c r="N48" s="143">
        <f t="shared" si="20"/>
        <v>0</v>
      </c>
      <c r="O48" s="143">
        <f t="shared" si="25"/>
        <v>0</v>
      </c>
      <c r="P48" s="143">
        <f t="shared" si="5"/>
        <v>0</v>
      </c>
      <c r="Q48" s="145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80"/>
      <c r="BE48" s="80"/>
      <c r="BF48" s="80"/>
      <c r="BG48" s="118">
        <v>0</v>
      </c>
      <c r="BH48" s="80">
        <v>0</v>
      </c>
      <c r="BI48" s="80">
        <f t="shared" si="17"/>
        <v>0</v>
      </c>
      <c r="BJ48" s="80" t="e">
        <f t="shared" si="18"/>
        <v>#DIV/0!</v>
      </c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V48" s="129"/>
    </row>
    <row r="49" spans="1:74" s="124" customFormat="1">
      <c r="A49" s="265"/>
      <c r="B49" s="270">
        <v>6415</v>
      </c>
      <c r="C49" s="270" t="s">
        <v>37</v>
      </c>
      <c r="D49" s="264">
        <f>'CF 2016'!O49*1.05</f>
        <v>0</v>
      </c>
      <c r="E49" s="264">
        <f t="shared" si="26"/>
        <v>0</v>
      </c>
      <c r="F49" s="264">
        <f t="shared" si="21"/>
        <v>0</v>
      </c>
      <c r="G49" s="264">
        <f t="shared" si="22"/>
        <v>0</v>
      </c>
      <c r="H49" s="264">
        <f t="shared" si="23"/>
        <v>0</v>
      </c>
      <c r="I49" s="143">
        <f t="shared" si="27"/>
        <v>0</v>
      </c>
      <c r="J49" s="143">
        <f t="shared" si="29"/>
        <v>0</v>
      </c>
      <c r="K49" s="143">
        <f t="shared" si="19"/>
        <v>0</v>
      </c>
      <c r="L49" s="143">
        <f t="shared" si="24"/>
        <v>0</v>
      </c>
      <c r="M49" s="143">
        <f t="shared" si="28"/>
        <v>0</v>
      </c>
      <c r="N49" s="143">
        <f t="shared" si="20"/>
        <v>0</v>
      </c>
      <c r="O49" s="143">
        <f t="shared" si="25"/>
        <v>0</v>
      </c>
      <c r="P49" s="143">
        <f t="shared" si="5"/>
        <v>0</v>
      </c>
      <c r="Q49" s="145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80"/>
      <c r="BE49" s="80"/>
      <c r="BF49" s="80"/>
      <c r="BG49" s="118"/>
      <c r="BH49" s="80"/>
      <c r="BI49" s="80">
        <f t="shared" si="17"/>
        <v>0</v>
      </c>
      <c r="BJ49" s="80" t="e">
        <f t="shared" si="18"/>
        <v>#DIV/0!</v>
      </c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V49" s="129">
        <v>2.5</v>
      </c>
    </row>
    <row r="50" spans="1:74" s="124" customFormat="1">
      <c r="A50" s="265"/>
      <c r="B50" s="270">
        <v>6416</v>
      </c>
      <c r="C50" s="270" t="s">
        <v>38</v>
      </c>
      <c r="D50" s="264">
        <f>'CF 2016'!O50*1.05</f>
        <v>13650000</v>
      </c>
      <c r="E50" s="264">
        <f t="shared" si="26"/>
        <v>13871130</v>
      </c>
      <c r="F50" s="264">
        <f t="shared" si="21"/>
        <v>14403781.391999999</v>
      </c>
      <c r="G50" s="264">
        <f t="shared" si="22"/>
        <v>14337523.9975968</v>
      </c>
      <c r="H50" s="264">
        <f t="shared" si="23"/>
        <v>14194148.757620832</v>
      </c>
      <c r="I50" s="143">
        <f t="shared" si="27"/>
        <v>12490850.906706333</v>
      </c>
      <c r="J50" s="143">
        <f t="shared" si="29"/>
        <v>12490850.906706333</v>
      </c>
      <c r="K50" s="143">
        <f t="shared" si="19"/>
        <v>13615027.488309903</v>
      </c>
      <c r="L50" s="143">
        <f t="shared" si="24"/>
        <v>11981224.189712714</v>
      </c>
      <c r="M50" s="143">
        <f t="shared" si="28"/>
        <v>11981224.189712714</v>
      </c>
      <c r="N50" s="143">
        <f t="shared" si="20"/>
        <v>13059534.366786858</v>
      </c>
      <c r="O50" s="143">
        <f t="shared" si="25"/>
        <v>13059534.366786858</v>
      </c>
      <c r="P50" s="143">
        <f t="shared" si="5"/>
        <v>159134830.56193936</v>
      </c>
      <c r="Q50" s="145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80"/>
      <c r="BE50" s="80"/>
      <c r="BF50" s="80"/>
      <c r="BG50" s="118">
        <v>13000000</v>
      </c>
      <c r="BH50" s="80">
        <v>13000000</v>
      </c>
      <c r="BI50" s="80">
        <f t="shared" si="17"/>
        <v>13650000</v>
      </c>
      <c r="BJ50" s="80">
        <f t="shared" si="18"/>
        <v>0.95238095238095233</v>
      </c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V50" s="129">
        <v>13</v>
      </c>
    </row>
    <row r="51" spans="1:74" s="124" customFormat="1">
      <c r="A51" s="265"/>
      <c r="B51" s="270">
        <v>6417</v>
      </c>
      <c r="C51" s="270" t="s">
        <v>39</v>
      </c>
      <c r="D51" s="264">
        <f>'CF 2016'!O51*1.05</f>
        <v>4200000</v>
      </c>
      <c r="E51" s="264">
        <f t="shared" si="26"/>
        <v>4268040</v>
      </c>
      <c r="F51" s="264">
        <f t="shared" si="21"/>
        <v>4431932.7359999996</v>
      </c>
      <c r="G51" s="264">
        <f t="shared" si="22"/>
        <v>4411545.8454144001</v>
      </c>
      <c r="H51" s="264">
        <f t="shared" si="23"/>
        <v>4367430.3869602559</v>
      </c>
      <c r="I51" s="143">
        <f t="shared" si="27"/>
        <v>3843338.7405250254</v>
      </c>
      <c r="J51" s="143">
        <f t="shared" si="29"/>
        <v>3843338.7405250254</v>
      </c>
      <c r="K51" s="143">
        <f t="shared" si="19"/>
        <v>4189239.2271722779</v>
      </c>
      <c r="L51" s="143">
        <f t="shared" si="24"/>
        <v>3686530.5199116045</v>
      </c>
      <c r="M51" s="143">
        <f t="shared" si="28"/>
        <v>3686530.5199116045</v>
      </c>
      <c r="N51" s="143">
        <f t="shared" si="20"/>
        <v>4018318.266703649</v>
      </c>
      <c r="O51" s="143">
        <f t="shared" si="25"/>
        <v>4018318.266703649</v>
      </c>
      <c r="P51" s="143">
        <f t="shared" si="5"/>
        <v>48964563.249827489</v>
      </c>
      <c r="Q51" s="145" t="s">
        <v>678</v>
      </c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80"/>
      <c r="BE51" s="80"/>
      <c r="BF51" s="80"/>
      <c r="BG51" s="118">
        <v>4000000</v>
      </c>
      <c r="BH51" s="80">
        <v>4000000</v>
      </c>
      <c r="BI51" s="80">
        <f t="shared" si="17"/>
        <v>4200000</v>
      </c>
      <c r="BJ51" s="80">
        <f t="shared" si="18"/>
        <v>0.95238095238095233</v>
      </c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V51" s="129">
        <v>4</v>
      </c>
    </row>
    <row r="52" spans="1:74" s="124" customFormat="1">
      <c r="A52" s="265"/>
      <c r="B52" s="270">
        <v>6418</v>
      </c>
      <c r="C52" s="270" t="s">
        <v>40</v>
      </c>
      <c r="D52" s="264">
        <f>'CF 2016'!O52*1.05</f>
        <v>6930000</v>
      </c>
      <c r="E52" s="264">
        <f t="shared" si="26"/>
        <v>7042266</v>
      </c>
      <c r="F52" s="264">
        <f t="shared" si="21"/>
        <v>7312689.0143999988</v>
      </c>
      <c r="G52" s="264">
        <f t="shared" si="22"/>
        <v>7279050.6449337592</v>
      </c>
      <c r="H52" s="264">
        <f t="shared" si="23"/>
        <v>7206260.1384844212</v>
      </c>
      <c r="I52" s="143">
        <f t="shared" si="27"/>
        <v>6341508.9218662903</v>
      </c>
      <c r="J52" s="143">
        <f t="shared" si="29"/>
        <v>6341508.9218662903</v>
      </c>
      <c r="K52" s="143">
        <f t="shared" si="19"/>
        <v>6912244.7248342559</v>
      </c>
      <c r="L52" s="143">
        <f t="shared" si="24"/>
        <v>6082775.3578541456</v>
      </c>
      <c r="M52" s="143">
        <f t="shared" si="28"/>
        <v>6082775.3578541456</v>
      </c>
      <c r="N52" s="143">
        <f t="shared" si="20"/>
        <v>6630225.140061019</v>
      </c>
      <c r="O52" s="143">
        <f t="shared" si="25"/>
        <v>6630225.140061019</v>
      </c>
      <c r="P52" s="143">
        <f t="shared" si="5"/>
        <v>80791529.36221534</v>
      </c>
      <c r="Q52" s="145" t="s">
        <v>674</v>
      </c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80"/>
      <c r="BE52" s="80"/>
      <c r="BF52" s="80"/>
      <c r="BG52" s="118">
        <v>6600000</v>
      </c>
      <c r="BH52" s="80">
        <v>6600000</v>
      </c>
      <c r="BI52" s="80">
        <f t="shared" si="17"/>
        <v>6930000</v>
      </c>
      <c r="BJ52" s="80">
        <f t="shared" si="18"/>
        <v>0.95238095238095233</v>
      </c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V52" s="129">
        <v>6.6</v>
      </c>
    </row>
    <row r="53" spans="1:74" s="124" customFormat="1">
      <c r="A53" s="265"/>
      <c r="B53" s="270">
        <v>6419</v>
      </c>
      <c r="C53" s="270" t="s">
        <v>41</v>
      </c>
      <c r="D53" s="264">
        <f>'CF 2016'!O53*1.05</f>
        <v>6300000</v>
      </c>
      <c r="E53" s="264">
        <f t="shared" si="26"/>
        <v>6402060</v>
      </c>
      <c r="F53" s="264">
        <f t="shared" si="21"/>
        <v>6647899.1039999994</v>
      </c>
      <c r="G53" s="264">
        <f t="shared" si="22"/>
        <v>6617318.7681216002</v>
      </c>
      <c r="H53" s="264">
        <f t="shared" si="23"/>
        <v>6551145.5804403843</v>
      </c>
      <c r="I53" s="143">
        <f t="shared" si="27"/>
        <v>5765008.1107875379</v>
      </c>
      <c r="J53" s="143">
        <f t="shared" si="29"/>
        <v>5765008.1107875379</v>
      </c>
      <c r="K53" s="143">
        <f t="shared" si="19"/>
        <v>6283858.8407584159</v>
      </c>
      <c r="L53" s="143">
        <f t="shared" si="24"/>
        <v>5529795.779867406</v>
      </c>
      <c r="M53" s="143">
        <f t="shared" si="28"/>
        <v>5529795.779867406</v>
      </c>
      <c r="N53" s="143">
        <f t="shared" si="20"/>
        <v>6027477.4000554727</v>
      </c>
      <c r="O53" s="143">
        <f t="shared" si="25"/>
        <v>6027477.4000554727</v>
      </c>
      <c r="P53" s="143">
        <f t="shared" si="5"/>
        <v>73446844.874741226</v>
      </c>
      <c r="Q53" s="145" t="s">
        <v>679</v>
      </c>
      <c r="R53" s="163"/>
      <c r="S53" s="163">
        <v>30253105.150786258</v>
      </c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80"/>
      <c r="BE53" s="80"/>
      <c r="BF53" s="80"/>
      <c r="BG53" s="118">
        <v>6000000</v>
      </c>
      <c r="BH53" s="80">
        <v>6000000</v>
      </c>
      <c r="BI53" s="80">
        <f t="shared" si="17"/>
        <v>6300000</v>
      </c>
      <c r="BJ53" s="80">
        <f t="shared" si="18"/>
        <v>0.95238095238095233</v>
      </c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V53" s="129">
        <v>6</v>
      </c>
    </row>
    <row r="54" spans="1:74" s="124" customFormat="1">
      <c r="A54" s="265"/>
      <c r="B54" s="270">
        <v>6420</v>
      </c>
      <c r="C54" s="270" t="s">
        <v>42</v>
      </c>
      <c r="D54" s="264">
        <f>'CF 2016'!O54*1.05</f>
        <v>2625000</v>
      </c>
      <c r="E54" s="264">
        <f t="shared" si="26"/>
        <v>2667525</v>
      </c>
      <c r="F54" s="264">
        <f t="shared" si="21"/>
        <v>2769957.9599999995</v>
      </c>
      <c r="G54" s="264">
        <f t="shared" si="22"/>
        <v>2757216.1533839996</v>
      </c>
      <c r="H54" s="264">
        <f t="shared" si="23"/>
        <v>2729643.9918501596</v>
      </c>
      <c r="I54" s="143">
        <f t="shared" si="27"/>
        <v>2402086.7128281407</v>
      </c>
      <c r="J54" s="143">
        <f t="shared" si="29"/>
        <v>2402086.7128281407</v>
      </c>
      <c r="K54" s="143">
        <f t="shared" si="19"/>
        <v>2618274.5169826732</v>
      </c>
      <c r="L54" s="143">
        <f t="shared" si="24"/>
        <v>2304081.5749447523</v>
      </c>
      <c r="M54" s="143">
        <f t="shared" si="28"/>
        <v>2304081.5749447523</v>
      </c>
      <c r="N54" s="143">
        <f t="shared" si="20"/>
        <v>2511448.9166897801</v>
      </c>
      <c r="O54" s="143">
        <f t="shared" si="25"/>
        <v>2511448.9166897801</v>
      </c>
      <c r="P54" s="143">
        <f t="shared" si="5"/>
        <v>30602852.031142183</v>
      </c>
      <c r="Q54" s="145"/>
      <c r="S54" s="163">
        <f>+P55-S53</f>
        <v>92303881.849213749</v>
      </c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80"/>
      <c r="BE54" s="80"/>
      <c r="BF54" s="80"/>
      <c r="BG54" s="118">
        <v>2500000</v>
      </c>
      <c r="BH54" s="80">
        <v>2500000</v>
      </c>
      <c r="BI54" s="80">
        <f t="shared" si="17"/>
        <v>2625000</v>
      </c>
      <c r="BJ54" s="80">
        <f t="shared" si="18"/>
        <v>0.95238095238095233</v>
      </c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V54" s="129">
        <v>2.5</v>
      </c>
    </row>
    <row r="55" spans="1:74" s="124" customFormat="1">
      <c r="A55" s="265"/>
      <c r="B55" s="270">
        <v>6421</v>
      </c>
      <c r="C55" s="270" t="s">
        <v>570</v>
      </c>
      <c r="D55" s="264">
        <f>+PKRS!C22</f>
        <v>2595000</v>
      </c>
      <c r="E55" s="264">
        <f>+PKRS!D22</f>
        <v>2595000</v>
      </c>
      <c r="F55" s="264">
        <f>+PKRS!E22</f>
        <v>2595000</v>
      </c>
      <c r="G55" s="264">
        <f>+PKRS!F22</f>
        <v>3695000</v>
      </c>
      <c r="H55" s="264">
        <f>+PKRS!G22</f>
        <v>3695000</v>
      </c>
      <c r="I55" s="264">
        <f>+PKRS!H22</f>
        <v>32544987</v>
      </c>
      <c r="J55" s="264">
        <f>+PKRS!I22</f>
        <v>18212000</v>
      </c>
      <c r="K55" s="264">
        <f>+PKRS!J22</f>
        <v>3695000</v>
      </c>
      <c r="L55" s="264">
        <f>+PKRS!K22</f>
        <v>3845000</v>
      </c>
      <c r="M55" s="264">
        <f>+PKRS!L22</f>
        <v>21695000</v>
      </c>
      <c r="N55" s="264">
        <f>+PKRS!M22</f>
        <v>23695000</v>
      </c>
      <c r="O55" s="264">
        <f>+PKRS!N22</f>
        <v>3695000</v>
      </c>
      <c r="P55" s="143">
        <f t="shared" si="5"/>
        <v>122556987</v>
      </c>
      <c r="Q55" s="475" t="s">
        <v>677</v>
      </c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80"/>
      <c r="BE55" s="80"/>
      <c r="BF55" s="80"/>
      <c r="BG55" s="118">
        <v>0</v>
      </c>
      <c r="BH55" s="80">
        <v>0</v>
      </c>
      <c r="BI55" s="80">
        <f t="shared" si="17"/>
        <v>2595000</v>
      </c>
      <c r="BJ55" s="80">
        <f t="shared" si="18"/>
        <v>0</v>
      </c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V55" s="129"/>
    </row>
    <row r="56" spans="1:74" s="124" customFormat="1">
      <c r="A56" s="265"/>
      <c r="B56" s="270">
        <v>6422</v>
      </c>
      <c r="C56" s="270" t="s">
        <v>44</v>
      </c>
      <c r="D56" s="264">
        <f>'CF 2016'!O56*1.05</f>
        <v>15750000</v>
      </c>
      <c r="E56" s="264">
        <f t="shared" si="26"/>
        <v>16005150</v>
      </c>
      <c r="F56" s="264">
        <f t="shared" si="21"/>
        <v>16619747.759999998</v>
      </c>
      <c r="G56" s="264">
        <f t="shared" si="22"/>
        <v>16543296.920303999</v>
      </c>
      <c r="H56" s="264">
        <f t="shared" si="23"/>
        <v>16377863.951100959</v>
      </c>
      <c r="I56" s="143">
        <f t="shared" si="27"/>
        <v>14412520.276968844</v>
      </c>
      <c r="J56" s="143">
        <f t="shared" si="29"/>
        <v>14412520.276968844</v>
      </c>
      <c r="K56" s="143">
        <f t="shared" si="19"/>
        <v>15709647.10189604</v>
      </c>
      <c r="L56" s="143">
        <f t="shared" si="24"/>
        <v>13824489.449668515</v>
      </c>
      <c r="M56" s="143">
        <f t="shared" si="28"/>
        <v>13824489.449668515</v>
      </c>
      <c r="N56" s="143">
        <f t="shared" si="20"/>
        <v>15068693.500138681</v>
      </c>
      <c r="O56" s="143">
        <f t="shared" si="25"/>
        <v>15068693.500138681</v>
      </c>
      <c r="P56" s="143">
        <f t="shared" si="5"/>
        <v>183617112.18685308</v>
      </c>
      <c r="Q56" s="145" t="s">
        <v>674</v>
      </c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80"/>
      <c r="BE56" s="80"/>
      <c r="BF56" s="80"/>
      <c r="BG56" s="118">
        <v>15000000</v>
      </c>
      <c r="BH56" s="80">
        <v>15000000</v>
      </c>
      <c r="BI56" s="80">
        <f t="shared" si="17"/>
        <v>15750000</v>
      </c>
      <c r="BJ56" s="80">
        <f t="shared" si="18"/>
        <v>0.95238095238095233</v>
      </c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V56" s="129">
        <v>11</v>
      </c>
    </row>
    <row r="57" spans="1:74" s="124" customFormat="1">
      <c r="A57" s="265"/>
      <c r="B57" s="270">
        <v>6423</v>
      </c>
      <c r="C57" s="270" t="s">
        <v>45</v>
      </c>
      <c r="D57" s="264">
        <f>'CF 2016'!O57*1.05</f>
        <v>13650000</v>
      </c>
      <c r="E57" s="264">
        <f t="shared" si="26"/>
        <v>13871130</v>
      </c>
      <c r="F57" s="264">
        <f t="shared" si="21"/>
        <v>14403781.391999999</v>
      </c>
      <c r="G57" s="264">
        <f t="shared" si="22"/>
        <v>14337523.9975968</v>
      </c>
      <c r="H57" s="264">
        <f t="shared" si="23"/>
        <v>14194148.757620832</v>
      </c>
      <c r="I57" s="143">
        <f t="shared" si="27"/>
        <v>12490850.906706333</v>
      </c>
      <c r="J57" s="143">
        <f t="shared" si="29"/>
        <v>12490850.906706333</v>
      </c>
      <c r="K57" s="143">
        <f t="shared" si="19"/>
        <v>13615027.488309903</v>
      </c>
      <c r="L57" s="143">
        <f t="shared" si="24"/>
        <v>11981224.189712714</v>
      </c>
      <c r="M57" s="143">
        <f t="shared" si="28"/>
        <v>11981224.189712714</v>
      </c>
      <c r="N57" s="143">
        <f t="shared" si="20"/>
        <v>13059534.366786858</v>
      </c>
      <c r="O57" s="143">
        <f t="shared" si="25"/>
        <v>13059534.366786858</v>
      </c>
      <c r="P57" s="143">
        <f t="shared" si="5"/>
        <v>159134830.56193936</v>
      </c>
      <c r="Q57" s="145" t="s">
        <v>674</v>
      </c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80"/>
      <c r="BE57" s="80"/>
      <c r="BF57" s="80"/>
      <c r="BG57" s="118">
        <v>13000000</v>
      </c>
      <c r="BH57" s="80">
        <v>13000000</v>
      </c>
      <c r="BI57" s="80">
        <f t="shared" si="17"/>
        <v>13650000</v>
      </c>
      <c r="BJ57" s="80">
        <f t="shared" si="18"/>
        <v>0.95238095238095233</v>
      </c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V57" s="129">
        <v>11</v>
      </c>
    </row>
    <row r="58" spans="1:74" s="124" customFormat="1">
      <c r="A58" s="265"/>
      <c r="B58" s="270">
        <v>6424</v>
      </c>
      <c r="C58" s="270" t="s">
        <v>46</v>
      </c>
      <c r="D58" s="264">
        <v>30000000</v>
      </c>
      <c r="E58" s="264">
        <f t="shared" si="26"/>
        <v>30486000</v>
      </c>
      <c r="F58" s="264">
        <f>+E58</f>
        <v>30486000</v>
      </c>
      <c r="G58" s="264">
        <f t="shared" ref="G58:O58" si="30">+F58</f>
        <v>30486000</v>
      </c>
      <c r="H58" s="264">
        <f t="shared" si="30"/>
        <v>30486000</v>
      </c>
      <c r="I58" s="143">
        <f t="shared" si="27"/>
        <v>26827680</v>
      </c>
      <c r="J58" s="143">
        <f t="shared" si="30"/>
        <v>26827680</v>
      </c>
      <c r="K58" s="143">
        <f t="shared" si="30"/>
        <v>26827680</v>
      </c>
      <c r="L58" s="143">
        <f t="shared" si="30"/>
        <v>26827680</v>
      </c>
      <c r="M58" s="143">
        <f t="shared" si="28"/>
        <v>26827680</v>
      </c>
      <c r="N58" s="143">
        <f t="shared" si="30"/>
        <v>26827680</v>
      </c>
      <c r="O58" s="143">
        <f t="shared" si="30"/>
        <v>26827680</v>
      </c>
      <c r="P58" s="143">
        <f t="shared" si="5"/>
        <v>339737760</v>
      </c>
      <c r="Q58" s="145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80"/>
      <c r="BE58" s="80"/>
      <c r="BF58" s="80"/>
      <c r="BG58" s="118">
        <v>0</v>
      </c>
      <c r="BH58" s="80">
        <v>0</v>
      </c>
      <c r="BI58" s="80">
        <f t="shared" si="17"/>
        <v>30000000</v>
      </c>
      <c r="BJ58" s="80">
        <f t="shared" si="18"/>
        <v>0</v>
      </c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V58" s="129"/>
    </row>
    <row r="59" spans="1:74" s="124" customFormat="1">
      <c r="A59" s="265"/>
      <c r="B59" s="269" t="s">
        <v>47</v>
      </c>
      <c r="C59" s="270"/>
      <c r="D59" s="264">
        <f>'CF 2016'!O59*1.05</f>
        <v>0</v>
      </c>
      <c r="E59" s="264">
        <f t="shared" si="26"/>
        <v>0</v>
      </c>
      <c r="F59" s="264">
        <f t="shared" si="21"/>
        <v>0</v>
      </c>
      <c r="G59" s="264">
        <f t="shared" si="22"/>
        <v>0</v>
      </c>
      <c r="H59" s="264">
        <f t="shared" si="23"/>
        <v>0</v>
      </c>
      <c r="I59" s="143">
        <f t="shared" si="27"/>
        <v>0</v>
      </c>
      <c r="J59" s="143">
        <f t="shared" si="29"/>
        <v>0</v>
      </c>
      <c r="K59" s="143">
        <f t="shared" si="19"/>
        <v>0</v>
      </c>
      <c r="L59" s="143">
        <f t="shared" si="24"/>
        <v>0</v>
      </c>
      <c r="M59" s="143">
        <f t="shared" si="28"/>
        <v>0</v>
      </c>
      <c r="N59" s="143">
        <f t="shared" si="20"/>
        <v>0</v>
      </c>
      <c r="O59" s="143">
        <f t="shared" si="25"/>
        <v>0</v>
      </c>
      <c r="P59" s="143">
        <f t="shared" si="5"/>
        <v>0</v>
      </c>
      <c r="Q59" s="145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80"/>
      <c r="BE59" s="80"/>
      <c r="BF59" s="80"/>
      <c r="BG59" s="118">
        <v>0</v>
      </c>
      <c r="BH59" s="80">
        <v>0</v>
      </c>
      <c r="BI59" s="80">
        <f t="shared" si="17"/>
        <v>0</v>
      </c>
      <c r="BJ59" s="80" t="e">
        <f t="shared" si="18"/>
        <v>#DIV/0!</v>
      </c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V59" s="129"/>
    </row>
    <row r="60" spans="1:74" s="182" customFormat="1">
      <c r="A60" s="265"/>
      <c r="B60" s="270">
        <v>6300</v>
      </c>
      <c r="C60" s="270" t="s">
        <v>643</v>
      </c>
      <c r="D60" s="264">
        <f>'CF 2016'!F60*1.05</f>
        <v>3990000</v>
      </c>
      <c r="E60" s="264">
        <f t="shared" si="26"/>
        <v>4054638</v>
      </c>
      <c r="F60" s="264">
        <f t="shared" si="21"/>
        <v>4210336.0991999991</v>
      </c>
      <c r="G60" s="264">
        <f t="shared" si="22"/>
        <v>4190968.5531436792</v>
      </c>
      <c r="H60" s="264">
        <f t="shared" si="23"/>
        <v>4149058.8676122422</v>
      </c>
      <c r="I60" s="143">
        <f t="shared" si="27"/>
        <v>3651171.8034987734</v>
      </c>
      <c r="J60" s="143">
        <f t="shared" si="29"/>
        <v>3651171.8034987734</v>
      </c>
      <c r="K60" s="143">
        <f t="shared" si="19"/>
        <v>3979777.2658136631</v>
      </c>
      <c r="L60" s="143">
        <f t="shared" si="24"/>
        <v>3502203.9939160235</v>
      </c>
      <c r="M60" s="143">
        <f t="shared" si="28"/>
        <v>3502203.9939160235</v>
      </c>
      <c r="N60" s="143">
        <f t="shared" si="20"/>
        <v>3817402.3533684658</v>
      </c>
      <c r="O60" s="143">
        <f t="shared" si="25"/>
        <v>3817402.3533684658</v>
      </c>
      <c r="P60" s="143">
        <f t="shared" si="5"/>
        <v>46516335.087336123</v>
      </c>
      <c r="Q60" s="145" t="s">
        <v>680</v>
      </c>
      <c r="R60" s="163"/>
      <c r="S60" s="163"/>
      <c r="T60" s="163"/>
      <c r="U60" s="163"/>
      <c r="V60" s="163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90"/>
      <c r="AW60" s="190"/>
      <c r="AX60" s="190"/>
      <c r="AY60" s="190"/>
      <c r="AZ60" s="190"/>
      <c r="BA60" s="190"/>
      <c r="BB60" s="190"/>
      <c r="BC60" s="190"/>
      <c r="BD60" s="181"/>
      <c r="BE60" s="181"/>
      <c r="BF60" s="181"/>
      <c r="BG60" s="188">
        <v>0</v>
      </c>
      <c r="BH60" s="181">
        <v>0</v>
      </c>
      <c r="BI60" s="181">
        <f t="shared" si="17"/>
        <v>3990000</v>
      </c>
      <c r="BJ60" s="181">
        <f t="shared" si="18"/>
        <v>0</v>
      </c>
      <c r="BK60" s="181"/>
      <c r="BL60" s="181"/>
      <c r="BM60" s="181"/>
      <c r="BN60" s="181"/>
      <c r="BO60" s="181"/>
      <c r="BP60" s="181"/>
      <c r="BQ60" s="181"/>
      <c r="BR60" s="181"/>
      <c r="BS60" s="181"/>
      <c r="BT60" s="181"/>
      <c r="BV60" s="183">
        <v>0</v>
      </c>
    </row>
    <row r="61" spans="1:74" s="124" customFormat="1">
      <c r="A61" s="265"/>
      <c r="B61" s="270">
        <v>6301</v>
      </c>
      <c r="C61" s="270" t="s">
        <v>49</v>
      </c>
      <c r="D61" s="264">
        <v>500000</v>
      </c>
      <c r="E61" s="264">
        <f t="shared" si="26"/>
        <v>508100</v>
      </c>
      <c r="F61" s="264">
        <f t="shared" si="21"/>
        <v>527611.03999999992</v>
      </c>
      <c r="G61" s="264">
        <f t="shared" si="22"/>
        <v>525184.029216</v>
      </c>
      <c r="H61" s="264">
        <f t="shared" si="23"/>
        <v>519932.18892384</v>
      </c>
      <c r="I61" s="143">
        <f t="shared" si="27"/>
        <v>457540.32625297923</v>
      </c>
      <c r="J61" s="143">
        <f t="shared" si="29"/>
        <v>457540.32625297923</v>
      </c>
      <c r="K61" s="143">
        <f t="shared" si="19"/>
        <v>498718.95561574737</v>
      </c>
      <c r="L61" s="143">
        <f t="shared" si="24"/>
        <v>438872.68094185769</v>
      </c>
      <c r="M61" s="143">
        <f t="shared" si="28"/>
        <v>438872.68094185769</v>
      </c>
      <c r="N61" s="143">
        <f t="shared" si="20"/>
        <v>478371.2222266249</v>
      </c>
      <c r="O61" s="143">
        <f t="shared" si="25"/>
        <v>478371.2222266249</v>
      </c>
      <c r="P61" s="143">
        <f t="shared" si="5"/>
        <v>5829114.672598511</v>
      </c>
      <c r="Q61" s="145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80"/>
      <c r="BE61" s="80"/>
      <c r="BF61" s="80"/>
      <c r="BG61" s="118">
        <v>0</v>
      </c>
      <c r="BH61" s="80">
        <v>0</v>
      </c>
      <c r="BI61" s="80">
        <f t="shared" si="17"/>
        <v>500000</v>
      </c>
      <c r="BJ61" s="80">
        <f t="shared" si="18"/>
        <v>0</v>
      </c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V61" s="129"/>
    </row>
    <row r="62" spans="1:74" s="182" customFormat="1">
      <c r="A62" s="265"/>
      <c r="B62" s="270">
        <v>6302</v>
      </c>
      <c r="C62" s="270" t="s">
        <v>642</v>
      </c>
      <c r="D62" s="264">
        <f>'CF 2016'!O62*1.05</f>
        <v>42000000</v>
      </c>
      <c r="E62" s="264">
        <f t="shared" si="26"/>
        <v>42680400</v>
      </c>
      <c r="F62" s="264">
        <f t="shared" si="21"/>
        <v>44319327.359999992</v>
      </c>
      <c r="G62" s="264">
        <f t="shared" si="22"/>
        <v>44115458.454143994</v>
      </c>
      <c r="H62" s="264">
        <f t="shared" si="23"/>
        <v>43674303.869602554</v>
      </c>
      <c r="I62" s="143">
        <f t="shared" si="27"/>
        <v>38433387.405250251</v>
      </c>
      <c r="J62" s="143">
        <f t="shared" si="29"/>
        <v>38433387.405250251</v>
      </c>
      <c r="K62" s="143">
        <f t="shared" si="19"/>
        <v>41892392.271722771</v>
      </c>
      <c r="L62" s="143">
        <f t="shared" si="24"/>
        <v>36865305.199116036</v>
      </c>
      <c r="M62" s="143">
        <f t="shared" si="28"/>
        <v>36865305.199116036</v>
      </c>
      <c r="N62" s="143">
        <f t="shared" si="20"/>
        <v>40183182.667036481</v>
      </c>
      <c r="O62" s="143">
        <f t="shared" si="25"/>
        <v>40183182.667036481</v>
      </c>
      <c r="P62" s="143">
        <f t="shared" si="5"/>
        <v>489645632.49827492</v>
      </c>
      <c r="Q62" s="145" t="s">
        <v>680</v>
      </c>
      <c r="R62" s="163"/>
      <c r="S62" s="163"/>
      <c r="T62" s="163"/>
      <c r="U62" s="163"/>
      <c r="V62" s="163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0"/>
      <c r="BA62" s="190"/>
      <c r="BB62" s="190"/>
      <c r="BC62" s="190"/>
      <c r="BD62" s="181"/>
      <c r="BE62" s="181"/>
      <c r="BF62" s="181"/>
      <c r="BG62" s="188">
        <v>40000000</v>
      </c>
      <c r="BH62" s="181">
        <v>40000000</v>
      </c>
      <c r="BI62" s="181">
        <f t="shared" si="17"/>
        <v>42000000</v>
      </c>
      <c r="BJ62" s="181">
        <f t="shared" si="18"/>
        <v>0.95238095238095233</v>
      </c>
      <c r="BK62" s="181"/>
      <c r="BL62" s="181"/>
      <c r="BM62" s="181"/>
      <c r="BN62" s="181"/>
      <c r="BO62" s="181"/>
      <c r="BP62" s="181"/>
      <c r="BQ62" s="181"/>
      <c r="BR62" s="181"/>
      <c r="BS62" s="181"/>
      <c r="BT62" s="181"/>
      <c r="BV62" s="183">
        <v>17.661297916666669</v>
      </c>
    </row>
    <row r="63" spans="1:74" s="124" customFormat="1">
      <c r="A63" s="265"/>
      <c r="B63" s="270">
        <v>6303</v>
      </c>
      <c r="C63" s="270" t="s">
        <v>51</v>
      </c>
      <c r="D63" s="264">
        <f>'CF 2016'!O63*1.05</f>
        <v>5250000</v>
      </c>
      <c r="E63" s="264">
        <f t="shared" si="26"/>
        <v>5335050</v>
      </c>
      <c r="F63" s="264">
        <f t="shared" si="21"/>
        <v>5539915.919999999</v>
      </c>
      <c r="G63" s="264">
        <f t="shared" si="22"/>
        <v>5514432.3067679992</v>
      </c>
      <c r="H63" s="264">
        <f t="shared" si="23"/>
        <v>5459287.9837003192</v>
      </c>
      <c r="I63" s="143">
        <f t="shared" si="27"/>
        <v>4804173.4256562814</v>
      </c>
      <c r="J63" s="143">
        <f t="shared" si="29"/>
        <v>4804173.4256562814</v>
      </c>
      <c r="K63" s="143">
        <f t="shared" si="19"/>
        <v>5236549.0339653464</v>
      </c>
      <c r="L63" s="143">
        <f t="shared" si="24"/>
        <v>4608163.1498895045</v>
      </c>
      <c r="M63" s="143">
        <f t="shared" si="28"/>
        <v>4608163.1498895045</v>
      </c>
      <c r="N63" s="143">
        <f t="shared" si="20"/>
        <v>5022897.8333795602</v>
      </c>
      <c r="O63" s="143">
        <f t="shared" si="25"/>
        <v>5022897.8333795602</v>
      </c>
      <c r="P63" s="143">
        <f t="shared" si="5"/>
        <v>61205704.062284365</v>
      </c>
      <c r="Q63" s="145" t="s">
        <v>682</v>
      </c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80"/>
      <c r="BE63" s="80"/>
      <c r="BF63" s="80"/>
      <c r="BG63" s="118">
        <v>5000000</v>
      </c>
      <c r="BH63" s="80">
        <v>5000000</v>
      </c>
      <c r="BI63" s="80">
        <f t="shared" si="17"/>
        <v>5250000</v>
      </c>
      <c r="BJ63" s="80">
        <f t="shared" si="18"/>
        <v>0.95238095238095233</v>
      </c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V63" s="129">
        <v>5</v>
      </c>
    </row>
    <row r="64" spans="1:74" s="124" customFormat="1">
      <c r="A64" s="265"/>
      <c r="B64" s="270">
        <v>6304</v>
      </c>
      <c r="C64" s="270" t="s">
        <v>52</v>
      </c>
      <c r="D64" s="264">
        <f>'CF 2016'!O64*1.05</f>
        <v>10500000</v>
      </c>
      <c r="E64" s="264">
        <f t="shared" si="26"/>
        <v>10670100</v>
      </c>
      <c r="F64" s="264">
        <f t="shared" si="21"/>
        <v>11079831.839999998</v>
      </c>
      <c r="G64" s="264">
        <f t="shared" si="22"/>
        <v>11028864.613535998</v>
      </c>
      <c r="H64" s="264">
        <f t="shared" si="23"/>
        <v>10918575.967400638</v>
      </c>
      <c r="I64" s="143">
        <f t="shared" si="27"/>
        <v>9608346.8513125628</v>
      </c>
      <c r="J64" s="143">
        <f t="shared" si="29"/>
        <v>9608346.8513125628</v>
      </c>
      <c r="K64" s="143">
        <f t="shared" si="19"/>
        <v>10473098.067930693</v>
      </c>
      <c r="L64" s="143">
        <f t="shared" si="24"/>
        <v>9216326.2997790091</v>
      </c>
      <c r="M64" s="143">
        <f t="shared" si="28"/>
        <v>9216326.2997790091</v>
      </c>
      <c r="N64" s="143">
        <f t="shared" si="20"/>
        <v>10045795.66675912</v>
      </c>
      <c r="O64" s="143">
        <f t="shared" si="25"/>
        <v>10045795.66675912</v>
      </c>
      <c r="P64" s="143">
        <f t="shared" si="5"/>
        <v>122411408.12456873</v>
      </c>
      <c r="Q64" s="145" t="s">
        <v>684</v>
      </c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80"/>
      <c r="BE64" s="80"/>
      <c r="BF64" s="80"/>
      <c r="BG64" s="118">
        <v>10000000</v>
      </c>
      <c r="BH64" s="80">
        <v>10000000</v>
      </c>
      <c r="BI64" s="80">
        <f t="shared" si="17"/>
        <v>10500000</v>
      </c>
      <c r="BJ64" s="80">
        <f t="shared" si="18"/>
        <v>0.95238095238095233</v>
      </c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V64" s="129">
        <v>10</v>
      </c>
    </row>
    <row r="65" spans="1:74" s="124" customFormat="1">
      <c r="A65" s="265"/>
      <c r="B65" s="270">
        <v>6306</v>
      </c>
      <c r="C65" s="270" t="s">
        <v>53</v>
      </c>
      <c r="D65" s="264">
        <f>'CF 2016'!O65*1.05</f>
        <v>4483500</v>
      </c>
      <c r="E65" s="264">
        <f t="shared" si="26"/>
        <v>4556132.7</v>
      </c>
      <c r="F65" s="264">
        <f t="shared" si="21"/>
        <v>4731088.1956799999</v>
      </c>
      <c r="G65" s="264">
        <f t="shared" si="22"/>
        <v>4709325.1899798717</v>
      </c>
      <c r="H65" s="264">
        <f t="shared" si="23"/>
        <v>4662231.9380800733</v>
      </c>
      <c r="I65" s="143">
        <f t="shared" si="27"/>
        <v>4102764.1055104644</v>
      </c>
      <c r="J65" s="143">
        <f t="shared" si="29"/>
        <v>4102764.1055104644</v>
      </c>
      <c r="K65" s="143">
        <f t="shared" si="19"/>
        <v>4472012.8750064066</v>
      </c>
      <c r="L65" s="143">
        <f t="shared" si="24"/>
        <v>3935371.3300056378</v>
      </c>
      <c r="M65" s="143">
        <f t="shared" si="28"/>
        <v>3935371.3300056378</v>
      </c>
      <c r="N65" s="143">
        <f t="shared" si="20"/>
        <v>4289554.7497061454</v>
      </c>
      <c r="O65" s="143">
        <f t="shared" si="25"/>
        <v>4289554.7497061454</v>
      </c>
      <c r="P65" s="143">
        <f t="shared" si="5"/>
        <v>52269671.269190848</v>
      </c>
      <c r="Q65" s="145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80"/>
      <c r="BE65" s="80"/>
      <c r="BF65" s="80"/>
      <c r="BG65" s="118">
        <v>4270000</v>
      </c>
      <c r="BH65" s="80">
        <v>4270000</v>
      </c>
      <c r="BI65" s="80">
        <f t="shared" si="17"/>
        <v>4483500</v>
      </c>
      <c r="BJ65" s="80">
        <f t="shared" si="18"/>
        <v>0.95238095238095233</v>
      </c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V65" s="129">
        <v>4.2699999999999996</v>
      </c>
    </row>
    <row r="66" spans="1:74" s="124" customFormat="1" ht="30">
      <c r="A66" s="265"/>
      <c r="B66" s="270">
        <v>6307</v>
      </c>
      <c r="C66" s="271" t="s">
        <v>664</v>
      </c>
      <c r="D66" s="264">
        <f>'CF 2016'!O66*1.05</f>
        <v>70350000</v>
      </c>
      <c r="E66" s="264">
        <f t="shared" si="26"/>
        <v>71489670</v>
      </c>
      <c r="F66" s="264">
        <f t="shared" si="21"/>
        <v>74234873.327999994</v>
      </c>
      <c r="G66" s="264">
        <f t="shared" si="22"/>
        <v>73893392.910691202</v>
      </c>
      <c r="H66" s="264">
        <f t="shared" si="23"/>
        <v>73154458.981584296</v>
      </c>
      <c r="I66" s="143">
        <f t="shared" si="27"/>
        <v>64375923.903794184</v>
      </c>
      <c r="J66" s="143">
        <f t="shared" si="29"/>
        <v>64375923.903794184</v>
      </c>
      <c r="K66" s="143">
        <f t="shared" si="19"/>
        <v>70169757.055135667</v>
      </c>
      <c r="L66" s="143">
        <f t="shared" si="24"/>
        <v>61749386.208519384</v>
      </c>
      <c r="M66" s="143">
        <f t="shared" si="28"/>
        <v>61749386.208519384</v>
      </c>
      <c r="N66" s="143">
        <f t="shared" si="20"/>
        <v>67306830.967286125</v>
      </c>
      <c r="O66" s="143">
        <f t="shared" si="25"/>
        <v>67306830.967286125</v>
      </c>
      <c r="P66" s="143">
        <f t="shared" si="5"/>
        <v>820156434.43461037</v>
      </c>
      <c r="Q66" s="145" t="s">
        <v>681</v>
      </c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80"/>
      <c r="BE66" s="80"/>
      <c r="BF66" s="80"/>
      <c r="BG66" s="118">
        <v>67000000</v>
      </c>
      <c r="BH66" s="80">
        <v>67000000</v>
      </c>
      <c r="BI66" s="80">
        <f t="shared" si="17"/>
        <v>70350000</v>
      </c>
      <c r="BJ66" s="80">
        <f t="shared" si="18"/>
        <v>0.95238095238095233</v>
      </c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V66" s="129">
        <v>67.479608333333331</v>
      </c>
    </row>
    <row r="67" spans="1:74" s="124" customFormat="1">
      <c r="A67" s="265"/>
      <c r="B67" s="270"/>
      <c r="C67" s="270"/>
      <c r="D67" s="264">
        <f>'CF 2016'!O67*1.05</f>
        <v>0</v>
      </c>
      <c r="E67" s="264">
        <f t="shared" si="26"/>
        <v>0</v>
      </c>
      <c r="F67" s="264">
        <f t="shared" si="21"/>
        <v>0</v>
      </c>
      <c r="G67" s="264">
        <f t="shared" si="22"/>
        <v>0</v>
      </c>
      <c r="H67" s="264">
        <f t="shared" si="23"/>
        <v>0</v>
      </c>
      <c r="I67" s="143">
        <f t="shared" si="27"/>
        <v>0</v>
      </c>
      <c r="J67" s="143">
        <f t="shared" si="29"/>
        <v>0</v>
      </c>
      <c r="K67" s="143">
        <f t="shared" si="19"/>
        <v>0</v>
      </c>
      <c r="L67" s="143">
        <f t="shared" si="24"/>
        <v>0</v>
      </c>
      <c r="M67" s="143">
        <f t="shared" si="28"/>
        <v>0</v>
      </c>
      <c r="N67" s="143">
        <f t="shared" si="20"/>
        <v>0</v>
      </c>
      <c r="O67" s="143">
        <f t="shared" si="25"/>
        <v>0</v>
      </c>
      <c r="P67" s="143">
        <f t="shared" si="5"/>
        <v>0</v>
      </c>
      <c r="Q67" s="145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80"/>
      <c r="BE67" s="80"/>
      <c r="BF67" s="80"/>
      <c r="BG67" s="118">
        <v>0</v>
      </c>
      <c r="BH67" s="80">
        <v>0</v>
      </c>
      <c r="BI67" s="80">
        <f t="shared" si="17"/>
        <v>0</v>
      </c>
      <c r="BJ67" s="80" t="e">
        <f t="shared" si="18"/>
        <v>#DIV/0!</v>
      </c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V67" s="129"/>
    </row>
    <row r="68" spans="1:74" s="124" customFormat="1">
      <c r="A68" s="265"/>
      <c r="B68" s="269" t="s">
        <v>55</v>
      </c>
      <c r="C68" s="270"/>
      <c r="D68" s="264">
        <f>'CF 2016'!O68*1.05</f>
        <v>0</v>
      </c>
      <c r="E68" s="264">
        <f t="shared" si="26"/>
        <v>0</v>
      </c>
      <c r="F68" s="264">
        <f t="shared" si="21"/>
        <v>0</v>
      </c>
      <c r="G68" s="264">
        <f t="shared" si="22"/>
        <v>0</v>
      </c>
      <c r="H68" s="264">
        <f t="shared" si="23"/>
        <v>0</v>
      </c>
      <c r="I68" s="143">
        <f t="shared" si="27"/>
        <v>0</v>
      </c>
      <c r="J68" s="143">
        <f t="shared" si="29"/>
        <v>0</v>
      </c>
      <c r="K68" s="143">
        <f t="shared" si="19"/>
        <v>0</v>
      </c>
      <c r="L68" s="143">
        <f t="shared" si="24"/>
        <v>0</v>
      </c>
      <c r="M68" s="143">
        <f t="shared" si="28"/>
        <v>0</v>
      </c>
      <c r="N68" s="143">
        <f t="shared" si="20"/>
        <v>0</v>
      </c>
      <c r="O68" s="143">
        <f t="shared" si="25"/>
        <v>0</v>
      </c>
      <c r="P68" s="143">
        <f t="shared" si="5"/>
        <v>0</v>
      </c>
      <c r="Q68" s="145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80"/>
      <c r="BE68" s="80"/>
      <c r="BF68" s="80"/>
      <c r="BG68" s="118">
        <v>0</v>
      </c>
      <c r="BH68" s="80">
        <v>0</v>
      </c>
      <c r="BI68" s="80">
        <f t="shared" si="17"/>
        <v>0</v>
      </c>
      <c r="BJ68" s="80" t="e">
        <f t="shared" si="18"/>
        <v>#DIV/0!</v>
      </c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V68" s="129"/>
    </row>
    <row r="69" spans="1:74" s="124" customFormat="1">
      <c r="A69" s="265"/>
      <c r="B69" s="270">
        <v>6500</v>
      </c>
      <c r="C69" s="270" t="s">
        <v>56</v>
      </c>
      <c r="D69" s="264">
        <f>'CF 2016'!O69*1.05</f>
        <v>1575000</v>
      </c>
      <c r="E69" s="264">
        <f t="shared" si="26"/>
        <v>1600515</v>
      </c>
      <c r="F69" s="264">
        <f t="shared" si="21"/>
        <v>1661974.7759999998</v>
      </c>
      <c r="G69" s="264">
        <f t="shared" si="22"/>
        <v>1654329.6920304</v>
      </c>
      <c r="H69" s="264">
        <f t="shared" si="23"/>
        <v>1637786.3951100961</v>
      </c>
      <c r="I69" s="143">
        <f t="shared" si="27"/>
        <v>1441252.0276968845</v>
      </c>
      <c r="J69" s="143">
        <f t="shared" si="29"/>
        <v>1441252.0276968845</v>
      </c>
      <c r="K69" s="143">
        <f t="shared" si="19"/>
        <v>1570964.710189604</v>
      </c>
      <c r="L69" s="143">
        <f t="shared" si="24"/>
        <v>1382448.9449668515</v>
      </c>
      <c r="M69" s="143">
        <f t="shared" si="28"/>
        <v>1382448.9449668515</v>
      </c>
      <c r="N69" s="143">
        <f t="shared" si="20"/>
        <v>1506869.3500138682</v>
      </c>
      <c r="O69" s="143">
        <f t="shared" si="25"/>
        <v>1506869.3500138682</v>
      </c>
      <c r="P69" s="143">
        <f t="shared" si="5"/>
        <v>18361711.218685307</v>
      </c>
      <c r="Q69" s="145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80"/>
      <c r="BE69" s="80"/>
      <c r="BF69" s="80"/>
      <c r="BG69" s="118">
        <v>1500000</v>
      </c>
      <c r="BH69" s="80">
        <v>1500000</v>
      </c>
      <c r="BI69" s="80">
        <f t="shared" si="17"/>
        <v>1575000</v>
      </c>
      <c r="BJ69" s="80">
        <f t="shared" si="18"/>
        <v>0.95238095238095233</v>
      </c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V69" s="129">
        <v>1.5</v>
      </c>
    </row>
    <row r="70" spans="1:74" s="124" customFormat="1">
      <c r="A70" s="265"/>
      <c r="B70" s="270">
        <v>6501</v>
      </c>
      <c r="C70" s="270" t="s">
        <v>57</v>
      </c>
      <c r="D70" s="264">
        <f>'CF 2016'!O70*1.05</f>
        <v>0</v>
      </c>
      <c r="E70" s="264">
        <f t="shared" si="26"/>
        <v>0</v>
      </c>
      <c r="F70" s="264">
        <f t="shared" si="21"/>
        <v>0</v>
      </c>
      <c r="G70" s="264">
        <f t="shared" si="22"/>
        <v>0</v>
      </c>
      <c r="H70" s="264">
        <f t="shared" si="23"/>
        <v>0</v>
      </c>
      <c r="I70" s="143">
        <f t="shared" si="27"/>
        <v>0</v>
      </c>
      <c r="J70" s="143">
        <f t="shared" si="29"/>
        <v>0</v>
      </c>
      <c r="K70" s="143">
        <f t="shared" si="19"/>
        <v>0</v>
      </c>
      <c r="L70" s="143">
        <f t="shared" si="24"/>
        <v>0</v>
      </c>
      <c r="M70" s="143">
        <f t="shared" si="28"/>
        <v>0</v>
      </c>
      <c r="N70" s="143">
        <f t="shared" si="20"/>
        <v>0</v>
      </c>
      <c r="O70" s="143">
        <f t="shared" si="25"/>
        <v>0</v>
      </c>
      <c r="P70" s="143">
        <f t="shared" si="5"/>
        <v>0</v>
      </c>
      <c r="Q70" s="145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80"/>
      <c r="BE70" s="80"/>
      <c r="BF70" s="80"/>
      <c r="BG70" s="118">
        <v>0</v>
      </c>
      <c r="BH70" s="80">
        <v>0</v>
      </c>
      <c r="BI70" s="80">
        <f t="shared" si="17"/>
        <v>0</v>
      </c>
      <c r="BJ70" s="80" t="e">
        <f t="shared" si="18"/>
        <v>#DIV/0!</v>
      </c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V70" s="129"/>
    </row>
    <row r="71" spans="1:74" s="124" customFormat="1">
      <c r="A71" s="265"/>
      <c r="B71" s="270"/>
      <c r="C71" s="270"/>
      <c r="D71" s="264">
        <f>'CF 2016'!O71*1.05</f>
        <v>0</v>
      </c>
      <c r="E71" s="264">
        <f t="shared" si="26"/>
        <v>0</v>
      </c>
      <c r="F71" s="264">
        <f t="shared" si="21"/>
        <v>0</v>
      </c>
      <c r="G71" s="264">
        <f t="shared" si="22"/>
        <v>0</v>
      </c>
      <c r="H71" s="264">
        <f t="shared" si="23"/>
        <v>0</v>
      </c>
      <c r="I71" s="143">
        <f t="shared" si="27"/>
        <v>0</v>
      </c>
      <c r="J71" s="143">
        <f t="shared" si="29"/>
        <v>0</v>
      </c>
      <c r="K71" s="143">
        <f t="shared" si="19"/>
        <v>0</v>
      </c>
      <c r="L71" s="143">
        <f t="shared" si="24"/>
        <v>0</v>
      </c>
      <c r="M71" s="143">
        <f t="shared" si="28"/>
        <v>0</v>
      </c>
      <c r="N71" s="143">
        <f t="shared" si="20"/>
        <v>0</v>
      </c>
      <c r="O71" s="143">
        <f t="shared" si="25"/>
        <v>0</v>
      </c>
      <c r="P71" s="143">
        <f t="shared" si="5"/>
        <v>0</v>
      </c>
      <c r="Q71" s="145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80"/>
      <c r="BE71" s="80"/>
      <c r="BF71" s="80"/>
      <c r="BG71" s="118">
        <v>0</v>
      </c>
      <c r="BH71" s="80">
        <v>0</v>
      </c>
      <c r="BI71" s="80">
        <f t="shared" si="17"/>
        <v>0</v>
      </c>
      <c r="BJ71" s="80" t="e">
        <f t="shared" si="18"/>
        <v>#DIV/0!</v>
      </c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V71" s="129"/>
    </row>
    <row r="72" spans="1:74" s="124" customFormat="1" hidden="1">
      <c r="A72" s="265"/>
      <c r="B72" s="269" t="s">
        <v>58</v>
      </c>
      <c r="C72" s="270"/>
      <c r="D72" s="264">
        <f>'CF 2016'!O72*1.05</f>
        <v>0</v>
      </c>
      <c r="E72" s="264">
        <f t="shared" si="26"/>
        <v>0</v>
      </c>
      <c r="F72" s="264">
        <f t="shared" si="21"/>
        <v>0</v>
      </c>
      <c r="G72" s="264">
        <f t="shared" si="22"/>
        <v>0</v>
      </c>
      <c r="H72" s="264">
        <f t="shared" si="23"/>
        <v>0</v>
      </c>
      <c r="I72" s="143">
        <f t="shared" si="27"/>
        <v>0</v>
      </c>
      <c r="J72" s="143">
        <f t="shared" si="29"/>
        <v>0</v>
      </c>
      <c r="K72" s="143">
        <f t="shared" si="19"/>
        <v>0</v>
      </c>
      <c r="L72" s="143">
        <f t="shared" si="24"/>
        <v>0</v>
      </c>
      <c r="M72" s="143">
        <f t="shared" si="28"/>
        <v>0</v>
      </c>
      <c r="N72" s="143">
        <f t="shared" si="20"/>
        <v>0</v>
      </c>
      <c r="O72" s="143">
        <f t="shared" si="25"/>
        <v>0</v>
      </c>
      <c r="P72" s="143">
        <f t="shared" si="5"/>
        <v>0</v>
      </c>
      <c r="Q72" s="145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80"/>
      <c r="BE72" s="80"/>
      <c r="BF72" s="80"/>
      <c r="BG72" s="118">
        <v>0</v>
      </c>
      <c r="BH72" s="80">
        <v>0</v>
      </c>
      <c r="BI72" s="80">
        <f t="shared" si="17"/>
        <v>0</v>
      </c>
      <c r="BJ72" s="80" t="e">
        <f t="shared" si="18"/>
        <v>#DIV/0!</v>
      </c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V72" s="129"/>
    </row>
    <row r="73" spans="1:74" s="124" customFormat="1" hidden="1">
      <c r="A73" s="265"/>
      <c r="B73" s="270">
        <v>6600</v>
      </c>
      <c r="C73" s="270" t="s">
        <v>59</v>
      </c>
      <c r="D73" s="264">
        <f>'CF 2016'!O73*1.5</f>
        <v>6000000</v>
      </c>
      <c r="E73" s="264">
        <f t="shared" si="26"/>
        <v>6097200</v>
      </c>
      <c r="F73" s="264">
        <f t="shared" si="21"/>
        <v>6331332.4799999995</v>
      </c>
      <c r="G73" s="264">
        <v>40000000</v>
      </c>
      <c r="H73" s="264">
        <f>F73</f>
        <v>6331332.4799999995</v>
      </c>
      <c r="I73" s="143">
        <f t="shared" si="27"/>
        <v>5571572.5823999997</v>
      </c>
      <c r="J73" s="143">
        <f t="shared" si="29"/>
        <v>5571572.5823999997</v>
      </c>
      <c r="K73" s="143">
        <f t="shared" si="19"/>
        <v>6073014.1148159998</v>
      </c>
      <c r="L73" s="143">
        <f t="shared" si="24"/>
        <v>5344252.42103808</v>
      </c>
      <c r="M73" s="143">
        <f t="shared" si="28"/>
        <v>5344252.42103808</v>
      </c>
      <c r="N73" s="143">
        <f t="shared" si="20"/>
        <v>5825235.1389315072</v>
      </c>
      <c r="O73" s="143">
        <f t="shared" si="25"/>
        <v>5825235.1389315072</v>
      </c>
      <c r="P73" s="143">
        <f t="shared" si="5"/>
        <v>104314999.35955517</v>
      </c>
      <c r="Q73" s="145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80"/>
      <c r="BE73" s="80"/>
      <c r="BF73" s="80"/>
      <c r="BG73" s="118">
        <v>4000000</v>
      </c>
      <c r="BH73" s="80">
        <v>4000000</v>
      </c>
      <c r="BI73" s="80">
        <f t="shared" si="17"/>
        <v>6000000</v>
      </c>
      <c r="BJ73" s="80">
        <f t="shared" si="18"/>
        <v>0.66666666666666663</v>
      </c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V73" s="129">
        <v>4</v>
      </c>
    </row>
    <row r="74" spans="1:74" s="124" customFormat="1" hidden="1">
      <c r="A74" s="265"/>
      <c r="B74" s="270">
        <v>6600</v>
      </c>
      <c r="C74" s="270" t="s">
        <v>60</v>
      </c>
      <c r="D74" s="264">
        <f>'CF 2016'!O74*1.05</f>
        <v>0</v>
      </c>
      <c r="E74" s="264">
        <f t="shared" si="26"/>
        <v>0</v>
      </c>
      <c r="F74" s="264">
        <f t="shared" si="21"/>
        <v>0</v>
      </c>
      <c r="G74" s="264">
        <v>17000000</v>
      </c>
      <c r="H74" s="264"/>
      <c r="I74" s="143">
        <f t="shared" si="27"/>
        <v>0</v>
      </c>
      <c r="J74" s="143">
        <f t="shared" si="29"/>
        <v>0</v>
      </c>
      <c r="K74" s="143">
        <f t="shared" si="19"/>
        <v>0</v>
      </c>
      <c r="L74" s="143">
        <f t="shared" si="24"/>
        <v>0</v>
      </c>
      <c r="M74" s="143">
        <f t="shared" si="28"/>
        <v>0</v>
      </c>
      <c r="N74" s="143">
        <f t="shared" si="20"/>
        <v>0</v>
      </c>
      <c r="O74" s="143">
        <f t="shared" si="25"/>
        <v>0</v>
      </c>
      <c r="P74" s="143">
        <f t="shared" si="5"/>
        <v>17000000</v>
      </c>
      <c r="Q74" s="145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80"/>
      <c r="BE74" s="80"/>
      <c r="BF74" s="80"/>
      <c r="BG74" s="118">
        <v>0</v>
      </c>
      <c r="BH74" s="80">
        <v>0</v>
      </c>
      <c r="BI74" s="80">
        <f t="shared" si="17"/>
        <v>0</v>
      </c>
      <c r="BJ74" s="80" t="e">
        <f t="shared" si="18"/>
        <v>#DIV/0!</v>
      </c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V74" s="129"/>
    </row>
    <row r="75" spans="1:74" s="124" customFormat="1">
      <c r="A75" s="265"/>
      <c r="B75" s="270"/>
      <c r="C75" s="270"/>
      <c r="D75" s="264">
        <f>'CF 2016'!O75*1.05</f>
        <v>0</v>
      </c>
      <c r="E75" s="264">
        <f t="shared" si="26"/>
        <v>0</v>
      </c>
      <c r="F75" s="264">
        <f t="shared" si="21"/>
        <v>0</v>
      </c>
      <c r="G75" s="264">
        <f t="shared" si="22"/>
        <v>0</v>
      </c>
      <c r="H75" s="264">
        <f t="shared" si="23"/>
        <v>0</v>
      </c>
      <c r="I75" s="143">
        <f t="shared" si="27"/>
        <v>0</v>
      </c>
      <c r="J75" s="143">
        <f t="shared" si="29"/>
        <v>0</v>
      </c>
      <c r="K75" s="143">
        <f t="shared" si="19"/>
        <v>0</v>
      </c>
      <c r="L75" s="143">
        <f t="shared" si="24"/>
        <v>0</v>
      </c>
      <c r="M75" s="143">
        <f t="shared" si="28"/>
        <v>0</v>
      </c>
      <c r="N75" s="143">
        <f t="shared" si="20"/>
        <v>0</v>
      </c>
      <c r="O75" s="143">
        <f t="shared" si="25"/>
        <v>0</v>
      </c>
      <c r="P75" s="143">
        <f t="shared" si="5"/>
        <v>0</v>
      </c>
      <c r="Q75" s="145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80"/>
      <c r="BE75" s="80"/>
      <c r="BF75" s="80"/>
      <c r="BG75" s="118">
        <v>0</v>
      </c>
      <c r="BH75" s="80">
        <v>0</v>
      </c>
      <c r="BI75" s="80">
        <f t="shared" si="17"/>
        <v>0</v>
      </c>
      <c r="BJ75" s="80" t="e">
        <f t="shared" si="18"/>
        <v>#DIV/0!</v>
      </c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V75" s="129"/>
    </row>
    <row r="76" spans="1:74" s="124" customFormat="1">
      <c r="A76" s="265"/>
      <c r="B76" s="269" t="s">
        <v>61</v>
      </c>
      <c r="C76" s="270"/>
      <c r="D76" s="264">
        <f>'CF 2016'!O76*1.05</f>
        <v>0</v>
      </c>
      <c r="E76" s="264">
        <f t="shared" si="26"/>
        <v>0</v>
      </c>
      <c r="F76" s="264">
        <f t="shared" si="21"/>
        <v>0</v>
      </c>
      <c r="G76" s="264">
        <f t="shared" si="22"/>
        <v>0</v>
      </c>
      <c r="H76" s="264">
        <f t="shared" si="23"/>
        <v>0</v>
      </c>
      <c r="I76" s="143">
        <f t="shared" si="27"/>
        <v>0</v>
      </c>
      <c r="J76" s="143">
        <f t="shared" si="29"/>
        <v>0</v>
      </c>
      <c r="K76" s="143">
        <f t="shared" si="19"/>
        <v>0</v>
      </c>
      <c r="L76" s="143">
        <f t="shared" si="24"/>
        <v>0</v>
      </c>
      <c r="M76" s="143">
        <f t="shared" si="28"/>
        <v>0</v>
      </c>
      <c r="N76" s="143">
        <f t="shared" si="20"/>
        <v>0</v>
      </c>
      <c r="O76" s="143">
        <f t="shared" si="25"/>
        <v>0</v>
      </c>
      <c r="P76" s="143">
        <f t="shared" si="5"/>
        <v>0</v>
      </c>
      <c r="Q76" s="145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80"/>
      <c r="BE76" s="80"/>
      <c r="BF76" s="80"/>
      <c r="BG76" s="118">
        <v>0</v>
      </c>
      <c r="BH76" s="80">
        <v>0</v>
      </c>
      <c r="BI76" s="80">
        <f t="shared" si="17"/>
        <v>0</v>
      </c>
      <c r="BJ76" s="80" t="e">
        <f t="shared" si="18"/>
        <v>#DIV/0!</v>
      </c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V76" s="129"/>
    </row>
    <row r="77" spans="1:74" s="182" customFormat="1">
      <c r="A77" s="265"/>
      <c r="B77" s="270">
        <v>6200</v>
      </c>
      <c r="C77" s="270" t="s">
        <v>713</v>
      </c>
      <c r="D77" s="264">
        <f>'CF 2016'!O77*1.05</f>
        <v>9450000</v>
      </c>
      <c r="E77" s="264">
        <f t="shared" si="26"/>
        <v>9603090</v>
      </c>
      <c r="F77" s="264">
        <f t="shared" si="21"/>
        <v>9971848.6559999995</v>
      </c>
      <c r="G77" s="264">
        <f t="shared" si="22"/>
        <v>9925978.1521824002</v>
      </c>
      <c r="H77" s="264">
        <f t="shared" si="23"/>
        <v>9826718.370660577</v>
      </c>
      <c r="I77" s="143">
        <f t="shared" si="27"/>
        <v>8647512.1661813073</v>
      </c>
      <c r="J77" s="143">
        <f t="shared" si="29"/>
        <v>8647512.1661813073</v>
      </c>
      <c r="K77" s="143">
        <f t="shared" si="19"/>
        <v>9425788.2611376252</v>
      </c>
      <c r="L77" s="143">
        <f t="shared" si="24"/>
        <v>8294693.6698011104</v>
      </c>
      <c r="M77" s="143">
        <f t="shared" si="28"/>
        <v>8294693.6698011104</v>
      </c>
      <c r="N77" s="143">
        <f t="shared" si="20"/>
        <v>9041216.1000832096</v>
      </c>
      <c r="O77" s="143">
        <f t="shared" si="25"/>
        <v>9041216.1000832096</v>
      </c>
      <c r="P77" s="143">
        <f t="shared" si="5"/>
        <v>110170267.31211185</v>
      </c>
      <c r="Q77" s="145" t="s">
        <v>683</v>
      </c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190"/>
      <c r="BA77" s="190"/>
      <c r="BB77" s="190"/>
      <c r="BC77" s="190"/>
      <c r="BD77" s="181"/>
      <c r="BE77" s="181"/>
      <c r="BF77" s="181"/>
      <c r="BG77" s="188">
        <v>9000000</v>
      </c>
      <c r="BH77" s="181">
        <v>9000000</v>
      </c>
      <c r="BI77" s="181">
        <f t="shared" si="17"/>
        <v>9450000</v>
      </c>
      <c r="BJ77" s="181">
        <f t="shared" si="18"/>
        <v>0.95238095238095233</v>
      </c>
      <c r="BK77" s="181"/>
      <c r="BL77" s="181"/>
      <c r="BM77" s="181"/>
      <c r="BN77" s="181"/>
      <c r="BO77" s="181"/>
      <c r="BP77" s="181"/>
      <c r="BQ77" s="181"/>
      <c r="BR77" s="181"/>
      <c r="BS77" s="181"/>
      <c r="BT77" s="181"/>
      <c r="BV77" s="183">
        <v>9</v>
      </c>
    </row>
    <row r="78" spans="1:74" s="182" customFormat="1">
      <c r="A78" s="265"/>
      <c r="B78" s="270">
        <v>6201</v>
      </c>
      <c r="C78" s="270" t="s">
        <v>544</v>
      </c>
      <c r="D78" s="264">
        <f>'CF 2016'!O78*1.05</f>
        <v>4200000</v>
      </c>
      <c r="E78" s="264">
        <f t="shared" si="26"/>
        <v>4268040</v>
      </c>
      <c r="F78" s="264">
        <f t="shared" si="21"/>
        <v>4431932.7359999996</v>
      </c>
      <c r="G78" s="264">
        <f t="shared" si="22"/>
        <v>4411545.8454144001</v>
      </c>
      <c r="H78" s="264">
        <f t="shared" si="23"/>
        <v>4367430.3869602559</v>
      </c>
      <c r="I78" s="143">
        <f t="shared" si="27"/>
        <v>3843338.7405250254</v>
      </c>
      <c r="J78" s="143">
        <f t="shared" si="29"/>
        <v>3843338.7405250254</v>
      </c>
      <c r="K78" s="143">
        <f t="shared" si="19"/>
        <v>4189239.2271722779</v>
      </c>
      <c r="L78" s="143">
        <f t="shared" si="24"/>
        <v>3686530.5199116045</v>
      </c>
      <c r="M78" s="143">
        <f t="shared" si="28"/>
        <v>3686530.5199116045</v>
      </c>
      <c r="N78" s="143">
        <f t="shared" si="20"/>
        <v>4018318.266703649</v>
      </c>
      <c r="O78" s="143">
        <f t="shared" si="25"/>
        <v>4018318.266703649</v>
      </c>
      <c r="P78" s="143">
        <f t="shared" si="5"/>
        <v>48964563.249827489</v>
      </c>
      <c r="Q78" s="145" t="s">
        <v>683</v>
      </c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0"/>
      <c r="BB78" s="190"/>
      <c r="BC78" s="190"/>
      <c r="BD78" s="181"/>
      <c r="BE78" s="181"/>
      <c r="BF78" s="181"/>
      <c r="BG78" s="188">
        <v>4000000</v>
      </c>
      <c r="BH78" s="181">
        <v>4000000</v>
      </c>
      <c r="BI78" s="181">
        <f t="shared" si="17"/>
        <v>4200000</v>
      </c>
      <c r="BJ78" s="181">
        <f t="shared" si="18"/>
        <v>0.95238095238095233</v>
      </c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V78" s="183">
        <v>4</v>
      </c>
    </row>
    <row r="79" spans="1:74" s="182" customFormat="1">
      <c r="A79" s="265"/>
      <c r="B79" s="270">
        <v>6210</v>
      </c>
      <c r="C79" s="270" t="s">
        <v>545</v>
      </c>
      <c r="D79" s="264">
        <f>'CF 2016'!O79*1.05</f>
        <v>1575000</v>
      </c>
      <c r="E79" s="264">
        <f t="shared" si="26"/>
        <v>1600515</v>
      </c>
      <c r="F79" s="264">
        <f t="shared" si="21"/>
        <v>1661974.7759999998</v>
      </c>
      <c r="G79" s="264">
        <f t="shared" si="22"/>
        <v>1654329.6920304</v>
      </c>
      <c r="H79" s="264">
        <f t="shared" si="23"/>
        <v>1637786.3951100961</v>
      </c>
      <c r="I79" s="143">
        <f t="shared" si="27"/>
        <v>1441252.0276968845</v>
      </c>
      <c r="J79" s="143">
        <f t="shared" si="29"/>
        <v>1441252.0276968845</v>
      </c>
      <c r="K79" s="143">
        <f t="shared" si="19"/>
        <v>1570964.710189604</v>
      </c>
      <c r="L79" s="143">
        <f t="shared" si="24"/>
        <v>1382448.9449668515</v>
      </c>
      <c r="M79" s="143">
        <f t="shared" si="28"/>
        <v>1382448.9449668515</v>
      </c>
      <c r="N79" s="143">
        <f t="shared" si="20"/>
        <v>1506869.3500138682</v>
      </c>
      <c r="O79" s="143">
        <f t="shared" si="25"/>
        <v>1506869.3500138682</v>
      </c>
      <c r="P79" s="143">
        <f t="shared" si="5"/>
        <v>18361711.218685307</v>
      </c>
      <c r="Q79" s="145" t="s">
        <v>683</v>
      </c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0"/>
      <c r="BB79" s="190"/>
      <c r="BC79" s="190"/>
      <c r="BD79" s="181"/>
      <c r="BE79" s="181"/>
      <c r="BF79" s="181"/>
      <c r="BG79" s="188">
        <v>1500000</v>
      </c>
      <c r="BH79" s="181">
        <v>1500000</v>
      </c>
      <c r="BI79" s="181">
        <f t="shared" si="17"/>
        <v>1575000</v>
      </c>
      <c r="BJ79" s="181">
        <f t="shared" si="18"/>
        <v>0.95238095238095233</v>
      </c>
      <c r="BK79" s="181"/>
      <c r="BL79" s="181"/>
      <c r="BM79" s="181"/>
      <c r="BN79" s="181"/>
      <c r="BO79" s="181"/>
      <c r="BP79" s="181"/>
      <c r="BQ79" s="181"/>
      <c r="BR79" s="181"/>
      <c r="BS79" s="181"/>
      <c r="BT79" s="181"/>
      <c r="BV79" s="183">
        <v>1.5</v>
      </c>
    </row>
    <row r="80" spans="1:74" s="182" customFormat="1">
      <c r="A80" s="265"/>
      <c r="B80" s="270">
        <v>6211</v>
      </c>
      <c r="C80" s="270" t="s">
        <v>546</v>
      </c>
      <c r="D80" s="264">
        <f>'CF 2016'!O80*1.05</f>
        <v>525000</v>
      </c>
      <c r="E80" s="264">
        <f t="shared" si="26"/>
        <v>533505</v>
      </c>
      <c r="F80" s="264">
        <f t="shared" si="21"/>
        <v>553991.59199999995</v>
      </c>
      <c r="G80" s="264">
        <f t="shared" si="22"/>
        <v>551443.23067680001</v>
      </c>
      <c r="H80" s="264">
        <f t="shared" si="23"/>
        <v>545928.79837003199</v>
      </c>
      <c r="I80" s="143">
        <f t="shared" si="27"/>
        <v>480417.34256562818</v>
      </c>
      <c r="J80" s="143">
        <f t="shared" si="29"/>
        <v>480417.34256562818</v>
      </c>
      <c r="K80" s="143">
        <f t="shared" si="19"/>
        <v>523654.90339653473</v>
      </c>
      <c r="L80" s="143">
        <f t="shared" si="24"/>
        <v>460816.31498895056</v>
      </c>
      <c r="M80" s="143">
        <f t="shared" si="28"/>
        <v>460816.31498895056</v>
      </c>
      <c r="N80" s="143">
        <f t="shared" si="20"/>
        <v>502289.78333795612</v>
      </c>
      <c r="O80" s="143">
        <f t="shared" si="25"/>
        <v>502289.78333795612</v>
      </c>
      <c r="P80" s="143">
        <f t="shared" si="5"/>
        <v>6120570.4062284362</v>
      </c>
      <c r="Q80" s="145" t="s">
        <v>683</v>
      </c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90"/>
      <c r="AY80" s="190"/>
      <c r="AZ80" s="190"/>
      <c r="BA80" s="190"/>
      <c r="BB80" s="190"/>
      <c r="BC80" s="190"/>
      <c r="BD80" s="181"/>
      <c r="BE80" s="181"/>
      <c r="BF80" s="181"/>
      <c r="BG80" s="188">
        <v>500000</v>
      </c>
      <c r="BH80" s="181">
        <v>500000</v>
      </c>
      <c r="BI80" s="181">
        <f t="shared" si="17"/>
        <v>525000</v>
      </c>
      <c r="BJ80" s="181">
        <f t="shared" si="18"/>
        <v>0.95238095238095233</v>
      </c>
      <c r="BK80" s="181"/>
      <c r="BL80" s="181"/>
      <c r="BM80" s="181"/>
      <c r="BN80" s="181"/>
      <c r="BO80" s="181"/>
      <c r="BP80" s="181"/>
      <c r="BQ80" s="181"/>
      <c r="BR80" s="181"/>
      <c r="BS80" s="181"/>
      <c r="BT80" s="181"/>
      <c r="BV80" s="183">
        <v>0.5</v>
      </c>
    </row>
    <row r="81" spans="1:74" s="182" customFormat="1">
      <c r="A81" s="265"/>
      <c r="B81" s="270">
        <v>6220</v>
      </c>
      <c r="C81" s="270" t="s">
        <v>547</v>
      </c>
      <c r="D81" s="264">
        <f>'CF 2016'!O81*1.05</f>
        <v>1050000</v>
      </c>
      <c r="E81" s="264">
        <f t="shared" si="26"/>
        <v>1067010</v>
      </c>
      <c r="F81" s="264">
        <f t="shared" si="21"/>
        <v>1107983.1839999999</v>
      </c>
      <c r="G81" s="264">
        <f t="shared" si="22"/>
        <v>1102886.4613536</v>
      </c>
      <c r="H81" s="264">
        <f t="shared" si="23"/>
        <v>1091857.596740064</v>
      </c>
      <c r="I81" s="143">
        <f t="shared" si="27"/>
        <v>960834.68513125635</v>
      </c>
      <c r="J81" s="143">
        <f t="shared" si="29"/>
        <v>960834.68513125635</v>
      </c>
      <c r="K81" s="143">
        <f t="shared" si="19"/>
        <v>1047309.8067930695</v>
      </c>
      <c r="L81" s="143">
        <f t="shared" si="24"/>
        <v>921632.62997790112</v>
      </c>
      <c r="M81" s="143">
        <f t="shared" si="28"/>
        <v>921632.62997790112</v>
      </c>
      <c r="N81" s="143">
        <f t="shared" si="20"/>
        <v>1004579.5666759122</v>
      </c>
      <c r="O81" s="143">
        <f t="shared" si="25"/>
        <v>1004579.5666759122</v>
      </c>
      <c r="P81" s="143">
        <f t="shared" ref="P81:P119" si="31">SUM(D81:O81)</f>
        <v>12241140.812456872</v>
      </c>
      <c r="Q81" s="145" t="s">
        <v>683</v>
      </c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0"/>
      <c r="BB81" s="190"/>
      <c r="BC81" s="190"/>
      <c r="BD81" s="181"/>
      <c r="BE81" s="181"/>
      <c r="BF81" s="181"/>
      <c r="BG81" s="188">
        <v>1000000</v>
      </c>
      <c r="BH81" s="181">
        <v>1000000</v>
      </c>
      <c r="BI81" s="181">
        <f t="shared" si="17"/>
        <v>1050000</v>
      </c>
      <c r="BJ81" s="181">
        <f t="shared" si="18"/>
        <v>0.95238095238095233</v>
      </c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V81" s="183">
        <v>1</v>
      </c>
    </row>
    <row r="82" spans="1:74" s="182" customFormat="1">
      <c r="A82" s="265"/>
      <c r="B82" s="270">
        <v>6221</v>
      </c>
      <c r="C82" s="270" t="s">
        <v>548</v>
      </c>
      <c r="D82" s="264">
        <f>'CF 2016'!O82*1.05</f>
        <v>525000</v>
      </c>
      <c r="E82" s="264">
        <f t="shared" si="26"/>
        <v>533505</v>
      </c>
      <c r="F82" s="264">
        <f t="shared" si="21"/>
        <v>553991.59199999995</v>
      </c>
      <c r="G82" s="264">
        <f t="shared" si="22"/>
        <v>551443.23067680001</v>
      </c>
      <c r="H82" s="264">
        <f t="shared" si="23"/>
        <v>545928.79837003199</v>
      </c>
      <c r="I82" s="143">
        <f t="shared" si="27"/>
        <v>480417.34256562818</v>
      </c>
      <c r="J82" s="143">
        <f t="shared" si="29"/>
        <v>480417.34256562818</v>
      </c>
      <c r="K82" s="143">
        <f t="shared" si="19"/>
        <v>523654.90339653473</v>
      </c>
      <c r="L82" s="143">
        <f t="shared" si="24"/>
        <v>460816.31498895056</v>
      </c>
      <c r="M82" s="143">
        <f t="shared" si="28"/>
        <v>460816.31498895056</v>
      </c>
      <c r="N82" s="143">
        <f t="shared" si="20"/>
        <v>502289.78333795612</v>
      </c>
      <c r="O82" s="143">
        <f t="shared" si="25"/>
        <v>502289.78333795612</v>
      </c>
      <c r="P82" s="143">
        <f t="shared" si="31"/>
        <v>6120570.4062284362</v>
      </c>
      <c r="Q82" s="145" t="s">
        <v>683</v>
      </c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90"/>
      <c r="AY82" s="190"/>
      <c r="AZ82" s="190"/>
      <c r="BA82" s="190"/>
      <c r="BB82" s="190"/>
      <c r="BC82" s="190"/>
      <c r="BD82" s="181"/>
      <c r="BE82" s="181"/>
      <c r="BF82" s="181"/>
      <c r="BG82" s="188">
        <v>500000</v>
      </c>
      <c r="BH82" s="181">
        <v>500000</v>
      </c>
      <c r="BI82" s="181">
        <f t="shared" si="17"/>
        <v>525000</v>
      </c>
      <c r="BJ82" s="181">
        <f t="shared" si="18"/>
        <v>0.95238095238095233</v>
      </c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V82" s="183">
        <v>0.5</v>
      </c>
    </row>
    <row r="83" spans="1:74" s="124" customFormat="1">
      <c r="A83" s="265"/>
      <c r="B83" s="270">
        <v>6230</v>
      </c>
      <c r="C83" s="270" t="s">
        <v>68</v>
      </c>
      <c r="D83" s="264">
        <f>'CF 2016'!O83*1.05</f>
        <v>3254999.9999999995</v>
      </c>
      <c r="E83" s="264">
        <f t="shared" si="26"/>
        <v>3307730.9999999995</v>
      </c>
      <c r="F83" s="264">
        <f t="shared" si="21"/>
        <v>3434747.870399999</v>
      </c>
      <c r="G83" s="264">
        <f t="shared" si="22"/>
        <v>3418948.0301961591</v>
      </c>
      <c r="H83" s="264">
        <f t="shared" si="23"/>
        <v>3384758.5498941974</v>
      </c>
      <c r="I83" s="143">
        <f t="shared" si="27"/>
        <v>2978587.5239068936</v>
      </c>
      <c r="J83" s="143">
        <f t="shared" si="29"/>
        <v>2978587.5239068936</v>
      </c>
      <c r="K83" s="143">
        <f t="shared" si="19"/>
        <v>3246660.4010585141</v>
      </c>
      <c r="L83" s="143">
        <f t="shared" si="24"/>
        <v>2857061.1529314923</v>
      </c>
      <c r="M83" s="143">
        <f t="shared" si="28"/>
        <v>2857061.1529314923</v>
      </c>
      <c r="N83" s="143">
        <f t="shared" si="20"/>
        <v>3114196.6566953268</v>
      </c>
      <c r="O83" s="143">
        <f t="shared" si="25"/>
        <v>3114196.6566953268</v>
      </c>
      <c r="P83" s="143">
        <f t="shared" si="31"/>
        <v>37947536.518616296</v>
      </c>
      <c r="Q83" s="145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80"/>
      <c r="BE83" s="80"/>
      <c r="BF83" s="80"/>
      <c r="BG83" s="118">
        <v>3225500</v>
      </c>
      <c r="BH83" s="80">
        <v>3225500</v>
      </c>
      <c r="BI83" s="80">
        <f t="shared" si="17"/>
        <v>3254999.9999999995</v>
      </c>
      <c r="BJ83" s="80">
        <f t="shared" si="18"/>
        <v>0.99093701996927819</v>
      </c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V83" s="129">
        <v>9.9999999999999992E-2</v>
      </c>
    </row>
    <row r="84" spans="1:74" s="124" customFormat="1">
      <c r="A84" s="265"/>
      <c r="B84" s="270">
        <v>6231</v>
      </c>
      <c r="C84" s="270" t="s">
        <v>69</v>
      </c>
      <c r="D84" s="264">
        <f>'CF 2016'!O84*1.05</f>
        <v>2100000</v>
      </c>
      <c r="E84" s="264">
        <f t="shared" si="26"/>
        <v>2134020</v>
      </c>
      <c r="F84" s="264">
        <f t="shared" si="21"/>
        <v>2215966.3679999998</v>
      </c>
      <c r="G84" s="264">
        <f t="shared" si="22"/>
        <v>2205772.9227072001</v>
      </c>
      <c r="H84" s="264">
        <f t="shared" si="23"/>
        <v>2183715.193480128</v>
      </c>
      <c r="I84" s="143">
        <f t="shared" si="27"/>
        <v>1921669.3702625127</v>
      </c>
      <c r="J84" s="143">
        <f t="shared" si="29"/>
        <v>1921669.3702625127</v>
      </c>
      <c r="K84" s="143">
        <f t="shared" si="19"/>
        <v>2094619.6135861389</v>
      </c>
      <c r="L84" s="143">
        <f t="shared" si="24"/>
        <v>1843265.2599558022</v>
      </c>
      <c r="M84" s="143">
        <f t="shared" si="28"/>
        <v>1843265.2599558022</v>
      </c>
      <c r="N84" s="143">
        <f t="shared" si="20"/>
        <v>2009159.1333518245</v>
      </c>
      <c r="O84" s="143">
        <f t="shared" si="25"/>
        <v>2009159.1333518245</v>
      </c>
      <c r="P84" s="143">
        <f t="shared" si="31"/>
        <v>24482281.624913745</v>
      </c>
      <c r="Q84" s="145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80"/>
      <c r="BE84" s="80"/>
      <c r="BF84" s="80"/>
      <c r="BG84" s="118">
        <v>8000000</v>
      </c>
      <c r="BH84" s="80">
        <v>8000000</v>
      </c>
      <c r="BI84" s="80">
        <f t="shared" si="17"/>
        <v>2100000</v>
      </c>
      <c r="BJ84" s="80">
        <f t="shared" si="18"/>
        <v>3.8095238095238093</v>
      </c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V84" s="129">
        <v>0</v>
      </c>
    </row>
    <row r="85" spans="1:74" s="182" customFormat="1">
      <c r="A85" s="265"/>
      <c r="B85" s="270">
        <v>6240</v>
      </c>
      <c r="C85" s="270" t="s">
        <v>549</v>
      </c>
      <c r="D85" s="264">
        <f>'CF 2016'!O85*1.05</f>
        <v>4725000</v>
      </c>
      <c r="E85" s="264">
        <f t="shared" si="26"/>
        <v>4801545</v>
      </c>
      <c r="F85" s="264">
        <f t="shared" si="21"/>
        <v>4985924.3279999997</v>
      </c>
      <c r="G85" s="264">
        <f t="shared" si="22"/>
        <v>4962989.0760912001</v>
      </c>
      <c r="H85" s="264">
        <f t="shared" si="23"/>
        <v>4913359.1853302885</v>
      </c>
      <c r="I85" s="143">
        <f t="shared" si="27"/>
        <v>4323756.0830906536</v>
      </c>
      <c r="J85" s="143">
        <f t="shared" si="29"/>
        <v>4323756.0830906536</v>
      </c>
      <c r="K85" s="143">
        <f t="shared" si="19"/>
        <v>4712894.1305688126</v>
      </c>
      <c r="L85" s="143">
        <f t="shared" si="24"/>
        <v>4147346.8349005552</v>
      </c>
      <c r="M85" s="143">
        <f t="shared" si="28"/>
        <v>4147346.8349005552</v>
      </c>
      <c r="N85" s="143">
        <f t="shared" si="20"/>
        <v>4520608.0500416048</v>
      </c>
      <c r="O85" s="143">
        <f t="shared" si="25"/>
        <v>4520608.0500416048</v>
      </c>
      <c r="P85" s="143">
        <f t="shared" si="31"/>
        <v>55085133.656055927</v>
      </c>
      <c r="Q85" s="145" t="s">
        <v>683</v>
      </c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90"/>
      <c r="AY85" s="190"/>
      <c r="AZ85" s="190"/>
      <c r="BA85" s="190"/>
      <c r="BB85" s="190"/>
      <c r="BC85" s="190"/>
      <c r="BD85" s="181"/>
      <c r="BE85" s="181"/>
      <c r="BF85" s="181"/>
      <c r="BG85" s="188">
        <v>4500000</v>
      </c>
      <c r="BH85" s="181">
        <v>4500000</v>
      </c>
      <c r="BI85" s="181">
        <f t="shared" si="17"/>
        <v>4725000</v>
      </c>
      <c r="BJ85" s="181">
        <f t="shared" si="18"/>
        <v>0.95238095238095233</v>
      </c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V85" s="183">
        <v>4.5</v>
      </c>
    </row>
    <row r="86" spans="1:74" s="182" customFormat="1">
      <c r="A86" s="265"/>
      <c r="B86" s="270">
        <v>6241</v>
      </c>
      <c r="C86" s="270" t="s">
        <v>550</v>
      </c>
      <c r="D86" s="264">
        <f>'CF 2016'!O86*1.05</f>
        <v>2100000</v>
      </c>
      <c r="E86" s="264">
        <f t="shared" si="26"/>
        <v>2134020</v>
      </c>
      <c r="F86" s="264">
        <f t="shared" si="21"/>
        <v>2215966.3679999998</v>
      </c>
      <c r="G86" s="264">
        <f t="shared" si="22"/>
        <v>2205772.9227072001</v>
      </c>
      <c r="H86" s="264">
        <f t="shared" si="23"/>
        <v>2183715.193480128</v>
      </c>
      <c r="I86" s="143">
        <f t="shared" si="27"/>
        <v>1921669.3702625127</v>
      </c>
      <c r="J86" s="143">
        <f t="shared" si="29"/>
        <v>1921669.3702625127</v>
      </c>
      <c r="K86" s="143">
        <f t="shared" si="19"/>
        <v>2094619.6135861389</v>
      </c>
      <c r="L86" s="143">
        <f t="shared" si="24"/>
        <v>1843265.2599558022</v>
      </c>
      <c r="M86" s="143">
        <f t="shared" si="28"/>
        <v>1843265.2599558022</v>
      </c>
      <c r="N86" s="143">
        <f t="shared" si="20"/>
        <v>2009159.1333518245</v>
      </c>
      <c r="O86" s="143">
        <f t="shared" si="25"/>
        <v>2009159.1333518245</v>
      </c>
      <c r="P86" s="143">
        <f t="shared" si="31"/>
        <v>24482281.624913745</v>
      </c>
      <c r="Q86" s="145" t="s">
        <v>683</v>
      </c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0"/>
      <c r="BB86" s="190"/>
      <c r="BC86" s="190"/>
      <c r="BD86" s="181"/>
      <c r="BE86" s="181"/>
      <c r="BF86" s="181"/>
      <c r="BG86" s="188">
        <v>2000000</v>
      </c>
      <c r="BH86" s="181">
        <v>2000000</v>
      </c>
      <c r="BI86" s="181">
        <f t="shared" si="17"/>
        <v>2100000</v>
      </c>
      <c r="BJ86" s="181">
        <f t="shared" si="18"/>
        <v>0.95238095238095233</v>
      </c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V86" s="183">
        <v>2</v>
      </c>
    </row>
    <row r="87" spans="1:74" s="124" customFormat="1" ht="30">
      <c r="A87" s="265"/>
      <c r="B87" s="270">
        <v>6250</v>
      </c>
      <c r="C87" s="270" t="s">
        <v>72</v>
      </c>
      <c r="D87" s="264">
        <f>'CF 2016'!O87*1.05</f>
        <v>35910000</v>
      </c>
      <c r="E87" s="264">
        <f t="shared" si="26"/>
        <v>36491742</v>
      </c>
      <c r="F87" s="264">
        <f t="shared" si="21"/>
        <v>37893024.892799996</v>
      </c>
      <c r="G87" s="264">
        <f t="shared" si="22"/>
        <v>37718716.978293121</v>
      </c>
      <c r="H87" s="264">
        <f t="shared" si="23"/>
        <v>37341529.808510192</v>
      </c>
      <c r="I87" s="143">
        <f t="shared" si="27"/>
        <v>32860546.231488969</v>
      </c>
      <c r="J87" s="143">
        <f t="shared" si="29"/>
        <v>32860546.231488969</v>
      </c>
      <c r="K87" s="143">
        <f t="shared" si="19"/>
        <v>35817995.392322972</v>
      </c>
      <c r="L87" s="143">
        <f t="shared" si="24"/>
        <v>31519835.945244215</v>
      </c>
      <c r="M87" s="143">
        <f t="shared" si="28"/>
        <v>31519835.945244215</v>
      </c>
      <c r="N87" s="143">
        <f t="shared" si="20"/>
        <v>34356621.180316195</v>
      </c>
      <c r="O87" s="143">
        <f t="shared" si="25"/>
        <v>34356621.180316195</v>
      </c>
      <c r="P87" s="143">
        <f t="shared" si="31"/>
        <v>418647015.78602505</v>
      </c>
      <c r="Q87" s="507" t="s">
        <v>685</v>
      </c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80"/>
      <c r="BE87" s="80"/>
      <c r="BF87" s="80"/>
      <c r="BG87" s="118">
        <v>39000000</v>
      </c>
      <c r="BH87" s="80">
        <v>39000000</v>
      </c>
      <c r="BI87" s="80">
        <f t="shared" si="17"/>
        <v>35910000</v>
      </c>
      <c r="BJ87" s="80">
        <f t="shared" si="18"/>
        <v>1.086048454469507</v>
      </c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V87" s="129">
        <v>39</v>
      </c>
    </row>
    <row r="88" spans="1:74" s="124" customFormat="1">
      <c r="A88" s="265"/>
      <c r="B88" s="270"/>
      <c r="C88" s="270"/>
      <c r="D88" s="264">
        <f>'CF 2016'!O88*1.05</f>
        <v>0</v>
      </c>
      <c r="E88" s="264">
        <f t="shared" si="26"/>
        <v>0</v>
      </c>
      <c r="F88" s="264">
        <f t="shared" si="21"/>
        <v>0</v>
      </c>
      <c r="G88" s="264">
        <f t="shared" si="22"/>
        <v>0</v>
      </c>
      <c r="H88" s="264">
        <f t="shared" si="23"/>
        <v>0</v>
      </c>
      <c r="I88" s="143">
        <f t="shared" si="27"/>
        <v>0</v>
      </c>
      <c r="J88" s="143">
        <f t="shared" si="29"/>
        <v>0</v>
      </c>
      <c r="K88" s="143">
        <f t="shared" si="19"/>
        <v>0</v>
      </c>
      <c r="L88" s="143">
        <f t="shared" si="24"/>
        <v>0</v>
      </c>
      <c r="M88" s="143">
        <f t="shared" si="28"/>
        <v>0</v>
      </c>
      <c r="N88" s="143">
        <f t="shared" si="20"/>
        <v>0</v>
      </c>
      <c r="O88" s="143">
        <f t="shared" si="25"/>
        <v>0</v>
      </c>
      <c r="P88" s="143">
        <f t="shared" si="31"/>
        <v>0</v>
      </c>
      <c r="Q88" s="145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80"/>
      <c r="BE88" s="80"/>
      <c r="BF88" s="80"/>
      <c r="BG88" s="118">
        <v>0</v>
      </c>
      <c r="BH88" s="80">
        <v>0</v>
      </c>
      <c r="BI88" s="80">
        <f t="shared" si="17"/>
        <v>0</v>
      </c>
      <c r="BJ88" s="80" t="e">
        <f t="shared" si="18"/>
        <v>#DIV/0!</v>
      </c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V88" s="129"/>
    </row>
    <row r="89" spans="1:74" s="124" customFormat="1">
      <c r="A89" s="265"/>
      <c r="B89" s="269" t="s">
        <v>73</v>
      </c>
      <c r="C89" s="270"/>
      <c r="D89" s="264">
        <f>'CF 2016'!O89*1.05</f>
        <v>0</v>
      </c>
      <c r="E89" s="264">
        <f t="shared" si="26"/>
        <v>0</v>
      </c>
      <c r="F89" s="264">
        <f t="shared" si="21"/>
        <v>0</v>
      </c>
      <c r="G89" s="264">
        <f t="shared" si="22"/>
        <v>0</v>
      </c>
      <c r="H89" s="264">
        <f t="shared" si="23"/>
        <v>0</v>
      </c>
      <c r="I89" s="143">
        <f t="shared" si="27"/>
        <v>0</v>
      </c>
      <c r="J89" s="143">
        <f t="shared" si="29"/>
        <v>0</v>
      </c>
      <c r="K89" s="143">
        <f t="shared" si="19"/>
        <v>0</v>
      </c>
      <c r="L89" s="143">
        <f t="shared" si="24"/>
        <v>0</v>
      </c>
      <c r="M89" s="143">
        <f t="shared" si="28"/>
        <v>0</v>
      </c>
      <c r="N89" s="143">
        <f t="shared" si="20"/>
        <v>0</v>
      </c>
      <c r="O89" s="143">
        <f t="shared" si="25"/>
        <v>0</v>
      </c>
      <c r="P89" s="143">
        <f t="shared" si="31"/>
        <v>0</v>
      </c>
      <c r="Q89" s="145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80"/>
      <c r="BE89" s="80"/>
      <c r="BF89" s="80"/>
      <c r="BG89" s="118">
        <v>0</v>
      </c>
      <c r="BH89" s="80">
        <v>0</v>
      </c>
      <c r="BI89" s="80">
        <f t="shared" si="17"/>
        <v>0</v>
      </c>
      <c r="BJ89" s="80" t="e">
        <f t="shared" si="18"/>
        <v>#DIV/0!</v>
      </c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V89" s="129"/>
    </row>
    <row r="90" spans="1:74" s="124" customFormat="1">
      <c r="A90" s="265"/>
      <c r="B90" s="270">
        <v>6000</v>
      </c>
      <c r="C90" s="270" t="s">
        <v>74</v>
      </c>
      <c r="D90" s="264">
        <f>'CF 2016'!O90*1.05</f>
        <v>0</v>
      </c>
      <c r="E90" s="264">
        <f t="shared" si="26"/>
        <v>0</v>
      </c>
      <c r="F90" s="264">
        <f t="shared" si="21"/>
        <v>0</v>
      </c>
      <c r="G90" s="264">
        <f t="shared" si="22"/>
        <v>0</v>
      </c>
      <c r="H90" s="264">
        <f t="shared" si="23"/>
        <v>0</v>
      </c>
      <c r="I90" s="143">
        <f t="shared" si="27"/>
        <v>0</v>
      </c>
      <c r="J90" s="143">
        <f t="shared" si="29"/>
        <v>0</v>
      </c>
      <c r="K90" s="143">
        <f t="shared" si="19"/>
        <v>0</v>
      </c>
      <c r="L90" s="143">
        <f t="shared" si="24"/>
        <v>0</v>
      </c>
      <c r="M90" s="143">
        <f t="shared" si="28"/>
        <v>0</v>
      </c>
      <c r="N90" s="143">
        <f t="shared" si="20"/>
        <v>0</v>
      </c>
      <c r="O90" s="143">
        <f t="shared" si="25"/>
        <v>0</v>
      </c>
      <c r="P90" s="143">
        <f t="shared" si="31"/>
        <v>0</v>
      </c>
      <c r="Q90" s="145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80"/>
      <c r="BE90" s="80"/>
      <c r="BF90" s="80"/>
      <c r="BG90" s="118">
        <v>0</v>
      </c>
      <c r="BH90" s="80">
        <v>0</v>
      </c>
      <c r="BI90" s="80">
        <f t="shared" si="17"/>
        <v>0</v>
      </c>
      <c r="BJ90" s="80" t="e">
        <f t="shared" si="18"/>
        <v>#DIV/0!</v>
      </c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V90" s="129"/>
    </row>
    <row r="91" spans="1:74" s="182" customFormat="1">
      <c r="A91" s="265"/>
      <c r="B91" s="270">
        <v>6001</v>
      </c>
      <c r="C91" s="270" t="s">
        <v>705</v>
      </c>
      <c r="D91" s="264">
        <f>'CF 2016'!O91*1.05</f>
        <v>1155000000</v>
      </c>
      <c r="E91" s="264">
        <f t="shared" si="26"/>
        <v>1173711000</v>
      </c>
      <c r="F91" s="264">
        <f t="shared" si="21"/>
        <v>1218781502.3999999</v>
      </c>
      <c r="G91" s="264">
        <f t="shared" si="22"/>
        <v>1213175107.48896</v>
      </c>
      <c r="H91" s="264">
        <f t="shared" si="23"/>
        <v>1201043356.4140704</v>
      </c>
      <c r="I91" s="143">
        <f>1056918153.64438-28884664</f>
        <v>1028033489.64438</v>
      </c>
      <c r="J91" s="143">
        <f>1056918153.64438-14551678</f>
        <v>1042366475.64438</v>
      </c>
      <c r="K91" s="143">
        <f>1152040787.47238+294752</f>
        <v>1152335539.4723799</v>
      </c>
      <c r="L91" s="143">
        <f>1013795892.97569-334019</f>
        <v>1013461873.97569</v>
      </c>
      <c r="M91" s="143">
        <f>1013461873.97569-17849999</f>
        <v>995611874.97569001</v>
      </c>
      <c r="N91" s="143">
        <f>1129673442.6335-19503950</f>
        <v>1110169492.6335001</v>
      </c>
      <c r="O91" s="143">
        <f>1193661451.6335+496051</f>
        <v>1194157502.6335001</v>
      </c>
      <c r="P91" s="143">
        <f t="shared" si="31"/>
        <v>13497847215.282551</v>
      </c>
      <c r="Q91" s="145" t="s">
        <v>686</v>
      </c>
      <c r="R91" s="163"/>
      <c r="S91" s="163"/>
      <c r="T91" s="163"/>
      <c r="U91" s="163"/>
      <c r="V91" s="163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190"/>
      <c r="AV91" s="190"/>
      <c r="AW91" s="190"/>
      <c r="AX91" s="190"/>
      <c r="AY91" s="190"/>
      <c r="AZ91" s="190"/>
      <c r="BA91" s="190"/>
      <c r="BB91" s="190"/>
      <c r="BC91" s="190"/>
      <c r="BD91" s="181"/>
      <c r="BE91" s="181"/>
      <c r="BF91" s="181"/>
      <c r="BG91" s="188">
        <v>1100000000</v>
      </c>
      <c r="BH91" s="181">
        <v>1100000000</v>
      </c>
      <c r="BI91" s="181">
        <f t="shared" si="17"/>
        <v>1155000000</v>
      </c>
      <c r="BJ91" s="181">
        <f t="shared" si="18"/>
        <v>0.95238095238095233</v>
      </c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V91" s="183">
        <v>1000</v>
      </c>
    </row>
    <row r="92" spans="1:74" s="182" customFormat="1">
      <c r="A92" s="265"/>
      <c r="B92" s="270">
        <v>6002</v>
      </c>
      <c r="C92" s="270" t="s">
        <v>706</v>
      </c>
      <c r="D92" s="264">
        <f>'CF 2016'!O92*1.05</f>
        <v>94500000</v>
      </c>
      <c r="E92" s="264">
        <f t="shared" si="26"/>
        <v>96030900</v>
      </c>
      <c r="F92" s="264">
        <f t="shared" si="21"/>
        <v>99718486.559999987</v>
      </c>
      <c r="G92" s="264">
        <f t="shared" si="22"/>
        <v>99259781.521823987</v>
      </c>
      <c r="H92" s="264">
        <f t="shared" si="23"/>
        <v>98267183.706605747</v>
      </c>
      <c r="I92" s="143">
        <f t="shared" si="27"/>
        <v>86475121.661813051</v>
      </c>
      <c r="J92" s="143">
        <f t="shared" si="29"/>
        <v>86475121.661813051</v>
      </c>
      <c r="K92" s="143">
        <f t="shared" si="19"/>
        <v>94257882.611376226</v>
      </c>
      <c r="L92" s="143">
        <f t="shared" si="24"/>
        <v>82946936.698011085</v>
      </c>
      <c r="M92" s="143">
        <f t="shared" si="28"/>
        <v>82946936.698011085</v>
      </c>
      <c r="N92" s="143">
        <f t="shared" si="20"/>
        <v>90412161.000832081</v>
      </c>
      <c r="O92" s="143">
        <f t="shared" si="25"/>
        <v>90412161.000832081</v>
      </c>
      <c r="P92" s="143">
        <f t="shared" si="31"/>
        <v>1101702673.1211183</v>
      </c>
      <c r="Q92" s="145" t="s">
        <v>686</v>
      </c>
      <c r="R92" s="163"/>
      <c r="S92" s="163"/>
      <c r="T92" s="163"/>
      <c r="U92" s="163"/>
      <c r="V92" s="163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90"/>
      <c r="BC92" s="190"/>
      <c r="BD92" s="181"/>
      <c r="BE92" s="181"/>
      <c r="BF92" s="181"/>
      <c r="BG92" s="188">
        <v>90000000</v>
      </c>
      <c r="BH92" s="181">
        <v>90000000</v>
      </c>
      <c r="BI92" s="181">
        <f t="shared" si="17"/>
        <v>94500000</v>
      </c>
      <c r="BJ92" s="181">
        <f t="shared" si="18"/>
        <v>0.95238095238095233</v>
      </c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V92" s="183">
        <v>90</v>
      </c>
    </row>
    <row r="93" spans="1:74">
      <c r="A93" s="265"/>
      <c r="B93" s="270">
        <v>6020</v>
      </c>
      <c r="C93" s="270" t="s">
        <v>77</v>
      </c>
      <c r="D93" s="264">
        <f>'CF 2016'!O93*1.05</f>
        <v>1312500000</v>
      </c>
      <c r="E93" s="264">
        <f t="shared" si="26"/>
        <v>1333762500</v>
      </c>
      <c r="F93" s="264">
        <f t="shared" si="21"/>
        <v>1384978979.9999998</v>
      </c>
      <c r="G93" s="264">
        <f t="shared" si="22"/>
        <v>1378608076.6919999</v>
      </c>
      <c r="H93" s="264">
        <f t="shared" si="23"/>
        <v>1364821995.9250798</v>
      </c>
      <c r="I93" s="143">
        <f t="shared" si="27"/>
        <v>1201043356.4140701</v>
      </c>
      <c r="J93" s="143">
        <f t="shared" si="29"/>
        <v>1201043356.4140701</v>
      </c>
      <c r="K93" s="143">
        <f t="shared" si="19"/>
        <v>1309137258.4913363</v>
      </c>
      <c r="L93" s="143">
        <f t="shared" si="24"/>
        <v>1152040787.4723759</v>
      </c>
      <c r="M93" s="143">
        <f t="shared" si="28"/>
        <v>1152040787.4723759</v>
      </c>
      <c r="N93" s="143">
        <f t="shared" si="20"/>
        <v>1255724458.3448896</v>
      </c>
      <c r="O93" s="143">
        <f t="shared" si="25"/>
        <v>1255724458.3448896</v>
      </c>
      <c r="P93" s="143">
        <f t="shared" si="31"/>
        <v>15301426015.571087</v>
      </c>
      <c r="Q93" s="145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80"/>
      <c r="BE93" s="80"/>
      <c r="BF93" s="80"/>
      <c r="BG93" s="118">
        <v>1300000000</v>
      </c>
      <c r="BH93" s="80">
        <v>1300000000</v>
      </c>
      <c r="BI93" s="80">
        <f t="shared" si="17"/>
        <v>1312500000</v>
      </c>
      <c r="BJ93" s="80">
        <f t="shared" si="18"/>
        <v>0.99047619047619051</v>
      </c>
      <c r="BK93" s="81"/>
      <c r="BL93" s="81"/>
      <c r="BM93" s="81"/>
      <c r="BN93" s="81"/>
      <c r="BO93" s="81"/>
      <c r="BP93" s="81"/>
      <c r="BQ93" s="81"/>
      <c r="BR93" s="81"/>
      <c r="BS93" s="81"/>
      <c r="BT93" s="81"/>
      <c r="BV93" s="73">
        <v>1000</v>
      </c>
    </row>
    <row r="94" spans="1:74">
      <c r="A94" s="265"/>
      <c r="B94" s="270">
        <v>6021</v>
      </c>
      <c r="C94" s="270" t="s">
        <v>78</v>
      </c>
      <c r="D94" s="264">
        <f>'CF 2016'!O94*1.05</f>
        <v>94500000</v>
      </c>
      <c r="E94" s="264">
        <f t="shared" si="26"/>
        <v>96030900</v>
      </c>
      <c r="F94" s="264">
        <f t="shared" si="21"/>
        <v>99718486.559999987</v>
      </c>
      <c r="G94" s="264">
        <f t="shared" si="22"/>
        <v>99259781.521823987</v>
      </c>
      <c r="H94" s="264">
        <f t="shared" si="23"/>
        <v>98267183.706605747</v>
      </c>
      <c r="I94" s="143">
        <f t="shared" si="27"/>
        <v>86475121.661813051</v>
      </c>
      <c r="J94" s="143">
        <f t="shared" si="29"/>
        <v>86475121.661813051</v>
      </c>
      <c r="K94" s="143">
        <f t="shared" si="19"/>
        <v>94257882.611376226</v>
      </c>
      <c r="L94" s="143">
        <f t="shared" si="24"/>
        <v>82946936.698011085</v>
      </c>
      <c r="M94" s="143">
        <f t="shared" si="28"/>
        <v>82946936.698011085</v>
      </c>
      <c r="N94" s="143">
        <f t="shared" si="20"/>
        <v>90412161.000832081</v>
      </c>
      <c r="O94" s="143">
        <f t="shared" si="25"/>
        <v>90412161.000832081</v>
      </c>
      <c r="P94" s="143">
        <f t="shared" si="31"/>
        <v>1101702673.1211183</v>
      </c>
      <c r="Q94" s="145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80"/>
      <c r="BE94" s="80"/>
      <c r="BF94" s="80"/>
      <c r="BG94" s="118">
        <v>90000000</v>
      </c>
      <c r="BH94" s="80">
        <v>90000000</v>
      </c>
      <c r="BI94" s="80">
        <f t="shared" si="17"/>
        <v>94500000</v>
      </c>
      <c r="BJ94" s="80">
        <f t="shared" si="18"/>
        <v>0.95238095238095233</v>
      </c>
      <c r="BK94" s="81"/>
      <c r="BL94" s="81"/>
      <c r="BM94" s="81"/>
      <c r="BN94" s="81"/>
      <c r="BO94" s="81"/>
      <c r="BP94" s="81"/>
      <c r="BQ94" s="81"/>
      <c r="BR94" s="81"/>
      <c r="BS94" s="81"/>
      <c r="BT94" s="81"/>
      <c r="BV94" s="73">
        <v>90</v>
      </c>
    </row>
    <row r="95" spans="1:74" ht="16.5" customHeight="1">
      <c r="A95" s="265"/>
      <c r="B95" s="270">
        <v>6030</v>
      </c>
      <c r="C95" s="270" t="s">
        <v>79</v>
      </c>
      <c r="D95" s="264">
        <f>'CF 2016'!O95*1.05</f>
        <v>4200000</v>
      </c>
      <c r="E95" s="264">
        <f t="shared" si="26"/>
        <v>4268040</v>
      </c>
      <c r="F95" s="264">
        <f t="shared" si="21"/>
        <v>4431932.7359999996</v>
      </c>
      <c r="G95" s="264">
        <f t="shared" si="22"/>
        <v>4411545.8454144001</v>
      </c>
      <c r="H95" s="264">
        <f t="shared" si="23"/>
        <v>4367430.3869602559</v>
      </c>
      <c r="I95" s="143">
        <f t="shared" si="27"/>
        <v>3843338.7405250254</v>
      </c>
      <c r="J95" s="143">
        <f t="shared" si="29"/>
        <v>3843338.7405250254</v>
      </c>
      <c r="K95" s="143">
        <f t="shared" si="19"/>
        <v>4189239.2271722779</v>
      </c>
      <c r="L95" s="143">
        <f t="shared" si="24"/>
        <v>3686530.5199116045</v>
      </c>
      <c r="M95" s="143">
        <f t="shared" si="28"/>
        <v>3686530.5199116045</v>
      </c>
      <c r="N95" s="143">
        <f t="shared" si="20"/>
        <v>4018318.266703649</v>
      </c>
      <c r="O95" s="143">
        <f t="shared" si="25"/>
        <v>4018318.266703649</v>
      </c>
      <c r="P95" s="143">
        <f t="shared" si="31"/>
        <v>48964563.249827489</v>
      </c>
      <c r="Q95" s="145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80"/>
      <c r="BE95" s="80"/>
      <c r="BF95" s="80"/>
      <c r="BG95" s="118">
        <v>4000000</v>
      </c>
      <c r="BH95" s="80">
        <v>4000000</v>
      </c>
      <c r="BI95" s="80">
        <f t="shared" si="17"/>
        <v>4200000</v>
      </c>
      <c r="BJ95" s="80">
        <f t="shared" si="18"/>
        <v>0.95238095238095233</v>
      </c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V95" s="73">
        <v>4</v>
      </c>
    </row>
    <row r="96" spans="1:74" ht="16.5" customHeight="1">
      <c r="A96" s="265"/>
      <c r="B96" s="270">
        <v>6040</v>
      </c>
      <c r="C96" s="270" t="s">
        <v>80</v>
      </c>
      <c r="D96" s="264">
        <f>'CF 2016'!O96*1.05</f>
        <v>0</v>
      </c>
      <c r="E96" s="264">
        <f t="shared" si="26"/>
        <v>0</v>
      </c>
      <c r="F96" s="264">
        <f t="shared" si="21"/>
        <v>0</v>
      </c>
      <c r="G96" s="264">
        <f t="shared" si="22"/>
        <v>0</v>
      </c>
      <c r="H96" s="264">
        <f t="shared" si="23"/>
        <v>0</v>
      </c>
      <c r="I96" s="143">
        <f t="shared" si="27"/>
        <v>0</v>
      </c>
      <c r="J96" s="143">
        <f t="shared" si="29"/>
        <v>0</v>
      </c>
      <c r="K96" s="143">
        <f t="shared" si="19"/>
        <v>0</v>
      </c>
      <c r="L96" s="143">
        <f t="shared" si="24"/>
        <v>0</v>
      </c>
      <c r="M96" s="143">
        <f t="shared" si="28"/>
        <v>0</v>
      </c>
      <c r="N96" s="143">
        <f t="shared" si="20"/>
        <v>0</v>
      </c>
      <c r="O96" s="143">
        <f t="shared" si="25"/>
        <v>0</v>
      </c>
      <c r="P96" s="143">
        <f t="shared" si="31"/>
        <v>0</v>
      </c>
      <c r="Q96" s="145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80"/>
      <c r="BE96" s="80"/>
      <c r="BF96" s="80"/>
      <c r="BG96" s="118">
        <v>0</v>
      </c>
      <c r="BH96" s="80">
        <v>0</v>
      </c>
      <c r="BI96" s="80">
        <f t="shared" si="17"/>
        <v>0</v>
      </c>
      <c r="BJ96" s="80" t="e">
        <f t="shared" si="18"/>
        <v>#DIV/0!</v>
      </c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V96" s="73"/>
    </row>
    <row r="97" spans="1:74">
      <c r="A97" s="265"/>
      <c r="B97" s="270">
        <v>6041</v>
      </c>
      <c r="C97" s="270" t="s">
        <v>81</v>
      </c>
      <c r="D97" s="264">
        <f>'CF 2016'!O97*1.05</f>
        <v>0</v>
      </c>
      <c r="E97" s="264">
        <f t="shared" si="26"/>
        <v>0</v>
      </c>
      <c r="F97" s="264">
        <f t="shared" si="21"/>
        <v>0</v>
      </c>
      <c r="G97" s="264">
        <f t="shared" si="22"/>
        <v>0</v>
      </c>
      <c r="H97" s="264">
        <f t="shared" si="23"/>
        <v>0</v>
      </c>
      <c r="I97" s="143">
        <f t="shared" si="27"/>
        <v>0</v>
      </c>
      <c r="J97" s="143">
        <f t="shared" si="29"/>
        <v>0</v>
      </c>
      <c r="K97" s="143">
        <f t="shared" si="19"/>
        <v>0</v>
      </c>
      <c r="L97" s="143">
        <f t="shared" si="24"/>
        <v>0</v>
      </c>
      <c r="M97" s="143">
        <f t="shared" si="28"/>
        <v>0</v>
      </c>
      <c r="N97" s="143">
        <f t="shared" si="20"/>
        <v>0</v>
      </c>
      <c r="O97" s="143">
        <f t="shared" si="25"/>
        <v>0</v>
      </c>
      <c r="P97" s="143">
        <f t="shared" si="31"/>
        <v>0</v>
      </c>
      <c r="Q97" s="145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80"/>
      <c r="BE97" s="80"/>
      <c r="BF97" s="80"/>
      <c r="BG97" s="118">
        <v>0</v>
      </c>
      <c r="BH97" s="80">
        <v>0</v>
      </c>
      <c r="BI97" s="80">
        <f t="shared" si="17"/>
        <v>0</v>
      </c>
      <c r="BJ97" s="80" t="e">
        <f t="shared" si="18"/>
        <v>#DIV/0!</v>
      </c>
      <c r="BK97" s="81"/>
      <c r="BL97" s="81"/>
      <c r="BM97" s="81"/>
      <c r="BN97" s="81"/>
      <c r="BO97" s="81"/>
      <c r="BP97" s="81"/>
      <c r="BQ97" s="81"/>
      <c r="BR97" s="81"/>
      <c r="BS97" s="81"/>
      <c r="BT97" s="81"/>
      <c r="BV97" s="73"/>
    </row>
    <row r="98" spans="1:74">
      <c r="A98" s="265"/>
      <c r="B98" s="270">
        <v>6050</v>
      </c>
      <c r="C98" s="270" t="s">
        <v>82</v>
      </c>
      <c r="D98" s="264">
        <f>120750000+1405000</f>
        <v>122155000</v>
      </c>
      <c r="E98" s="264">
        <f>122706150+1469800</f>
        <v>124175950</v>
      </c>
      <c r="F98" s="264">
        <f>127418066.16+1625888</f>
        <v>129043954.16</v>
      </c>
      <c r="G98" s="264">
        <f>126831943.055664+506473</f>
        <v>127338416.055664</v>
      </c>
      <c r="H98" s="264">
        <f>125563623.625107+464457</f>
        <v>126028080.62510701</v>
      </c>
      <c r="I98" s="143">
        <v>110495988.79009447</v>
      </c>
      <c r="J98" s="143">
        <v>110495988.79009447</v>
      </c>
      <c r="K98" s="143">
        <v>120440627.78120297</v>
      </c>
      <c r="L98" s="143">
        <v>105987752.44745861</v>
      </c>
      <c r="M98" s="143">
        <v>105987752.44745861</v>
      </c>
      <c r="N98" s="143">
        <v>115526650.16772988</v>
      </c>
      <c r="O98" s="143">
        <v>115526650.16772988</v>
      </c>
      <c r="P98" s="143">
        <f t="shared" si="31"/>
        <v>1413202811.4325397</v>
      </c>
      <c r="Q98" s="145" t="s">
        <v>687</v>
      </c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80"/>
      <c r="BE98" s="80"/>
      <c r="BF98" s="80"/>
      <c r="BG98" s="118">
        <v>115000000</v>
      </c>
      <c r="BH98" s="80">
        <v>115000000</v>
      </c>
      <c r="BI98" s="80">
        <f t="shared" ref="BI98:BI102" si="32">+D98</f>
        <v>122155000</v>
      </c>
      <c r="BJ98" s="80">
        <f t="shared" ref="BJ98:BJ101" si="33">+BH98/BI98</f>
        <v>0.94142687569072081</v>
      </c>
      <c r="BK98" s="81"/>
      <c r="BL98" s="81"/>
      <c r="BM98" s="81"/>
      <c r="BN98" s="81"/>
      <c r="BO98" s="81"/>
      <c r="BP98" s="81"/>
      <c r="BQ98" s="81"/>
      <c r="BR98" s="81"/>
      <c r="BS98" s="81"/>
      <c r="BT98" s="81"/>
      <c r="BV98" s="73">
        <v>115</v>
      </c>
    </row>
    <row r="99" spans="1:74">
      <c r="A99" s="265"/>
      <c r="B99" s="270">
        <v>6051</v>
      </c>
      <c r="C99" s="270" t="s">
        <v>83</v>
      </c>
      <c r="D99" s="264">
        <f>'CF 2016'!O99*1.05</f>
        <v>630000</v>
      </c>
      <c r="E99" s="264">
        <f t="shared" si="26"/>
        <v>640206</v>
      </c>
      <c r="F99" s="264">
        <f t="shared" si="21"/>
        <v>664789.91039999994</v>
      </c>
      <c r="G99" s="264">
        <f t="shared" si="22"/>
        <v>661731.87681216002</v>
      </c>
      <c r="H99" s="264">
        <f t="shared" si="23"/>
        <v>655114.55804403836</v>
      </c>
      <c r="I99" s="143">
        <f t="shared" si="27"/>
        <v>576500.81107875379</v>
      </c>
      <c r="J99" s="143">
        <f t="shared" si="29"/>
        <v>576500.81107875379</v>
      </c>
      <c r="K99" s="143">
        <f t="shared" ref="K99:K104" si="34">J99+(J99*$K$9%)</f>
        <v>628385.88407584163</v>
      </c>
      <c r="L99" s="143">
        <f t="shared" si="24"/>
        <v>552979.57798674062</v>
      </c>
      <c r="M99" s="143">
        <f t="shared" si="28"/>
        <v>552979.57798674062</v>
      </c>
      <c r="N99" s="143">
        <f t="shared" ref="N99:N104" si="35">M99+(M99*$K$9%)</f>
        <v>602747.7400055473</v>
      </c>
      <c r="O99" s="143">
        <f t="shared" si="25"/>
        <v>602747.7400055473</v>
      </c>
      <c r="P99" s="143">
        <f t="shared" si="31"/>
        <v>7344684.487474123</v>
      </c>
      <c r="Q99" s="145" t="s">
        <v>687</v>
      </c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80"/>
      <c r="BE99" s="80"/>
      <c r="BF99" s="80"/>
      <c r="BG99" s="118">
        <v>600000</v>
      </c>
      <c r="BH99" s="80">
        <v>600000</v>
      </c>
      <c r="BI99" s="80">
        <f t="shared" si="32"/>
        <v>630000</v>
      </c>
      <c r="BJ99" s="80">
        <f t="shared" si="33"/>
        <v>0.95238095238095233</v>
      </c>
      <c r="BK99" s="81"/>
      <c r="BL99" s="81"/>
      <c r="BM99" s="81"/>
      <c r="BN99" s="81"/>
      <c r="BO99" s="81"/>
      <c r="BP99" s="81"/>
      <c r="BQ99" s="81"/>
      <c r="BR99" s="81"/>
      <c r="BS99" s="81"/>
      <c r="BT99" s="81"/>
      <c r="BV99" s="73">
        <v>0.6</v>
      </c>
    </row>
    <row r="100" spans="1:74">
      <c r="A100" s="265"/>
      <c r="B100" s="270">
        <v>6052</v>
      </c>
      <c r="C100" s="270" t="s">
        <v>84</v>
      </c>
      <c r="D100" s="264">
        <f>'CF 2016'!O100*1.05</f>
        <v>525000</v>
      </c>
      <c r="E100" s="264">
        <f t="shared" si="26"/>
        <v>533505</v>
      </c>
      <c r="F100" s="264">
        <f t="shared" ref="F100:F102" si="36">E100+(E100*$F$9%)</f>
        <v>553991.59199999995</v>
      </c>
      <c r="G100" s="264">
        <f t="shared" ref="G100:G102" si="37">F100+(F100*$G$9%)</f>
        <v>551443.23067680001</v>
      </c>
      <c r="H100" s="264">
        <f t="shared" ref="H100:H105" si="38">G100+(G100*$H$9%)</f>
        <v>545928.79837003199</v>
      </c>
      <c r="I100" s="143">
        <f t="shared" si="27"/>
        <v>480417.34256562818</v>
      </c>
      <c r="J100" s="143">
        <f t="shared" si="29"/>
        <v>480417.34256562818</v>
      </c>
      <c r="K100" s="143">
        <f t="shared" si="34"/>
        <v>523654.90339653473</v>
      </c>
      <c r="L100" s="143">
        <f t="shared" ref="L100:L104" si="39">K100+(K100*$I$9%)</f>
        <v>460816.31498895056</v>
      </c>
      <c r="M100" s="143">
        <f t="shared" si="28"/>
        <v>460816.31498895056</v>
      </c>
      <c r="N100" s="143">
        <f t="shared" si="35"/>
        <v>502289.78333795612</v>
      </c>
      <c r="O100" s="143">
        <f t="shared" ref="O100:O104" si="40">N100+(N100*$O$9%)</f>
        <v>502289.78333795612</v>
      </c>
      <c r="P100" s="143">
        <f t="shared" si="31"/>
        <v>6120570.4062284362</v>
      </c>
      <c r="Q100" s="145" t="s">
        <v>687</v>
      </c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80"/>
      <c r="BE100" s="80"/>
      <c r="BF100" s="80"/>
      <c r="BG100" s="118">
        <v>500000</v>
      </c>
      <c r="BH100" s="80">
        <v>500000</v>
      </c>
      <c r="BI100" s="80">
        <f t="shared" si="32"/>
        <v>525000</v>
      </c>
      <c r="BJ100" s="80">
        <f t="shared" si="33"/>
        <v>0.95238095238095233</v>
      </c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V100" s="73">
        <v>0.5</v>
      </c>
    </row>
    <row r="101" spans="1:74">
      <c r="A101" s="265"/>
      <c r="B101" s="270">
        <v>6090</v>
      </c>
      <c r="C101" s="270" t="s">
        <v>85</v>
      </c>
      <c r="D101" s="264">
        <f>'CF 2016'!O101*1.05</f>
        <v>1050000</v>
      </c>
      <c r="E101" s="264">
        <f t="shared" ref="E101:E102" si="41">D101+(D101*$E$9%)</f>
        <v>1067010</v>
      </c>
      <c r="F101" s="264">
        <f t="shared" si="36"/>
        <v>1107983.1839999999</v>
      </c>
      <c r="G101" s="264">
        <f t="shared" si="37"/>
        <v>1102886.4613536</v>
      </c>
      <c r="H101" s="264">
        <f t="shared" si="38"/>
        <v>1091857.596740064</v>
      </c>
      <c r="I101" s="143">
        <f t="shared" ref="I101:I105" si="42">H101+(H101*$I$9%)</f>
        <v>960834.68513125635</v>
      </c>
      <c r="J101" s="143">
        <f t="shared" si="29"/>
        <v>960834.68513125635</v>
      </c>
      <c r="K101" s="143">
        <f t="shared" si="34"/>
        <v>1047309.8067930695</v>
      </c>
      <c r="L101" s="143">
        <f t="shared" si="39"/>
        <v>921632.62997790112</v>
      </c>
      <c r="M101" s="143">
        <f t="shared" ref="M101:M104" si="43">L101+(L101*$J$9%)</f>
        <v>921632.62997790112</v>
      </c>
      <c r="N101" s="143">
        <f t="shared" si="35"/>
        <v>1004579.5666759122</v>
      </c>
      <c r="O101" s="143">
        <f t="shared" si="40"/>
        <v>1004579.5666759122</v>
      </c>
      <c r="P101" s="143">
        <f t="shared" si="31"/>
        <v>12241140.812456872</v>
      </c>
      <c r="Q101" s="145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80"/>
      <c r="BE101" s="80"/>
      <c r="BF101" s="80"/>
      <c r="BG101" s="118">
        <v>1000000</v>
      </c>
      <c r="BH101" s="80">
        <v>1000000</v>
      </c>
      <c r="BI101" s="80">
        <f t="shared" si="32"/>
        <v>1050000</v>
      </c>
      <c r="BJ101" s="80">
        <f t="shared" si="33"/>
        <v>0.95238095238095233</v>
      </c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V101" s="73">
        <v>1</v>
      </c>
    </row>
    <row r="102" spans="1:74">
      <c r="A102" s="265"/>
      <c r="B102" s="270"/>
      <c r="C102" s="270" t="s">
        <v>86</v>
      </c>
      <c r="D102" s="264">
        <f>'CF 2016'!O102*1.05</f>
        <v>68250000</v>
      </c>
      <c r="E102" s="264">
        <f t="shared" si="41"/>
        <v>69355650</v>
      </c>
      <c r="F102" s="264">
        <f t="shared" si="36"/>
        <v>72018906.959999993</v>
      </c>
      <c r="G102" s="264">
        <f t="shared" si="37"/>
        <v>71687619.987984002</v>
      </c>
      <c r="H102" s="264">
        <f t="shared" si="38"/>
        <v>70970743.788104162</v>
      </c>
      <c r="I102" s="143">
        <f t="shared" si="42"/>
        <v>62454254.533531666</v>
      </c>
      <c r="J102" s="143">
        <f t="shared" ref="J102:J105" si="44">I102+(I102*$J$9%)</f>
        <v>62454254.533531666</v>
      </c>
      <c r="K102" s="143">
        <f t="shared" si="34"/>
        <v>68075137.44154951</v>
      </c>
      <c r="L102" s="143">
        <f t="shared" si="39"/>
        <v>59906120.948563568</v>
      </c>
      <c r="M102" s="143">
        <f t="shared" si="43"/>
        <v>59906120.948563568</v>
      </c>
      <c r="N102" s="143">
        <f t="shared" si="35"/>
        <v>65297671.833934292</v>
      </c>
      <c r="O102" s="143">
        <f t="shared" si="40"/>
        <v>65297671.833934292</v>
      </c>
      <c r="P102" s="143">
        <f t="shared" si="31"/>
        <v>795674152.80969679</v>
      </c>
      <c r="Q102" s="145" t="s">
        <v>688</v>
      </c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80"/>
      <c r="BE102" s="80"/>
      <c r="BF102" s="80"/>
      <c r="BG102" s="118">
        <v>65000000</v>
      </c>
      <c r="BH102" s="80">
        <v>65000000</v>
      </c>
      <c r="BI102" s="80">
        <f t="shared" si="32"/>
        <v>68250000</v>
      </c>
      <c r="BJ102" s="80">
        <f>+BH102/BI102</f>
        <v>0.95238095238095233</v>
      </c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V102" s="73">
        <v>65</v>
      </c>
    </row>
    <row r="103" spans="1:74">
      <c r="A103" s="265"/>
      <c r="B103" s="270"/>
      <c r="C103" s="270" t="s">
        <v>87</v>
      </c>
      <c r="D103" s="264">
        <f>'CF 2016'!O103*1.05</f>
        <v>0</v>
      </c>
      <c r="E103" s="264"/>
      <c r="F103" s="264"/>
      <c r="G103" s="264"/>
      <c r="H103" s="264">
        <f t="shared" si="38"/>
        <v>0</v>
      </c>
      <c r="I103" s="143">
        <f t="shared" si="42"/>
        <v>0</v>
      </c>
      <c r="J103" s="143">
        <f t="shared" si="44"/>
        <v>0</v>
      </c>
      <c r="K103" s="143">
        <f t="shared" si="34"/>
        <v>0</v>
      </c>
      <c r="L103" s="143">
        <f t="shared" si="39"/>
        <v>0</v>
      </c>
      <c r="M103" s="143">
        <f t="shared" si="43"/>
        <v>0</v>
      </c>
      <c r="N103" s="143">
        <f t="shared" si="35"/>
        <v>0</v>
      </c>
      <c r="O103" s="143">
        <f t="shared" si="40"/>
        <v>0</v>
      </c>
      <c r="P103" s="143">
        <f t="shared" si="31"/>
        <v>0</v>
      </c>
      <c r="Q103" s="145" t="s">
        <v>674</v>
      </c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80"/>
      <c r="BE103" s="80"/>
      <c r="BF103" s="80"/>
      <c r="BG103" s="118"/>
      <c r="BH103" s="80"/>
      <c r="BI103" s="80"/>
      <c r="BJ103" s="80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V103" s="73"/>
    </row>
    <row r="104" spans="1:74">
      <c r="A104" s="265"/>
      <c r="B104" s="270"/>
      <c r="C104" s="270" t="s">
        <v>88</v>
      </c>
      <c r="D104" s="264">
        <f>'CF 2016'!O104*1.05</f>
        <v>0</v>
      </c>
      <c r="E104" s="264"/>
      <c r="F104" s="264"/>
      <c r="G104" s="264"/>
      <c r="H104" s="264">
        <f t="shared" si="38"/>
        <v>0</v>
      </c>
      <c r="I104" s="143">
        <f t="shared" si="42"/>
        <v>0</v>
      </c>
      <c r="J104" s="143">
        <f t="shared" si="44"/>
        <v>0</v>
      </c>
      <c r="K104" s="143">
        <f t="shared" si="34"/>
        <v>0</v>
      </c>
      <c r="L104" s="143">
        <f t="shared" si="39"/>
        <v>0</v>
      </c>
      <c r="M104" s="143">
        <f t="shared" si="43"/>
        <v>0</v>
      </c>
      <c r="N104" s="143">
        <f t="shared" si="35"/>
        <v>0</v>
      </c>
      <c r="O104" s="143">
        <f t="shared" si="40"/>
        <v>0</v>
      </c>
      <c r="P104" s="143">
        <f t="shared" si="31"/>
        <v>0</v>
      </c>
      <c r="Q104" s="145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80"/>
      <c r="BE104" s="80"/>
      <c r="BF104" s="80"/>
      <c r="BG104" s="118"/>
      <c r="BH104" s="80"/>
      <c r="BI104" s="80"/>
      <c r="BJ104" s="80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V104" s="73"/>
    </row>
    <row r="105" spans="1:74">
      <c r="A105" s="265"/>
      <c r="B105" s="270"/>
      <c r="C105" s="270" t="s">
        <v>89</v>
      </c>
      <c r="D105" s="264">
        <f>47350632+58924880+49574000</f>
        <v>155849512</v>
      </c>
      <c r="E105" s="264"/>
      <c r="F105" s="264"/>
      <c r="G105" s="264"/>
      <c r="H105" s="264">
        <f t="shared" si="38"/>
        <v>0</v>
      </c>
      <c r="I105" s="143">
        <f t="shared" si="42"/>
        <v>0</v>
      </c>
      <c r="J105" s="143">
        <f t="shared" si="44"/>
        <v>0</v>
      </c>
      <c r="K105" s="143"/>
      <c r="L105" s="143"/>
      <c r="M105" s="143"/>
      <c r="N105" s="143"/>
      <c r="O105" s="143"/>
      <c r="P105" s="143">
        <f t="shared" si="31"/>
        <v>155849512</v>
      </c>
      <c r="Q105" s="145" t="s">
        <v>689</v>
      </c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80"/>
      <c r="BE105" s="80"/>
      <c r="BF105" s="80"/>
      <c r="BG105" s="118"/>
      <c r="BH105" s="80"/>
      <c r="BI105" s="80"/>
      <c r="BJ105" s="80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V105" s="73"/>
    </row>
    <row r="106" spans="1:74">
      <c r="A106" s="265"/>
      <c r="B106" s="607" t="s">
        <v>90</v>
      </c>
      <c r="C106" s="607"/>
      <c r="D106" s="267">
        <f>SUM(D32:D105)</f>
        <v>4149755512</v>
      </c>
      <c r="E106" s="267">
        <f t="shared" ref="E106:J106" si="45">SUM(E32:E105)</f>
        <v>4047635827.1999998</v>
      </c>
      <c r="F106" s="267">
        <f t="shared" si="45"/>
        <v>4175887980.2444792</v>
      </c>
      <c r="G106" s="267">
        <f t="shared" si="45"/>
        <v>4210632273.8695631</v>
      </c>
      <c r="H106" s="267">
        <f t="shared" si="45"/>
        <v>4125504642.340867</v>
      </c>
      <c r="I106" s="147">
        <f t="shared" si="45"/>
        <v>3711714086.0999608</v>
      </c>
      <c r="J106" s="147">
        <f t="shared" si="45"/>
        <v>4463444858.8796997</v>
      </c>
      <c r="K106" s="147">
        <f>SUM(K32:K105)</f>
        <v>3982401362.5789633</v>
      </c>
      <c r="L106" s="147">
        <f t="shared" ref="L106:O106" si="46">SUM(L32:L105)</f>
        <v>3589002519.909483</v>
      </c>
      <c r="M106" s="147">
        <f t="shared" si="46"/>
        <v>3589002520.909483</v>
      </c>
      <c r="N106" s="147">
        <f t="shared" si="46"/>
        <v>3873645755.5013351</v>
      </c>
      <c r="O106" s="147">
        <f t="shared" si="46"/>
        <v>3937633765.5013351</v>
      </c>
      <c r="P106" s="147">
        <f t="shared" si="31"/>
        <v>47856261105.035172</v>
      </c>
      <c r="Q106" s="149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82">
        <f>+BD109*5</f>
        <v>3750000000</v>
      </c>
      <c r="BE106" s="82">
        <v>250000000</v>
      </c>
      <c r="BF106" s="82"/>
      <c r="BG106" s="119">
        <v>3807445500</v>
      </c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V106" s="73">
        <v>3363.3003004999996</v>
      </c>
    </row>
    <row r="107" spans="1:74">
      <c r="A107" s="265"/>
      <c r="B107" s="270"/>
      <c r="C107" s="270" t="s">
        <v>112</v>
      </c>
      <c r="D107" s="264"/>
      <c r="E107" s="264"/>
      <c r="F107" s="264"/>
      <c r="G107" s="264"/>
      <c r="H107" s="264"/>
      <c r="I107" s="143"/>
      <c r="J107" s="143"/>
      <c r="K107" s="143"/>
      <c r="L107" s="143"/>
      <c r="M107" s="143"/>
      <c r="N107" s="143"/>
      <c r="O107" s="143"/>
      <c r="P107" s="143">
        <f t="shared" si="31"/>
        <v>0</v>
      </c>
      <c r="Q107" s="145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80"/>
      <c r="BE107" s="80"/>
      <c r="BF107" s="80"/>
      <c r="BG107" s="118">
        <v>117000000</v>
      </c>
      <c r="BH107" s="80"/>
      <c r="BI107" s="80"/>
      <c r="BJ107" s="80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V107" s="73"/>
    </row>
    <row r="108" spans="1:74" s="182" customFormat="1" ht="30">
      <c r="A108" s="265"/>
      <c r="B108" s="270"/>
      <c r="C108" s="271" t="s">
        <v>585</v>
      </c>
      <c r="D108" s="264">
        <v>200000000</v>
      </c>
      <c r="E108" s="264"/>
      <c r="F108" s="264"/>
      <c r="G108" s="264"/>
      <c r="H108" s="264"/>
      <c r="I108" s="143"/>
      <c r="J108" s="143"/>
      <c r="K108" s="143"/>
      <c r="L108" s="143"/>
      <c r="M108" s="143"/>
      <c r="N108" s="143"/>
      <c r="O108" s="143"/>
      <c r="P108" s="143">
        <f t="shared" si="31"/>
        <v>200000000</v>
      </c>
      <c r="Q108" s="145" t="s">
        <v>683</v>
      </c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90"/>
      <c r="AY108" s="190"/>
      <c r="AZ108" s="190"/>
      <c r="BA108" s="190"/>
      <c r="BB108" s="190"/>
      <c r="BC108" s="190"/>
      <c r="BD108" s="181"/>
      <c r="BE108" s="181"/>
      <c r="BF108" s="181"/>
      <c r="BG108" s="188">
        <v>0</v>
      </c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V108" s="183">
        <v>30</v>
      </c>
    </row>
    <row r="109" spans="1:74" s="185" customFormat="1">
      <c r="A109" s="265"/>
      <c r="B109" s="270"/>
      <c r="C109" s="502" t="s">
        <v>714</v>
      </c>
      <c r="D109" s="264"/>
      <c r="E109" s="264"/>
      <c r="F109" s="264"/>
      <c r="G109" s="264"/>
      <c r="H109" s="264"/>
      <c r="I109" s="143"/>
      <c r="J109" s="143"/>
      <c r="K109" s="143">
        <f t="shared" ref="K109" si="47">J109</f>
        <v>0</v>
      </c>
      <c r="L109" s="143">
        <v>350000000</v>
      </c>
      <c r="M109" s="143">
        <f>+L109</f>
        <v>350000000</v>
      </c>
      <c r="N109" s="143">
        <v>250000000</v>
      </c>
      <c r="O109" s="143">
        <f t="shared" ref="O109" si="48">+N109</f>
        <v>250000000</v>
      </c>
      <c r="P109" s="143">
        <f t="shared" si="31"/>
        <v>1200000000</v>
      </c>
      <c r="Q109" s="145" t="s">
        <v>683</v>
      </c>
      <c r="R109" s="190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90"/>
      <c r="AY109" s="190"/>
      <c r="AZ109" s="190"/>
      <c r="BA109" s="190"/>
      <c r="BB109" s="190"/>
      <c r="BC109" s="190"/>
      <c r="BD109" s="180">
        <v>750000000</v>
      </c>
      <c r="BE109" s="180">
        <v>5500000000</v>
      </c>
      <c r="BF109" s="180" t="s">
        <v>247</v>
      </c>
      <c r="BG109" s="184">
        <v>80000000</v>
      </c>
      <c r="BH109" s="180"/>
      <c r="BI109" s="180"/>
      <c r="BJ109" s="180"/>
      <c r="BK109" s="180"/>
      <c r="BL109" s="180"/>
      <c r="BM109" s="180"/>
      <c r="BN109" s="180"/>
      <c r="BO109" s="180"/>
      <c r="BP109" s="180"/>
      <c r="BQ109" s="180"/>
      <c r="BR109" s="180"/>
      <c r="BS109" s="180"/>
      <c r="BT109" s="180"/>
      <c r="BV109" s="186"/>
    </row>
    <row r="110" spans="1:74" s="206" customFormat="1">
      <c r="A110" s="265"/>
      <c r="B110" s="273"/>
      <c r="C110" s="502"/>
      <c r="D110" s="264"/>
      <c r="E110" s="264"/>
      <c r="F110" s="264"/>
      <c r="G110" s="264"/>
      <c r="H110" s="264"/>
      <c r="I110" s="143"/>
      <c r="J110" s="143"/>
      <c r="K110" s="143"/>
      <c r="L110" s="143"/>
      <c r="M110" s="143"/>
      <c r="N110" s="143"/>
      <c r="O110" s="143"/>
      <c r="P110" s="143">
        <f t="shared" si="31"/>
        <v>0</v>
      </c>
      <c r="Q110" s="145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203"/>
      <c r="BE110" s="203">
        <v>400000000</v>
      </c>
      <c r="BF110" s="203" t="s">
        <v>248</v>
      </c>
      <c r="BG110" s="205"/>
      <c r="BH110" s="203"/>
      <c r="BI110" s="203"/>
      <c r="BJ110" s="203"/>
      <c r="BK110" s="203"/>
      <c r="BL110" s="203"/>
      <c r="BM110" s="203"/>
      <c r="BN110" s="203"/>
      <c r="BO110" s="203"/>
      <c r="BP110" s="203"/>
      <c r="BQ110" s="203"/>
      <c r="BR110" s="203"/>
      <c r="BS110" s="203"/>
      <c r="BT110" s="203"/>
    </row>
    <row r="111" spans="1:74">
      <c r="A111" s="265"/>
      <c r="B111" s="273"/>
      <c r="C111" s="502" t="s">
        <v>96</v>
      </c>
      <c r="D111" s="264"/>
      <c r="E111" s="264"/>
      <c r="F111" s="264"/>
      <c r="G111" s="264"/>
      <c r="H111" s="264"/>
      <c r="I111" s="143"/>
      <c r="J111" s="143"/>
      <c r="K111" s="143"/>
      <c r="L111" s="143"/>
      <c r="M111" s="143"/>
      <c r="N111" s="143"/>
      <c r="O111" s="143"/>
      <c r="P111" s="143">
        <f t="shared" si="31"/>
        <v>0</v>
      </c>
      <c r="Q111" s="145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80"/>
      <c r="BE111" s="80">
        <v>729700000</v>
      </c>
      <c r="BF111" s="80">
        <f>+C110</f>
        <v>0</v>
      </c>
      <c r="BG111" s="118"/>
      <c r="BH111" s="80">
        <f>BG112-650000000</f>
        <v>-650000000</v>
      </c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V111" s="73"/>
    </row>
    <row r="112" spans="1:74" ht="30">
      <c r="A112" s="265"/>
      <c r="B112" s="273"/>
      <c r="C112" s="276" t="s">
        <v>370</v>
      </c>
      <c r="D112" s="264">
        <v>250000000</v>
      </c>
      <c r="E112" s="264"/>
      <c r="F112" s="264"/>
      <c r="G112" s="264"/>
      <c r="H112" s="264"/>
      <c r="I112" s="143"/>
      <c r="J112" s="143"/>
      <c r="K112" s="143"/>
      <c r="L112" s="143"/>
      <c r="M112" s="143"/>
      <c r="N112" s="143"/>
      <c r="O112" s="143"/>
      <c r="P112" s="143">
        <f t="shared" si="31"/>
        <v>250000000</v>
      </c>
      <c r="Q112" s="145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80"/>
      <c r="BE112" s="80">
        <v>1500000000</v>
      </c>
      <c r="BF112" s="80" t="s">
        <v>249</v>
      </c>
      <c r="BG112" s="119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V112" s="73"/>
    </row>
    <row r="113" spans="1:74" ht="30">
      <c r="A113" s="265"/>
      <c r="B113" s="273"/>
      <c r="C113" s="276" t="s">
        <v>372</v>
      </c>
      <c r="D113" s="264"/>
      <c r="E113" s="264"/>
      <c r="F113" s="264">
        <v>300000000</v>
      </c>
      <c r="G113" s="264">
        <v>300000000</v>
      </c>
      <c r="H113" s="264">
        <v>300000000</v>
      </c>
      <c r="I113" s="143">
        <v>300000000</v>
      </c>
      <c r="J113" s="143">
        <v>300000000</v>
      </c>
      <c r="K113" s="143">
        <v>300000000</v>
      </c>
      <c r="L113" s="143">
        <v>300000000</v>
      </c>
      <c r="M113" s="143">
        <v>300000000</v>
      </c>
      <c r="N113" s="143">
        <v>300000000</v>
      </c>
      <c r="O113" s="143">
        <v>300000000</v>
      </c>
      <c r="P113" s="143">
        <f t="shared" si="31"/>
        <v>3000000000</v>
      </c>
      <c r="Q113" s="145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80"/>
      <c r="BE113" s="80"/>
      <c r="BF113" s="80"/>
      <c r="BG113" s="119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V113" s="73"/>
    </row>
    <row r="114" spans="1:74">
      <c r="A114" s="265"/>
      <c r="B114" s="273"/>
      <c r="C114" s="276" t="s">
        <v>144</v>
      </c>
      <c r="D114" s="264">
        <v>120000000</v>
      </c>
      <c r="E114" s="264">
        <v>120000000</v>
      </c>
      <c r="F114" s="264">
        <v>120000000</v>
      </c>
      <c r="G114" s="264">
        <v>120000000</v>
      </c>
      <c r="H114" s="264">
        <v>120000000</v>
      </c>
      <c r="I114" s="143">
        <v>120000000</v>
      </c>
      <c r="J114" s="143">
        <v>120000000</v>
      </c>
      <c r="K114" s="143">
        <v>120000000</v>
      </c>
      <c r="L114" s="143">
        <v>120000000</v>
      </c>
      <c r="M114" s="143">
        <v>120000000</v>
      </c>
      <c r="N114" s="143">
        <v>120000000</v>
      </c>
      <c r="O114" s="143">
        <v>120000000</v>
      </c>
      <c r="P114" s="143">
        <f t="shared" si="31"/>
        <v>1440000000</v>
      </c>
      <c r="Q114" s="145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82"/>
      <c r="BE114" s="82">
        <f>SUM(BE109:BE112)</f>
        <v>8129700000</v>
      </c>
      <c r="BF114" s="82"/>
      <c r="BG114" s="119">
        <v>120000000</v>
      </c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V114" s="73"/>
    </row>
    <row r="115" spans="1:74">
      <c r="A115" s="265"/>
      <c r="B115" s="270"/>
      <c r="C115" s="277" t="s">
        <v>100</v>
      </c>
      <c r="D115" s="264">
        <v>6405363</v>
      </c>
      <c r="E115" s="264">
        <f>D115</f>
        <v>6405363</v>
      </c>
      <c r="F115" s="264">
        <f t="shared" ref="F115:N116" si="49">E115</f>
        <v>6405363</v>
      </c>
      <c r="G115" s="264">
        <f t="shared" si="49"/>
        <v>6405363</v>
      </c>
      <c r="H115" s="264">
        <f t="shared" si="49"/>
        <v>6405363</v>
      </c>
      <c r="I115" s="143"/>
      <c r="J115" s="143"/>
      <c r="K115" s="143"/>
      <c r="L115" s="143"/>
      <c r="M115" s="143"/>
      <c r="N115" s="143"/>
      <c r="O115" s="143"/>
      <c r="P115" s="143">
        <f t="shared" si="31"/>
        <v>32026815</v>
      </c>
      <c r="Q115" s="145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82"/>
      <c r="BE115" s="82"/>
      <c r="BF115" s="82"/>
      <c r="BG115" s="119">
        <v>10431660</v>
      </c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V115" s="73">
        <v>112.824</v>
      </c>
    </row>
    <row r="116" spans="1:74">
      <c r="A116" s="265"/>
      <c r="B116" s="270"/>
      <c r="C116" s="277" t="s">
        <v>101</v>
      </c>
      <c r="D116" s="264">
        <f>'CF 2016'!O124</f>
        <v>112824344</v>
      </c>
      <c r="E116" s="264">
        <f>D116</f>
        <v>112824344</v>
      </c>
      <c r="F116" s="264">
        <f t="shared" si="49"/>
        <v>112824344</v>
      </c>
      <c r="G116" s="264">
        <f t="shared" si="49"/>
        <v>112824344</v>
      </c>
      <c r="H116" s="264">
        <f t="shared" si="49"/>
        <v>112824344</v>
      </c>
      <c r="I116" s="143">
        <f t="shared" si="49"/>
        <v>112824344</v>
      </c>
      <c r="J116" s="143">
        <f t="shared" si="49"/>
        <v>112824344</v>
      </c>
      <c r="K116" s="143">
        <f t="shared" si="49"/>
        <v>112824344</v>
      </c>
      <c r="L116" s="143">
        <f t="shared" si="49"/>
        <v>112824344</v>
      </c>
      <c r="M116" s="143">
        <f t="shared" si="49"/>
        <v>112824344</v>
      </c>
      <c r="N116" s="143">
        <f t="shared" si="49"/>
        <v>112824344</v>
      </c>
      <c r="O116" s="143"/>
      <c r="P116" s="143">
        <f t="shared" si="31"/>
        <v>1241067784</v>
      </c>
      <c r="Q116" s="145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82"/>
      <c r="BE116" s="82"/>
      <c r="BF116" s="82"/>
      <c r="BG116" s="119">
        <v>112824344</v>
      </c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V116" s="73">
        <v>120</v>
      </c>
    </row>
    <row r="117" spans="1:74" s="182" customFormat="1">
      <c r="A117" s="265"/>
      <c r="B117" s="270"/>
      <c r="C117" s="277" t="s">
        <v>414</v>
      </c>
      <c r="D117" s="264">
        <f>D195+D196+D197</f>
        <v>939000000</v>
      </c>
      <c r="E117" s="264">
        <f t="shared" ref="E117:O117" si="50">E195+E196+E197</f>
        <v>939000000</v>
      </c>
      <c r="F117" s="264">
        <f t="shared" si="50"/>
        <v>939000000</v>
      </c>
      <c r="G117" s="264">
        <f t="shared" si="50"/>
        <v>939000000</v>
      </c>
      <c r="H117" s="264">
        <f t="shared" si="50"/>
        <v>939000000</v>
      </c>
      <c r="I117" s="143">
        <f t="shared" si="50"/>
        <v>939000000</v>
      </c>
      <c r="J117" s="143">
        <f t="shared" si="50"/>
        <v>939000000</v>
      </c>
      <c r="K117" s="143">
        <f t="shared" si="50"/>
        <v>2654625000</v>
      </c>
      <c r="L117" s="143">
        <f t="shared" si="50"/>
        <v>2654625000</v>
      </c>
      <c r="M117" s="143">
        <f t="shared" si="50"/>
        <v>2654625000</v>
      </c>
      <c r="N117" s="143">
        <f t="shared" si="50"/>
        <v>2654625000</v>
      </c>
      <c r="O117" s="143">
        <f t="shared" si="50"/>
        <v>2654625000</v>
      </c>
      <c r="P117" s="143">
        <f t="shared" si="31"/>
        <v>19846125000</v>
      </c>
      <c r="Q117" s="145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  <c r="AY117" s="163"/>
      <c r="AZ117" s="190"/>
      <c r="BA117" s="190"/>
      <c r="BB117" s="190"/>
      <c r="BC117" s="190"/>
      <c r="BD117" s="181"/>
      <c r="BE117" s="181"/>
      <c r="BF117" s="181"/>
      <c r="BG117" s="188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V117" s="183">
        <v>10.5</v>
      </c>
    </row>
    <row r="118" spans="1:74">
      <c r="A118" s="608" t="s">
        <v>433</v>
      </c>
      <c r="B118" s="609"/>
      <c r="C118" s="609"/>
      <c r="D118" s="267">
        <f>SUM(D106:D117)</f>
        <v>5777985219</v>
      </c>
      <c r="E118" s="267">
        <f t="shared" ref="E118:O118" si="51">SUM(E106:E117)</f>
        <v>5225865534.1999998</v>
      </c>
      <c r="F118" s="267">
        <f t="shared" si="51"/>
        <v>5654117687.2444792</v>
      </c>
      <c r="G118" s="267">
        <f t="shared" si="51"/>
        <v>5688861980.8695631</v>
      </c>
      <c r="H118" s="267">
        <f t="shared" si="51"/>
        <v>5603734349.340867</v>
      </c>
      <c r="I118" s="147">
        <f t="shared" si="51"/>
        <v>5183538430.0999603</v>
      </c>
      <c r="J118" s="147">
        <f t="shared" si="51"/>
        <v>5935269202.8796997</v>
      </c>
      <c r="K118" s="147">
        <f t="shared" si="51"/>
        <v>7169850706.5789633</v>
      </c>
      <c r="L118" s="147">
        <f t="shared" si="51"/>
        <v>7126451863.909483</v>
      </c>
      <c r="M118" s="147">
        <f t="shared" si="51"/>
        <v>7126451864.909483</v>
      </c>
      <c r="N118" s="147">
        <f t="shared" si="51"/>
        <v>7311095099.5013351</v>
      </c>
      <c r="O118" s="147">
        <f t="shared" si="51"/>
        <v>7262258765.5013351</v>
      </c>
      <c r="P118" s="147">
        <f>SUM(D118:O118)</f>
        <v>75065480704.035172</v>
      </c>
      <c r="Q118" s="149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82"/>
      <c r="BE118" s="82"/>
      <c r="BF118" s="82"/>
      <c r="BG118" s="119">
        <v>4497701504</v>
      </c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V118" s="73">
        <f>SUM(BV106:BV117)</f>
        <v>3636.6243004999997</v>
      </c>
    </row>
    <row r="119" spans="1:74">
      <c r="A119" s="265"/>
      <c r="B119" s="269"/>
      <c r="C119" s="270"/>
      <c r="D119" s="267"/>
      <c r="E119" s="267"/>
      <c r="F119" s="267"/>
      <c r="G119" s="267"/>
      <c r="H119" s="267"/>
      <c r="I119" s="147"/>
      <c r="J119" s="147"/>
      <c r="K119" s="147"/>
      <c r="L119" s="147"/>
      <c r="M119" s="147"/>
      <c r="N119" s="147"/>
      <c r="O119" s="147"/>
      <c r="P119" s="143">
        <f t="shared" si="31"/>
        <v>0</v>
      </c>
      <c r="Q119" s="145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80"/>
      <c r="BE119" s="80"/>
      <c r="BF119" s="80"/>
      <c r="BG119" s="118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</row>
    <row r="120" spans="1:74">
      <c r="A120" s="610" t="s">
        <v>434</v>
      </c>
      <c r="B120" s="611"/>
      <c r="C120" s="611"/>
      <c r="D120" s="278">
        <f t="shared" ref="D120:P120" si="52">+D29-D118</f>
        <v>376471444.1562233</v>
      </c>
      <c r="E120" s="278">
        <f t="shared" si="52"/>
        <v>1185644003.1455593</v>
      </c>
      <c r="F120" s="278">
        <f t="shared" si="52"/>
        <v>1179074708.1265373</v>
      </c>
      <c r="G120" s="278">
        <f t="shared" si="52"/>
        <v>1693305898.3851328</v>
      </c>
      <c r="H120" s="278">
        <f t="shared" si="52"/>
        <v>867503155.76181984</v>
      </c>
      <c r="I120" s="151">
        <f t="shared" si="52"/>
        <v>617978948.06452751</v>
      </c>
      <c r="J120" s="151">
        <f t="shared" si="52"/>
        <v>582020378.80739307</v>
      </c>
      <c r="K120" s="151">
        <f t="shared" si="52"/>
        <v>892205148.28591442</v>
      </c>
      <c r="L120" s="151">
        <f t="shared" si="52"/>
        <v>769905229.90505123</v>
      </c>
      <c r="M120" s="151">
        <f t="shared" si="52"/>
        <v>283204545.78125477</v>
      </c>
      <c r="N120" s="151">
        <f t="shared" si="52"/>
        <v>118395310.27275848</v>
      </c>
      <c r="O120" s="151">
        <f t="shared" si="52"/>
        <v>29051040.758263588</v>
      </c>
      <c r="P120" s="151">
        <f t="shared" si="52"/>
        <v>29051040.758255005</v>
      </c>
      <c r="Q120" s="152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22"/>
      <c r="BE120" s="122"/>
      <c r="BF120" s="122"/>
      <c r="BG120" s="120">
        <v>-852293618.15999985</v>
      </c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>
        <f>+BU29-BU118</f>
        <v>0</v>
      </c>
      <c r="BV120" s="76">
        <f>+BV29-BV118</f>
        <v>-3636.6243004999997</v>
      </c>
    </row>
    <row r="121" spans="1:74">
      <c r="A121" s="362"/>
      <c r="B121" s="362"/>
      <c r="C121" s="362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82"/>
      <c r="BE121" s="82"/>
      <c r="BF121" s="82"/>
      <c r="BG121" s="119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</row>
    <row r="122" spans="1:74">
      <c r="A122" s="362"/>
      <c r="B122" s="362"/>
      <c r="C122" s="362"/>
      <c r="D122" s="153">
        <v>376471444.1562233</v>
      </c>
      <c r="E122" s="153">
        <v>1185644003.1455593</v>
      </c>
      <c r="F122" s="153">
        <v>1179074707.8065367</v>
      </c>
      <c r="G122" s="153">
        <v>1693305898.8314037</v>
      </c>
      <c r="H122" s="153">
        <v>867503155.69669914</v>
      </c>
      <c r="I122" s="153">
        <v>617978948.3893795</v>
      </c>
      <c r="J122" s="153">
        <v>582020378.52221966</v>
      </c>
      <c r="K122" s="153">
        <v>892205148.35581779</v>
      </c>
      <c r="L122" s="153">
        <v>769905229.52741814</v>
      </c>
      <c r="M122" s="153">
        <v>283204545.95608521</v>
      </c>
      <c r="N122" s="153">
        <v>118395309.95977306</v>
      </c>
      <c r="O122" s="153">
        <v>29051040.957462311</v>
      </c>
      <c r="P122" s="153">
        <v>29051040.957458496</v>
      </c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82"/>
      <c r="BE122" s="82"/>
      <c r="BF122" s="82"/>
      <c r="BG122" s="119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</row>
    <row r="123" spans="1:74">
      <c r="A123" s="362"/>
      <c r="B123" s="362"/>
      <c r="C123" s="362"/>
      <c r="D123" s="153">
        <f t="shared" ref="D123:O123" si="53">+D120-D122</f>
        <v>0</v>
      </c>
      <c r="E123" s="153">
        <f t="shared" si="53"/>
        <v>0</v>
      </c>
      <c r="F123" s="153">
        <f t="shared" si="53"/>
        <v>0.32000064849853516</v>
      </c>
      <c r="G123" s="153">
        <f t="shared" si="53"/>
        <v>-0.44627094268798828</v>
      </c>
      <c r="H123" s="153">
        <f t="shared" si="53"/>
        <v>6.5120697021484375E-2</v>
      </c>
      <c r="I123" s="153">
        <f t="shared" si="53"/>
        <v>-0.32485198974609375</v>
      </c>
      <c r="J123" s="153">
        <f t="shared" si="53"/>
        <v>0.28517341613769531</v>
      </c>
      <c r="K123" s="153">
        <f t="shared" si="53"/>
        <v>-6.9903373718261719E-2</v>
      </c>
      <c r="L123" s="153">
        <f t="shared" si="53"/>
        <v>0.37763309478759766</v>
      </c>
      <c r="M123" s="153">
        <f t="shared" si="53"/>
        <v>-0.17483043670654297</v>
      </c>
      <c r="N123" s="153">
        <f t="shared" si="53"/>
        <v>0.31298542022705078</v>
      </c>
      <c r="O123" s="153">
        <f t="shared" si="53"/>
        <v>-0.19919872283935547</v>
      </c>
      <c r="P123" s="153">
        <f>+P120-P122</f>
        <v>-0.1992034912109375</v>
      </c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82"/>
      <c r="BE123" s="82"/>
      <c r="BF123" s="82"/>
      <c r="BG123" s="119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</row>
    <row r="124" spans="1:74">
      <c r="A124" s="362"/>
      <c r="B124" s="362"/>
      <c r="C124" s="362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82"/>
      <c r="BE124" s="82"/>
      <c r="BF124" s="82"/>
      <c r="BG124" s="119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</row>
    <row r="125" spans="1:74">
      <c r="A125" s="362"/>
      <c r="B125" s="362"/>
      <c r="C125" s="362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82"/>
      <c r="BE125" s="82"/>
      <c r="BF125" s="82"/>
      <c r="BG125" s="119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</row>
    <row r="126" spans="1:74">
      <c r="A126" s="362"/>
      <c r="B126" s="362"/>
      <c r="C126" s="362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  <c r="AG126" s="153"/>
      <c r="AH126" s="153"/>
      <c r="AI126" s="153"/>
      <c r="AJ126" s="153"/>
      <c r="AK126" s="153"/>
      <c r="AL126" s="153"/>
      <c r="AM126" s="153"/>
      <c r="AN126" s="153"/>
      <c r="AO126" s="153"/>
      <c r="AP126" s="153"/>
      <c r="AQ126" s="153"/>
      <c r="AR126" s="153"/>
      <c r="AS126" s="153"/>
      <c r="AT126" s="153"/>
      <c r="AU126" s="153"/>
      <c r="AV126" s="153"/>
      <c r="AW126" s="153"/>
      <c r="AX126" s="153"/>
      <c r="AY126" s="153"/>
      <c r="AZ126" s="153"/>
      <c r="BA126" s="153"/>
      <c r="BB126" s="153"/>
      <c r="BC126" s="153"/>
      <c r="BD126" s="82"/>
      <c r="BE126" s="82"/>
      <c r="BF126" s="82"/>
      <c r="BG126" s="119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</row>
    <row r="127" spans="1:74">
      <c r="A127" s="362"/>
      <c r="B127" s="362"/>
      <c r="C127" s="362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  <c r="AG127" s="153"/>
      <c r="AH127" s="153"/>
      <c r="AI127" s="153"/>
      <c r="AJ127" s="153"/>
      <c r="AK127" s="153"/>
      <c r="AL127" s="153"/>
      <c r="AM127" s="153"/>
      <c r="AN127" s="153"/>
      <c r="AO127" s="153"/>
      <c r="AP127" s="153"/>
      <c r="AQ127" s="153"/>
      <c r="AR127" s="153"/>
      <c r="AS127" s="153"/>
      <c r="AT127" s="153"/>
      <c r="AU127" s="153"/>
      <c r="AV127" s="153"/>
      <c r="AW127" s="153"/>
      <c r="AX127" s="153"/>
      <c r="AY127" s="153"/>
      <c r="AZ127" s="153"/>
      <c r="BA127" s="153"/>
      <c r="BB127" s="153"/>
      <c r="BC127" s="153"/>
      <c r="BD127" s="82"/>
      <c r="BE127" s="82"/>
      <c r="BF127" s="82"/>
      <c r="BG127" s="119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</row>
    <row r="128" spans="1:74">
      <c r="A128" s="362"/>
      <c r="B128" s="362"/>
      <c r="C128" s="362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  <c r="AG128" s="153"/>
      <c r="AH128" s="153"/>
      <c r="AI128" s="153"/>
      <c r="AJ128" s="153"/>
      <c r="AK128" s="153"/>
      <c r="AL128" s="153"/>
      <c r="AM128" s="153"/>
      <c r="AN128" s="153"/>
      <c r="AO128" s="153"/>
      <c r="AP128" s="153"/>
      <c r="AQ128" s="153"/>
      <c r="AR128" s="153"/>
      <c r="AS128" s="153"/>
      <c r="AT128" s="153"/>
      <c r="AU128" s="153"/>
      <c r="AV128" s="153"/>
      <c r="AW128" s="153"/>
      <c r="AX128" s="153"/>
      <c r="AY128" s="153"/>
      <c r="AZ128" s="153"/>
      <c r="BA128" s="153"/>
      <c r="BB128" s="153"/>
      <c r="BC128" s="153"/>
      <c r="BD128" s="82"/>
      <c r="BE128" s="82"/>
      <c r="BF128" s="82"/>
      <c r="BG128" s="119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</row>
    <row r="129" spans="1:74">
      <c r="A129" s="362"/>
      <c r="B129" s="362"/>
      <c r="C129" s="362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  <c r="AG129" s="153"/>
      <c r="AH129" s="153"/>
      <c r="AI129" s="153"/>
      <c r="AJ129" s="153"/>
      <c r="AK129" s="153"/>
      <c r="AL129" s="153"/>
      <c r="AM129" s="153"/>
      <c r="AN129" s="153"/>
      <c r="AO129" s="153"/>
      <c r="AP129" s="153"/>
      <c r="AQ129" s="153"/>
      <c r="AR129" s="153"/>
      <c r="AS129" s="153"/>
      <c r="AT129" s="153"/>
      <c r="AU129" s="153"/>
      <c r="AV129" s="153"/>
      <c r="AW129" s="153"/>
      <c r="AX129" s="153"/>
      <c r="AY129" s="153"/>
      <c r="AZ129" s="153"/>
      <c r="BA129" s="153"/>
      <c r="BB129" s="153"/>
      <c r="BC129" s="153"/>
      <c r="BD129" s="82"/>
      <c r="BE129" s="82"/>
      <c r="BF129" s="82"/>
      <c r="BG129" s="119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</row>
    <row r="130" spans="1:74">
      <c r="A130" s="362"/>
      <c r="B130" s="362"/>
      <c r="C130" s="362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  <c r="AG130" s="153"/>
      <c r="AH130" s="153"/>
      <c r="AI130" s="153"/>
      <c r="AJ130" s="153"/>
      <c r="AK130" s="153"/>
      <c r="AL130" s="153"/>
      <c r="AM130" s="153"/>
      <c r="AN130" s="153"/>
      <c r="AO130" s="153"/>
      <c r="AP130" s="153"/>
      <c r="AQ130" s="153"/>
      <c r="AR130" s="153"/>
      <c r="AS130" s="153"/>
      <c r="AT130" s="153"/>
      <c r="AU130" s="153"/>
      <c r="AV130" s="153"/>
      <c r="AW130" s="153"/>
      <c r="AX130" s="153"/>
      <c r="AY130" s="153"/>
      <c r="AZ130" s="153"/>
      <c r="BA130" s="153"/>
      <c r="BB130" s="153"/>
      <c r="BC130" s="153"/>
      <c r="BD130" s="82"/>
      <c r="BE130" s="82"/>
      <c r="BF130" s="82"/>
      <c r="BG130" s="119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</row>
    <row r="131" spans="1:74">
      <c r="A131" s="362"/>
      <c r="B131" s="362"/>
      <c r="C131" s="362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153"/>
      <c r="AY131" s="153"/>
      <c r="AZ131" s="153"/>
      <c r="BA131" s="153"/>
      <c r="BB131" s="153"/>
      <c r="BC131" s="153"/>
      <c r="BD131" s="82"/>
      <c r="BE131" s="82"/>
      <c r="BF131" s="82"/>
      <c r="BG131" s="119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</row>
    <row r="132" spans="1:74">
      <c r="A132" s="362"/>
      <c r="B132" s="362"/>
      <c r="C132" s="362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153"/>
      <c r="AY132" s="153"/>
      <c r="AZ132" s="153"/>
      <c r="BA132" s="153"/>
      <c r="BB132" s="153"/>
      <c r="BC132" s="153"/>
      <c r="BD132" s="82"/>
      <c r="BE132" s="82"/>
      <c r="BF132" s="82"/>
      <c r="BG132" s="119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</row>
    <row r="133" spans="1:74">
      <c r="A133" s="362"/>
      <c r="B133" s="362"/>
      <c r="C133" s="362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82"/>
      <c r="BE133" s="82"/>
      <c r="BF133" s="82"/>
      <c r="BG133" s="119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</row>
    <row r="134" spans="1:74">
      <c r="A134" s="362"/>
      <c r="B134" s="362"/>
      <c r="C134" s="362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82"/>
      <c r="BE134" s="82"/>
      <c r="BF134" s="82"/>
      <c r="BG134" s="119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</row>
    <row r="135" spans="1:74">
      <c r="A135" s="362"/>
      <c r="B135" s="362"/>
      <c r="C135" s="362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82"/>
      <c r="BE135" s="82"/>
      <c r="BF135" s="82"/>
      <c r="BG135" s="119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</row>
    <row r="136" spans="1:74">
      <c r="A136" s="362"/>
      <c r="B136" s="362"/>
      <c r="C136" s="362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82"/>
      <c r="BE136" s="82"/>
      <c r="BF136" s="82"/>
      <c r="BG136" s="119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</row>
    <row r="137" spans="1:74">
      <c r="A137" s="362"/>
      <c r="B137" s="362"/>
      <c r="C137" s="362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82"/>
      <c r="BE137" s="82"/>
      <c r="BF137" s="82"/>
      <c r="BG137" s="119"/>
      <c r="BH137" s="82"/>
      <c r="BI137" s="82"/>
      <c r="BJ137" s="82"/>
      <c r="BK137" s="82"/>
      <c r="BL137" s="82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</row>
    <row r="138" spans="1:74">
      <c r="A138" s="362"/>
      <c r="B138" s="362"/>
      <c r="C138" s="362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82"/>
      <c r="BE138" s="82"/>
      <c r="BF138" s="82"/>
      <c r="BG138" s="119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</row>
    <row r="139" spans="1:74">
      <c r="A139" s="362"/>
      <c r="B139" s="362"/>
      <c r="C139" s="362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82"/>
      <c r="BE139" s="82"/>
      <c r="BF139" s="82"/>
      <c r="BG139" s="119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</row>
    <row r="140" spans="1:74">
      <c r="A140" s="362"/>
      <c r="B140" s="362"/>
      <c r="C140" s="362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82"/>
      <c r="BE140" s="82"/>
      <c r="BF140" s="82"/>
      <c r="BG140" s="119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</row>
    <row r="141" spans="1:74">
      <c r="A141" s="362"/>
      <c r="B141" s="362"/>
      <c r="C141" s="362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82"/>
      <c r="BE141" s="82"/>
      <c r="BF141" s="82"/>
      <c r="BG141" s="119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</row>
    <row r="142" spans="1:74">
      <c r="A142" s="362"/>
      <c r="B142" s="362"/>
      <c r="C142" s="362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153"/>
      <c r="AY142" s="153"/>
      <c r="AZ142" s="153"/>
      <c r="BA142" s="153"/>
      <c r="BB142" s="153"/>
      <c r="BC142" s="153"/>
      <c r="BD142" s="82"/>
      <c r="BE142" s="82"/>
      <c r="BF142" s="82"/>
      <c r="BG142" s="119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</row>
    <row r="143" spans="1:74">
      <c r="A143" s="362"/>
      <c r="B143" s="362"/>
      <c r="C143" s="362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153"/>
      <c r="AY143" s="153"/>
      <c r="AZ143" s="153"/>
      <c r="BA143" s="153"/>
      <c r="BB143" s="153"/>
      <c r="BC143" s="153"/>
      <c r="BD143" s="82"/>
      <c r="BE143" s="82"/>
      <c r="BF143" s="82"/>
      <c r="BG143" s="119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</row>
    <row r="144" spans="1:74">
      <c r="A144" s="362"/>
      <c r="B144" s="362"/>
      <c r="C144" s="362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153"/>
      <c r="AY144" s="153"/>
      <c r="AZ144" s="153"/>
      <c r="BA144" s="153"/>
      <c r="BB144" s="153"/>
      <c r="BC144" s="153"/>
      <c r="BD144" s="82"/>
      <c r="BE144" s="82"/>
      <c r="BF144" s="82"/>
      <c r="BG144" s="119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</row>
    <row r="145" spans="1:74">
      <c r="A145" s="362"/>
      <c r="B145" s="362"/>
      <c r="C145" s="362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82"/>
      <c r="BE145" s="82"/>
      <c r="BF145" s="82"/>
      <c r="BG145" s="119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</row>
    <row r="146" spans="1:74">
      <c r="A146" s="362"/>
      <c r="B146" s="362"/>
      <c r="C146" s="362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82"/>
      <c r="BE146" s="82"/>
      <c r="BF146" s="82"/>
      <c r="BG146" s="119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</row>
    <row r="147" spans="1:74">
      <c r="A147" s="362"/>
      <c r="B147" s="362"/>
      <c r="C147" s="362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82"/>
      <c r="BE147" s="82"/>
      <c r="BF147" s="82"/>
      <c r="BG147" s="119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</row>
    <row r="148" spans="1:74">
      <c r="A148" s="362"/>
      <c r="B148" s="362"/>
      <c r="C148" s="362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82"/>
      <c r="BE148" s="82"/>
      <c r="BF148" s="82"/>
      <c r="BG148" s="119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</row>
    <row r="149" spans="1:74">
      <c r="A149" s="362"/>
      <c r="B149" s="362"/>
      <c r="C149" s="362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82"/>
      <c r="BE149" s="82"/>
      <c r="BF149" s="82"/>
      <c r="BG149" s="119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</row>
    <row r="150" spans="1:74">
      <c r="A150" s="362"/>
      <c r="B150" s="362"/>
      <c r="C150" s="362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82"/>
      <c r="BE150" s="82"/>
      <c r="BF150" s="82"/>
      <c r="BG150" s="119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</row>
    <row r="151" spans="1:74">
      <c r="A151" s="362"/>
      <c r="B151" s="362"/>
      <c r="C151" s="362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82"/>
      <c r="BE151" s="82"/>
      <c r="BF151" s="82"/>
      <c r="BG151" s="119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</row>
    <row r="152" spans="1:74">
      <c r="A152" s="362"/>
      <c r="B152" s="362"/>
      <c r="C152" s="362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82"/>
      <c r="BE152" s="82"/>
      <c r="BF152" s="82"/>
      <c r="BG152" s="119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</row>
    <row r="153" spans="1:74">
      <c r="A153" s="362"/>
      <c r="B153" s="362"/>
      <c r="C153" s="362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82"/>
      <c r="BE153" s="82"/>
      <c r="BF153" s="82"/>
      <c r="BG153" s="119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</row>
    <row r="154" spans="1:74">
      <c r="A154" s="362"/>
      <c r="B154" s="362"/>
      <c r="C154" s="362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82"/>
      <c r="BE154" s="82"/>
      <c r="BF154" s="82"/>
      <c r="BG154" s="119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</row>
    <row r="155" spans="1:74">
      <c r="A155" s="362"/>
      <c r="B155" s="362"/>
      <c r="C155" s="362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153"/>
      <c r="AY155" s="153"/>
      <c r="AZ155" s="153"/>
      <c r="BA155" s="153"/>
      <c r="BB155" s="153"/>
      <c r="BC155" s="153"/>
      <c r="BD155" s="82"/>
      <c r="BE155" s="82"/>
      <c r="BF155" s="82"/>
      <c r="BG155" s="119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</row>
    <row r="156" spans="1:74">
      <c r="A156" s="362"/>
      <c r="B156" s="362"/>
      <c r="C156" s="362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153"/>
      <c r="AY156" s="153"/>
      <c r="AZ156" s="153"/>
      <c r="BA156" s="153"/>
      <c r="BB156" s="153"/>
      <c r="BC156" s="153"/>
      <c r="BD156" s="82"/>
      <c r="BE156" s="82"/>
      <c r="BF156" s="82"/>
      <c r="BG156" s="119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</row>
    <row r="157" spans="1:74">
      <c r="A157" s="362"/>
      <c r="B157" s="362"/>
      <c r="C157" s="362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153"/>
      <c r="AY157" s="153"/>
      <c r="AZ157" s="153"/>
      <c r="BA157" s="153"/>
      <c r="BB157" s="153"/>
      <c r="BC157" s="153"/>
      <c r="BD157" s="82"/>
      <c r="BE157" s="82"/>
      <c r="BF157" s="82"/>
      <c r="BG157" s="119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</row>
    <row r="158" spans="1:74">
      <c r="A158" s="362"/>
      <c r="B158" s="362"/>
      <c r="C158" s="362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153"/>
      <c r="AY158" s="153"/>
      <c r="AZ158" s="153"/>
      <c r="BA158" s="153"/>
      <c r="BB158" s="153"/>
      <c r="BC158" s="153"/>
      <c r="BD158" s="82"/>
      <c r="BE158" s="82"/>
      <c r="BF158" s="82"/>
      <c r="BG158" s="119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</row>
    <row r="159" spans="1:74">
      <c r="A159" s="362"/>
      <c r="B159" s="362"/>
      <c r="C159" s="362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153"/>
      <c r="AY159" s="153"/>
      <c r="AZ159" s="153"/>
      <c r="BA159" s="153"/>
      <c r="BB159" s="153"/>
      <c r="BC159" s="153"/>
      <c r="BD159" s="82"/>
      <c r="BE159" s="82"/>
      <c r="BF159" s="82"/>
      <c r="BG159" s="119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</row>
    <row r="160" spans="1:74">
      <c r="A160" s="362"/>
      <c r="B160" s="362"/>
      <c r="C160" s="362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82"/>
      <c r="BE160" s="82"/>
      <c r="BF160" s="82"/>
      <c r="BG160" s="119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</row>
    <row r="161" spans="1:74">
      <c r="A161" s="362"/>
      <c r="B161" s="362"/>
      <c r="C161" s="362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82"/>
      <c r="BE161" s="82"/>
      <c r="BF161" s="82"/>
      <c r="BG161" s="119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</row>
    <row r="162" spans="1:74">
      <c r="A162" s="362"/>
      <c r="B162" s="362"/>
      <c r="C162" s="362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153"/>
      <c r="AY162" s="153"/>
      <c r="AZ162" s="153"/>
      <c r="BA162" s="153"/>
      <c r="BB162" s="153"/>
      <c r="BC162" s="153"/>
      <c r="BD162" s="82"/>
      <c r="BE162" s="82"/>
      <c r="BF162" s="82"/>
      <c r="BG162" s="119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</row>
    <row r="163" spans="1:74">
      <c r="A163" s="362"/>
      <c r="B163" s="362"/>
      <c r="C163" s="362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153"/>
      <c r="AY163" s="153"/>
      <c r="AZ163" s="153"/>
      <c r="BA163" s="153"/>
      <c r="BB163" s="153"/>
      <c r="BC163" s="153"/>
      <c r="BD163" s="82"/>
      <c r="BE163" s="82"/>
      <c r="BF163" s="82"/>
      <c r="BG163" s="119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</row>
    <row r="164" spans="1:74">
      <c r="A164" s="362"/>
      <c r="B164" s="362"/>
      <c r="C164" s="362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82"/>
      <c r="BE164" s="82"/>
      <c r="BF164" s="82"/>
      <c r="BG164" s="119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</row>
    <row r="165" spans="1:74">
      <c r="A165" s="362"/>
      <c r="B165" s="362"/>
      <c r="C165" s="362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82"/>
      <c r="BE165" s="82"/>
      <c r="BF165" s="82"/>
      <c r="BG165" s="119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</row>
    <row r="166" spans="1:74">
      <c r="A166" s="362"/>
      <c r="B166" s="362"/>
      <c r="C166" s="362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82"/>
      <c r="BE166" s="82"/>
      <c r="BF166" s="82"/>
      <c r="BG166" s="119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</row>
    <row r="167" spans="1:74">
      <c r="A167" s="362"/>
      <c r="B167" s="362"/>
      <c r="C167" s="362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82"/>
      <c r="BE167" s="82"/>
      <c r="BF167" s="82"/>
      <c r="BG167" s="119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</row>
    <row r="169" spans="1:74">
      <c r="B169" s="135" t="s">
        <v>296</v>
      </c>
      <c r="P169" s="136">
        <v>103051040.909683</v>
      </c>
    </row>
    <row r="170" spans="1:74">
      <c r="B170" s="135" t="s">
        <v>342</v>
      </c>
      <c r="C170" s="135" t="s">
        <v>303</v>
      </c>
    </row>
    <row r="171" spans="1:74">
      <c r="B171" s="135" t="s">
        <v>342</v>
      </c>
      <c r="C171" s="135" t="s">
        <v>384</v>
      </c>
      <c r="P171" s="136">
        <f>P120-P169</f>
        <v>-74000000.151427999</v>
      </c>
    </row>
    <row r="172" spans="1:74">
      <c r="B172" s="135" t="s">
        <v>342</v>
      </c>
      <c r="C172" s="135" t="s">
        <v>301</v>
      </c>
    </row>
    <row r="173" spans="1:74">
      <c r="B173" s="135" t="s">
        <v>342</v>
      </c>
      <c r="C173" s="135" t="s">
        <v>294</v>
      </c>
    </row>
    <row r="174" spans="1:74">
      <c r="A174" s="6"/>
      <c r="B174" s="135" t="s">
        <v>342</v>
      </c>
      <c r="C174" s="135" t="s">
        <v>295</v>
      </c>
      <c r="D174" s="6"/>
      <c r="E174" s="6"/>
      <c r="F174" s="6"/>
      <c r="G174" s="6"/>
      <c r="H174" s="6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/>
      <c r="X174"/>
      <c r="Y174"/>
      <c r="Z174"/>
      <c r="AA174"/>
      <c r="AB174"/>
      <c r="AC174"/>
      <c r="AD174"/>
      <c r="AE174"/>
      <c r="AF174"/>
      <c r="AG174"/>
      <c r="AH17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</row>
    <row r="175" spans="1:74">
      <c r="A175" s="6"/>
      <c r="B175" s="135" t="s">
        <v>342</v>
      </c>
      <c r="C175" s="135" t="s">
        <v>385</v>
      </c>
      <c r="D175" s="6"/>
      <c r="E175" s="6"/>
      <c r="F175" s="6"/>
      <c r="G175" s="129"/>
      <c r="H175" s="6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/>
      <c r="X175"/>
      <c r="Y175"/>
      <c r="Z175"/>
      <c r="AA175"/>
      <c r="AB175"/>
      <c r="AC175"/>
      <c r="AD175"/>
      <c r="AE175"/>
      <c r="AF175"/>
      <c r="AG175"/>
      <c r="AH175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</row>
    <row r="176" spans="1:74">
      <c r="A176" s="6"/>
      <c r="B176" s="135" t="s">
        <v>342</v>
      </c>
      <c r="C176" s="135" t="s">
        <v>386</v>
      </c>
      <c r="D176" s="6"/>
      <c r="E176" s="6"/>
      <c r="F176" s="6"/>
      <c r="G176" s="129"/>
      <c r="H176" s="6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/>
      <c r="X176"/>
      <c r="Y176"/>
      <c r="Z176"/>
      <c r="AA176"/>
      <c r="AB176"/>
      <c r="AC176"/>
      <c r="AD176"/>
      <c r="AE176"/>
      <c r="AF176"/>
      <c r="AG176"/>
      <c r="AH176"/>
      <c r="AI176" s="124"/>
      <c r="AJ176" s="124"/>
      <c r="AK176" s="124"/>
      <c r="AL176" s="124"/>
      <c r="AM176" s="124"/>
      <c r="AN176" s="124"/>
      <c r="AO176" s="124"/>
      <c r="AP176" s="124"/>
      <c r="AQ176" s="124"/>
      <c r="AR176" s="124"/>
      <c r="AS176" s="124"/>
      <c r="AT176" s="124"/>
      <c r="AU176" s="124"/>
      <c r="AV176" s="124"/>
      <c r="AW176" s="124"/>
      <c r="AX176" s="124"/>
      <c r="AY176" s="124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</row>
    <row r="177" spans="1:72">
      <c r="A177" s="6"/>
      <c r="B177" s="135" t="s">
        <v>342</v>
      </c>
      <c r="C177" s="135" t="s">
        <v>387</v>
      </c>
      <c r="D177" s="6"/>
      <c r="E177" s="6"/>
      <c r="F177" s="6"/>
      <c r="G177" s="129"/>
      <c r="H177" s="6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/>
      <c r="X177"/>
      <c r="Y177"/>
      <c r="Z177"/>
      <c r="AA177"/>
      <c r="AB177"/>
      <c r="AC177"/>
      <c r="AD177"/>
      <c r="AE177"/>
      <c r="AF177"/>
      <c r="AG177"/>
      <c r="AH177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4"/>
      <c r="AX177" s="124"/>
      <c r="AY177" s="124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</row>
    <row r="178" spans="1:72">
      <c r="A178" s="6"/>
      <c r="B178" s="135" t="s">
        <v>342</v>
      </c>
      <c r="C178" s="135" t="s">
        <v>388</v>
      </c>
      <c r="D178" s="6"/>
      <c r="E178" s="6"/>
      <c r="F178" s="6"/>
      <c r="G178" s="129"/>
      <c r="H178" s="6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/>
      <c r="X178"/>
      <c r="Y178"/>
      <c r="Z178"/>
      <c r="AA178"/>
      <c r="AB178"/>
      <c r="AC178"/>
      <c r="AD178"/>
      <c r="AE178"/>
      <c r="AF178"/>
      <c r="AG178"/>
      <c r="AH178"/>
      <c r="AI178" s="124"/>
      <c r="AJ178" s="124"/>
      <c r="AK178" s="124"/>
      <c r="AL178" s="124"/>
      <c r="AM178" s="124"/>
      <c r="AN178" s="124"/>
      <c r="AO178" s="124"/>
      <c r="AP178" s="124"/>
      <c r="AQ178" s="124"/>
      <c r="AR178" s="124"/>
      <c r="AS178" s="124"/>
      <c r="AT178" s="124"/>
      <c r="AU178" s="124"/>
      <c r="AV178" s="124"/>
      <c r="AW178" s="124"/>
      <c r="AX178" s="124"/>
      <c r="AY178" s="124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</row>
    <row r="179" spans="1:72">
      <c r="B179" s="208" t="s">
        <v>342</v>
      </c>
      <c r="C179" s="135" t="s">
        <v>343</v>
      </c>
    </row>
    <row r="180" spans="1:72">
      <c r="B180" s="135" t="s">
        <v>342</v>
      </c>
      <c r="C180" s="135" t="s">
        <v>376</v>
      </c>
    </row>
    <row r="181" spans="1:72">
      <c r="B181" s="135" t="s">
        <v>342</v>
      </c>
      <c r="C181" s="135" t="s">
        <v>389</v>
      </c>
    </row>
    <row r="182" spans="1:72">
      <c r="B182" s="135" t="s">
        <v>342</v>
      </c>
      <c r="C182" s="363" t="s">
        <v>390</v>
      </c>
    </row>
    <row r="183" spans="1:72">
      <c r="B183" s="209" t="s">
        <v>350</v>
      </c>
      <c r="C183" s="363" t="s">
        <v>348</v>
      </c>
    </row>
    <row r="184" spans="1:72">
      <c r="B184" s="209" t="s">
        <v>350</v>
      </c>
      <c r="C184" s="363" t="s">
        <v>349</v>
      </c>
    </row>
    <row r="185" spans="1:72">
      <c r="B185" s="209" t="s">
        <v>350</v>
      </c>
      <c r="C185" s="363" t="s">
        <v>351</v>
      </c>
    </row>
    <row r="189" spans="1:72">
      <c r="H189" s="211" t="s">
        <v>377</v>
      </c>
    </row>
    <row r="193" spans="1:72">
      <c r="A193" s="6"/>
      <c r="BD193" s="125">
        <f>SUM(D120:O120)</f>
        <v>8594759811.4504356</v>
      </c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</row>
    <row r="194" spans="1:72">
      <c r="A194" s="6"/>
      <c r="C194" s="135" t="s">
        <v>240</v>
      </c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</row>
    <row r="195" spans="1:72">
      <c r="A195" s="6"/>
      <c r="C195" s="135" t="s">
        <v>243</v>
      </c>
      <c r="D195" s="136">
        <v>939000000</v>
      </c>
      <c r="E195" s="136">
        <v>939000000</v>
      </c>
      <c r="F195" s="136">
        <v>939000000</v>
      </c>
      <c r="P195" s="136">
        <f>SUM(D195:O195)</f>
        <v>2817000000</v>
      </c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</row>
    <row r="196" spans="1:72">
      <c r="A196" s="6"/>
      <c r="C196" s="135" t="s">
        <v>241</v>
      </c>
      <c r="G196" s="136">
        <f>F195</f>
        <v>939000000</v>
      </c>
      <c r="H196" s="136">
        <f>G196</f>
        <v>939000000</v>
      </c>
      <c r="I196" s="136">
        <f t="shared" ref="I196:O196" si="54">H196</f>
        <v>939000000</v>
      </c>
      <c r="J196" s="136">
        <f t="shared" si="54"/>
        <v>939000000</v>
      </c>
      <c r="K196" s="136">
        <f t="shared" si="54"/>
        <v>939000000</v>
      </c>
      <c r="L196" s="136">
        <f t="shared" si="54"/>
        <v>939000000</v>
      </c>
      <c r="M196" s="136">
        <f t="shared" si="54"/>
        <v>939000000</v>
      </c>
      <c r="N196" s="136">
        <f t="shared" si="54"/>
        <v>939000000</v>
      </c>
      <c r="O196" s="136">
        <f t="shared" si="54"/>
        <v>939000000</v>
      </c>
      <c r="P196" s="136">
        <f t="shared" ref="P196:P197" si="55">SUM(D196:O196)</f>
        <v>8451000000</v>
      </c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1:72">
      <c r="A197" s="6"/>
      <c r="C197" s="135" t="s">
        <v>242</v>
      </c>
      <c r="K197" s="136">
        <v>1715625000</v>
      </c>
      <c r="L197" s="136">
        <v>1715625000</v>
      </c>
      <c r="M197" s="136">
        <v>1715625000</v>
      </c>
      <c r="N197" s="136">
        <v>1715625000</v>
      </c>
      <c r="O197" s="136">
        <v>1715625000</v>
      </c>
      <c r="P197" s="136">
        <f t="shared" si="55"/>
        <v>8578125000</v>
      </c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1:72">
      <c r="A198" s="6"/>
      <c r="D198" s="136">
        <f t="shared" ref="D198:O198" si="56">SUM(D195:D197)</f>
        <v>939000000</v>
      </c>
      <c r="E198" s="136">
        <f t="shared" si="56"/>
        <v>939000000</v>
      </c>
      <c r="F198" s="136">
        <f t="shared" si="56"/>
        <v>939000000</v>
      </c>
      <c r="G198" s="136">
        <f t="shared" si="56"/>
        <v>939000000</v>
      </c>
      <c r="H198" s="136">
        <f t="shared" si="56"/>
        <v>939000000</v>
      </c>
      <c r="I198" s="136">
        <f t="shared" si="56"/>
        <v>939000000</v>
      </c>
      <c r="J198" s="136">
        <f t="shared" si="56"/>
        <v>939000000</v>
      </c>
      <c r="K198" s="136">
        <f t="shared" si="56"/>
        <v>2654625000</v>
      </c>
      <c r="L198" s="136">
        <f t="shared" si="56"/>
        <v>2654625000</v>
      </c>
      <c r="M198" s="136">
        <f t="shared" si="56"/>
        <v>2654625000</v>
      </c>
      <c r="N198" s="136">
        <f t="shared" si="56"/>
        <v>2654625000</v>
      </c>
      <c r="O198" s="136">
        <f t="shared" si="56"/>
        <v>2654625000</v>
      </c>
      <c r="P198" s="136">
        <f>SUM(P195:P197)</f>
        <v>19846125000</v>
      </c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203" spans="1:72">
      <c r="A203" s="6"/>
      <c r="B203" s="135" t="s">
        <v>13</v>
      </c>
      <c r="D203" s="143">
        <f>+$BD$14+($BD$14*D9%)</f>
        <v>1173264032.2505348</v>
      </c>
      <c r="E203" s="143">
        <f>+D203+(D203*E9%)</f>
        <v>1192270909.5729935</v>
      </c>
      <c r="F203" s="143">
        <f>+E203+(E203*F9%)</f>
        <v>1238054112.5005963</v>
      </c>
      <c r="G203" s="143">
        <f>+F203+(F203*G9%)</f>
        <v>1232359063.5830936</v>
      </c>
      <c r="H203" s="143">
        <f>+G203+(G203*H9%)</f>
        <v>1220035472.9472628</v>
      </c>
      <c r="I203" s="143">
        <f>+G203+(6%*G203)+(G203*$H$9%)</f>
        <v>1293977016.7622483</v>
      </c>
      <c r="J203" s="143">
        <f>+I203+(I203*J9%)</f>
        <v>1293977016.7622483</v>
      </c>
      <c r="K203" s="143">
        <f>+J203+(J203*K9%)+(J203*0.75%)</f>
        <v>1420139775.8965676</v>
      </c>
      <c r="L203" s="143">
        <f>+K203+(K203*L9%)</f>
        <v>1420139775.8965676</v>
      </c>
      <c r="M203" s="143">
        <f>+L203+(L203*M9%)</f>
        <v>1434341173.6555333</v>
      </c>
      <c r="N203" s="143">
        <f>+M203+(M203*N9%)</f>
        <v>1434341173.6555333</v>
      </c>
      <c r="O203" s="143">
        <f>+N203+(N203*O9%)</f>
        <v>1434341173.6555333</v>
      </c>
      <c r="P203" s="136">
        <v>13797275447.039179</v>
      </c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1:72">
      <c r="A204" s="6"/>
      <c r="B204" s="135" t="s">
        <v>14</v>
      </c>
      <c r="D204" s="143">
        <f>+$BD$15+($BD$15*D9%)</f>
        <v>320950760.92486006</v>
      </c>
      <c r="E204" s="143">
        <f>+D204+(D204*E9%)</f>
        <v>326150163.2518428</v>
      </c>
      <c r="F204" s="143">
        <f>+E204+(E204*F9%)</f>
        <v>338674329.52071351</v>
      </c>
      <c r="G204" s="143">
        <f>+F204+(F204*G9%)</f>
        <v>337116427.60491824</v>
      </c>
      <c r="H204" s="143">
        <f>+G204+(G204*H9%)</f>
        <v>333745263.32886904</v>
      </c>
      <c r="I204" s="143">
        <f t="shared" ref="I204:I207" si="57">+G204+(6%*G204)+(G204*$H$9%)</f>
        <v>353972248.98516417</v>
      </c>
      <c r="J204" s="143">
        <f>+I204+(I204*J9%)</f>
        <v>353972248.98516417</v>
      </c>
      <c r="K204" s="143">
        <f>+J204+(J204*K10%)+(J204*0.75%)</f>
        <v>657503452.48994243</v>
      </c>
      <c r="L204" s="143">
        <f>+K204+(K204*L9%)</f>
        <v>657503452.48994243</v>
      </c>
      <c r="M204" s="143">
        <f>+L204+(L204*M9%)</f>
        <v>664078487.01484191</v>
      </c>
      <c r="N204" s="143">
        <f>+M204+(M204*N9%)</f>
        <v>664078487.01484191</v>
      </c>
      <c r="O204" s="143">
        <f>+N204+(N204*O9%)</f>
        <v>664078487.01484191</v>
      </c>
      <c r="P204" s="136">
        <v>3774296263.8366485</v>
      </c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05" spans="1:72">
      <c r="A205" s="6"/>
      <c r="B205" s="135" t="s">
        <v>252</v>
      </c>
      <c r="D205" s="143">
        <f t="shared" ref="D205" si="58">+BD16+(BD16*$D$9%)</f>
        <v>0</v>
      </c>
      <c r="E205" s="143">
        <f>+D205+(D205*E11%)</f>
        <v>0</v>
      </c>
      <c r="F205" s="143">
        <f>+E205+(E205*F11%)</f>
        <v>0</v>
      </c>
      <c r="G205" s="143">
        <f>+F205+(F205*G11%)</f>
        <v>0</v>
      </c>
      <c r="H205" s="143">
        <f>+G205+(G205*H11%)</f>
        <v>0</v>
      </c>
      <c r="I205" s="143">
        <f t="shared" si="57"/>
        <v>0</v>
      </c>
      <c r="J205" s="143">
        <f>+I205+(I205*J11%)</f>
        <v>0</v>
      </c>
      <c r="K205" s="143">
        <f>+J205+(J205*K11%)+(J205*0.75%)</f>
        <v>0</v>
      </c>
      <c r="L205" s="143">
        <f>+K205+(K205*L11%)</f>
        <v>0</v>
      </c>
      <c r="M205" s="143">
        <f>+L205+(L205*M11%)</f>
        <v>0</v>
      </c>
      <c r="N205" s="143">
        <f>+M205+(M205*N11%)</f>
        <v>0</v>
      </c>
      <c r="O205" s="143">
        <f>+N205+(N205*O11%)</f>
        <v>0</v>
      </c>
      <c r="P205" s="136">
        <v>175000000</v>
      </c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</row>
    <row r="206" spans="1:72">
      <c r="A206" s="6"/>
      <c r="B206" s="135" t="s">
        <v>233</v>
      </c>
      <c r="D206" s="143">
        <f>+$BD$17+($BD$17*D9%)</f>
        <v>2396475511.344121</v>
      </c>
      <c r="E206" s="143">
        <f>+D206+(D206*E9%)</f>
        <v>2435298414.6278958</v>
      </c>
      <c r="F206" s="143">
        <f>+E206+(E206*F9%)</f>
        <v>2528813873.7496066</v>
      </c>
      <c r="G206" s="143">
        <f>+F206+(F206*G9%)</f>
        <v>2517181329.9303584</v>
      </c>
      <c r="H206" s="143">
        <f>+G206+(G206*H9%)</f>
        <v>2492009516.6310549</v>
      </c>
      <c r="I206" s="143">
        <f t="shared" si="57"/>
        <v>2643040396.4268765</v>
      </c>
      <c r="J206" s="143">
        <f>+I206+(I206*J9%)</f>
        <v>2643040396.4268765</v>
      </c>
      <c r="K206" s="143">
        <f>+J206+(J206*K12%)+(J206*0.75%)</f>
        <v>2662863199.4000783</v>
      </c>
      <c r="L206" s="143">
        <f>+K206+(K206*L9%)</f>
        <v>2662863199.4000783</v>
      </c>
      <c r="M206" s="143">
        <f>+L206+(L206*M9%)</f>
        <v>2689491831.3940792</v>
      </c>
      <c r="N206" s="143">
        <f>+M206+(M206*N9%)</f>
        <v>2689491831.3940792</v>
      </c>
      <c r="O206" s="143">
        <f>+N206+(N206*O9%)</f>
        <v>2689491831.3940792</v>
      </c>
      <c r="P206" s="136">
        <v>28179157027.587879</v>
      </c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</row>
    <row r="207" spans="1:72">
      <c r="A207" s="6"/>
      <c r="B207" s="135" t="s">
        <v>234</v>
      </c>
      <c r="D207" s="143">
        <f>+$BD$18+($BD18*D9%)</f>
        <v>357466364.52896369</v>
      </c>
      <c r="E207" s="143">
        <f>+D207+(D207*E9%)</f>
        <v>363257319.6343329</v>
      </c>
      <c r="F207" s="143">
        <f>+E207+(E207*F9%)</f>
        <v>377206400.70829123</v>
      </c>
      <c r="G207" s="143">
        <f>+F207+(F207*G9%)</f>
        <v>375471251.26503313</v>
      </c>
      <c r="H207" s="143">
        <f>+G207+(G207*H9%)</f>
        <v>371716538.75238281</v>
      </c>
      <c r="I207" s="143">
        <f t="shared" si="57"/>
        <v>394244813.8282848</v>
      </c>
      <c r="J207" s="143">
        <f>+I207+(I207*J9%)</f>
        <v>394244813.8282848</v>
      </c>
      <c r="K207" s="143">
        <f>+J207+(J207*K13%)+(J207*0.75%)</f>
        <v>397201649.93199694</v>
      </c>
      <c r="L207" s="143">
        <f>+K207+(K207*L9%)</f>
        <v>397201649.93199694</v>
      </c>
      <c r="M207" s="143">
        <f>+L207+(L207*M9%)</f>
        <v>401173666.43131691</v>
      </c>
      <c r="N207" s="143">
        <f>+M207+(M207*N9%)</f>
        <v>401173666.43131691</v>
      </c>
      <c r="O207" s="143">
        <f>+N207+(N207*O9%)</f>
        <v>401173666.43131691</v>
      </c>
      <c r="P207" s="136">
        <v>4203298039.3331418</v>
      </c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</row>
    <row r="211" spans="3:4">
      <c r="C211" s="135" t="s">
        <v>367</v>
      </c>
      <c r="D211" s="136">
        <f>SUM(D112:I112)</f>
        <v>250000000</v>
      </c>
    </row>
    <row r="212" spans="3:4">
      <c r="C212" s="135" t="s">
        <v>368</v>
      </c>
      <c r="D212" s="136">
        <f>SUM(J112:O112)</f>
        <v>0</v>
      </c>
    </row>
    <row r="214" spans="3:4">
      <c r="D214" s="136">
        <v>1450000000</v>
      </c>
    </row>
    <row r="426" spans="1:72">
      <c r="A426" s="6"/>
      <c r="BH426" s="125">
        <f>+P120+'CF 2018'!P113+'CF 2016'!P133</f>
        <v>1318000897.0490417</v>
      </c>
      <c r="BI426"/>
      <c r="BJ426"/>
      <c r="BK426"/>
      <c r="BL426"/>
      <c r="BM426"/>
      <c r="BN426"/>
      <c r="BO426"/>
      <c r="BP426"/>
      <c r="BQ426"/>
      <c r="BR426"/>
      <c r="BS426"/>
      <c r="BT426"/>
    </row>
    <row r="428" spans="1:72">
      <c r="A428" s="6"/>
      <c r="D428" s="136" t="s">
        <v>4</v>
      </c>
      <c r="E428" s="136" t="s">
        <v>5</v>
      </c>
      <c r="F428" s="136" t="s">
        <v>6</v>
      </c>
      <c r="G428" s="136" t="s">
        <v>7</v>
      </c>
      <c r="H428" s="136" t="s">
        <v>8</v>
      </c>
      <c r="I428" s="136" t="s">
        <v>9</v>
      </c>
      <c r="J428" s="136" t="s">
        <v>127</v>
      </c>
      <c r="K428" s="136" t="s">
        <v>129</v>
      </c>
      <c r="L428" s="136" t="s">
        <v>142</v>
      </c>
      <c r="M428" s="136" t="s">
        <v>131</v>
      </c>
      <c r="N428" s="136" t="s">
        <v>132</v>
      </c>
      <c r="O428" s="136" t="s">
        <v>133</v>
      </c>
      <c r="BI428"/>
      <c r="BJ428"/>
      <c r="BK428"/>
      <c r="BL428"/>
      <c r="BM428"/>
      <c r="BN428"/>
      <c r="BO428"/>
      <c r="BP428"/>
      <c r="BQ428"/>
      <c r="BR428"/>
      <c r="BS428"/>
      <c r="BT428"/>
    </row>
    <row r="429" spans="1:72">
      <c r="A429" s="6"/>
      <c r="B429" s="135" t="s">
        <v>215</v>
      </c>
      <c r="D429" s="136">
        <v>-2</v>
      </c>
      <c r="E429" s="136">
        <v>5.6200000000000045</v>
      </c>
      <c r="F429" s="136">
        <v>3.8399999999999892</v>
      </c>
      <c r="G429" s="136">
        <v>-1.0599999999999881</v>
      </c>
      <c r="H429" s="136">
        <v>-3.1400000000000006</v>
      </c>
      <c r="I429" s="136">
        <v>-10.969999999999999</v>
      </c>
      <c r="J429" s="136">
        <v>1.6699999999999875</v>
      </c>
      <c r="K429" s="136">
        <v>4.0400000000000063</v>
      </c>
      <c r="L429" s="136">
        <v>4</v>
      </c>
      <c r="M429" s="136">
        <v>1</v>
      </c>
      <c r="N429" s="136">
        <v>0</v>
      </c>
      <c r="O429" s="136">
        <v>0</v>
      </c>
      <c r="BI429"/>
      <c r="BJ429"/>
      <c r="BK429"/>
      <c r="BL429"/>
      <c r="BM429"/>
      <c r="BN429"/>
      <c r="BO429"/>
      <c r="BP429"/>
      <c r="BQ429"/>
      <c r="BR429"/>
      <c r="BS429"/>
      <c r="BT429"/>
    </row>
    <row r="430" spans="1:72">
      <c r="A430" s="135" t="s">
        <v>134</v>
      </c>
      <c r="D430" s="136">
        <v>80</v>
      </c>
      <c r="E430" s="136">
        <v>85.62</v>
      </c>
      <c r="F430" s="136">
        <v>89.46</v>
      </c>
      <c r="G430" s="136">
        <v>88.4</v>
      </c>
      <c r="H430" s="136">
        <v>85.26</v>
      </c>
      <c r="I430" s="136">
        <v>74.290000000000006</v>
      </c>
      <c r="J430" s="136">
        <v>75.959999999999994</v>
      </c>
      <c r="K430" s="136">
        <v>80</v>
      </c>
      <c r="L430" s="136">
        <v>84</v>
      </c>
      <c r="M430" s="136">
        <v>85</v>
      </c>
      <c r="N430" s="136">
        <v>85</v>
      </c>
      <c r="O430" s="136">
        <v>85</v>
      </c>
      <c r="P430" s="136">
        <v>83.165833333333339</v>
      </c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</row>
    <row r="431" spans="1:72">
      <c r="A431" s="135" t="s">
        <v>10</v>
      </c>
      <c r="B431" s="135" t="s">
        <v>11</v>
      </c>
      <c r="D431" s="136">
        <v>1416036811.5671883</v>
      </c>
      <c r="E431" s="136">
        <v>10749180449.195107</v>
      </c>
      <c r="F431" s="136">
        <v>10261575611.696686</v>
      </c>
      <c r="G431" s="136">
        <v>9866866737.2180328</v>
      </c>
      <c r="H431" s="136">
        <v>9485625119.2291508</v>
      </c>
      <c r="I431" s="136">
        <v>9079197950.0425072</v>
      </c>
      <c r="J431" s="136">
        <v>8566730113.3055058</v>
      </c>
      <c r="K431" s="136">
        <v>7166161769.4714251</v>
      </c>
      <c r="L431" s="136">
        <v>4836026109.1662769</v>
      </c>
      <c r="M431" s="136">
        <v>18075700880.989285</v>
      </c>
      <c r="N431" s="136">
        <v>16349679832.293678</v>
      </c>
      <c r="O431" s="136">
        <v>14512947038.51112</v>
      </c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</row>
    <row r="433" spans="1:72">
      <c r="A433" s="135" t="s">
        <v>12</v>
      </c>
      <c r="B433" s="135" t="s">
        <v>159</v>
      </c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</row>
    <row r="434" spans="1:72">
      <c r="B434" s="135" t="s">
        <v>13</v>
      </c>
      <c r="D434" s="136">
        <v>1161739323.757632</v>
      </c>
      <c r="E434" s="136">
        <v>1227029073.752811</v>
      </c>
      <c r="F434" s="136">
        <v>1274146990.1849189</v>
      </c>
      <c r="G434" s="136">
        <v>1260641032.088959</v>
      </c>
      <c r="H434" s="136">
        <v>1221056903.6813657</v>
      </c>
      <c r="I434" s="136">
        <v>1087106961.3475199</v>
      </c>
      <c r="J434" s="136">
        <v>1105261647.6020234</v>
      </c>
      <c r="K434" s="136">
        <v>1149914218.1651452</v>
      </c>
      <c r="L434" s="136">
        <v>1195910786.8917511</v>
      </c>
      <c r="M434" s="136">
        <v>1207869894.7606685</v>
      </c>
      <c r="N434" s="136">
        <v>1207869894.7606685</v>
      </c>
      <c r="O434" s="136">
        <v>1207869894.7606685</v>
      </c>
      <c r="P434" s="136">
        <v>14306416621.754129</v>
      </c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</row>
    <row r="435" spans="1:72">
      <c r="B435" s="135" t="s">
        <v>14</v>
      </c>
      <c r="D435" s="136">
        <v>317798133.84471393</v>
      </c>
      <c r="E435" s="136">
        <v>335658388.96678686</v>
      </c>
      <c r="F435" s="136">
        <v>348547671.10311145</v>
      </c>
      <c r="G435" s="136">
        <v>344853065.78941852</v>
      </c>
      <c r="H435" s="136">
        <v>334024679.5236308</v>
      </c>
      <c r="I435" s="136">
        <v>297382172.17988849</v>
      </c>
      <c r="J435" s="136">
        <v>302348454.45529258</v>
      </c>
      <c r="K435" s="136">
        <v>314563332.01528645</v>
      </c>
      <c r="L435" s="136">
        <v>327145865.2958979</v>
      </c>
      <c r="M435" s="136">
        <v>330417323.94885689</v>
      </c>
      <c r="N435" s="136">
        <v>330417323.94885689</v>
      </c>
      <c r="O435" s="136">
        <v>330417323.94885689</v>
      </c>
      <c r="P435" s="136">
        <v>3913573735.0205975</v>
      </c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</row>
    <row r="436" spans="1:72">
      <c r="B436" s="135" t="s">
        <v>252</v>
      </c>
      <c r="D436" s="136">
        <v>0</v>
      </c>
      <c r="E436" s="136">
        <v>0</v>
      </c>
      <c r="F436" s="136">
        <v>0</v>
      </c>
      <c r="G436" s="136">
        <v>0</v>
      </c>
      <c r="H436" s="136">
        <v>0</v>
      </c>
      <c r="I436" s="136">
        <v>25000000</v>
      </c>
      <c r="J436" s="136">
        <v>25000000</v>
      </c>
      <c r="K436" s="136">
        <v>25000000</v>
      </c>
      <c r="L436" s="136">
        <v>25000000</v>
      </c>
      <c r="M436" s="136">
        <v>25000000</v>
      </c>
      <c r="N436" s="136">
        <v>25000000</v>
      </c>
      <c r="O436" s="136">
        <v>25000000</v>
      </c>
      <c r="P436" s="136">
        <v>175000000</v>
      </c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</row>
    <row r="437" spans="1:72">
      <c r="B437" s="135" t="s">
        <v>233</v>
      </c>
      <c r="D437" s="136">
        <v>2419672976.386848</v>
      </c>
      <c r="E437" s="136">
        <v>2555658597.6597891</v>
      </c>
      <c r="F437" s="136">
        <v>2653795887.8099246</v>
      </c>
      <c r="G437" s="136">
        <v>2625665651.3991399</v>
      </c>
      <c r="H437" s="136">
        <v>2543219749.9452066</v>
      </c>
      <c r="I437" s="136">
        <v>2264228543.3762174</v>
      </c>
      <c r="J437" s="136">
        <v>2302041160.0506001</v>
      </c>
      <c r="K437" s="136">
        <v>2395043622.9166446</v>
      </c>
      <c r="L437" s="136">
        <v>2490845367.8333101</v>
      </c>
      <c r="M437" s="136">
        <v>2515753821.5116434</v>
      </c>
      <c r="N437" s="136">
        <v>2515753821.5116434</v>
      </c>
      <c r="O437" s="136">
        <v>2515753821.5116434</v>
      </c>
      <c r="P437" s="136">
        <v>29797433021.912605</v>
      </c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</row>
    <row r="438" spans="1:72">
      <c r="B438" s="135" t="s">
        <v>234</v>
      </c>
      <c r="D438" s="136">
        <v>340308033.48085874</v>
      </c>
      <c r="E438" s="136">
        <v>359433344.96248305</v>
      </c>
      <c r="F438" s="136">
        <v>373235585.40904236</v>
      </c>
      <c r="G438" s="136">
        <v>369279288.20370656</v>
      </c>
      <c r="H438" s="136">
        <v>357683918.55411017</v>
      </c>
      <c r="I438" s="136">
        <v>318445992.68872428</v>
      </c>
      <c r="J438" s="136">
        <v>323764040.76662594</v>
      </c>
      <c r="K438" s="136">
        <v>336844108.01359767</v>
      </c>
      <c r="L438" s="136">
        <v>350317872.33414155</v>
      </c>
      <c r="M438" s="136">
        <v>353821051.05748296</v>
      </c>
      <c r="N438" s="136">
        <v>353821051.05748296</v>
      </c>
      <c r="O438" s="136">
        <v>353821051.05748296</v>
      </c>
      <c r="P438" s="136">
        <v>4190775337.5857391</v>
      </c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</row>
    <row r="825" spans="1:72">
      <c r="A825" s="6"/>
      <c r="B825" s="6"/>
      <c r="C825" s="6"/>
      <c r="D825" s="6"/>
      <c r="E825" s="6"/>
      <c r="F825" s="6"/>
      <c r="G825" s="6"/>
      <c r="H825" s="6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/>
      <c r="X825"/>
      <c r="Y825"/>
      <c r="Z825"/>
      <c r="AA825"/>
      <c r="AB825"/>
      <c r="AC825"/>
      <c r="AD825"/>
      <c r="AE825"/>
      <c r="AF825"/>
      <c r="AG825"/>
      <c r="AH825"/>
      <c r="AI825" s="124"/>
      <c r="AJ825" s="124"/>
      <c r="AK825" s="124"/>
      <c r="AL825" s="124"/>
      <c r="AM825" s="124"/>
      <c r="AN825" s="124"/>
      <c r="AO825" s="124"/>
      <c r="AP825" s="124"/>
      <c r="AQ825" s="124"/>
      <c r="AR825" s="124"/>
      <c r="AS825" s="124"/>
      <c r="AT825" s="124"/>
      <c r="AU825" s="124"/>
      <c r="AV825" s="124"/>
      <c r="AW825" s="124"/>
      <c r="AX825" s="124"/>
      <c r="AY825" s="124"/>
      <c r="AZ825"/>
      <c r="BA825"/>
      <c r="BB825"/>
      <c r="BC825"/>
      <c r="BD825"/>
      <c r="BE825"/>
      <c r="BF825"/>
      <c r="BG825" s="125">
        <v>4000000000</v>
      </c>
      <c r="BH825"/>
      <c r="BI825"/>
      <c r="BJ825"/>
      <c r="BK825"/>
      <c r="BL825"/>
      <c r="BM825"/>
      <c r="BN825"/>
      <c r="BO825"/>
      <c r="BP825"/>
      <c r="BQ825"/>
      <c r="BR825"/>
      <c r="BS825"/>
      <c r="BT825"/>
    </row>
    <row r="826" spans="1:72">
      <c r="A826" s="6"/>
      <c r="B826" s="6"/>
      <c r="C826" s="6"/>
      <c r="D826" s="6"/>
      <c r="E826" s="6"/>
      <c r="F826" s="6"/>
      <c r="G826" s="6"/>
      <c r="H826" s="6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/>
      <c r="X826"/>
      <c r="Y826"/>
      <c r="Z826"/>
      <c r="AA826"/>
      <c r="AB826"/>
      <c r="AC826"/>
      <c r="AD826"/>
      <c r="AE826"/>
      <c r="AF826"/>
      <c r="AG826"/>
      <c r="AH826"/>
      <c r="AI826" s="124"/>
      <c r="AJ826" s="124"/>
      <c r="AK826" s="124"/>
      <c r="AL826" s="124"/>
      <c r="AM826" s="124"/>
      <c r="AN826" s="124"/>
      <c r="AO826" s="124"/>
      <c r="AP826" s="124"/>
      <c r="AQ826" s="124"/>
      <c r="AR826" s="124"/>
      <c r="AS826" s="124"/>
      <c r="AT826" s="124"/>
      <c r="AU826" s="124"/>
      <c r="AV826" s="124"/>
      <c r="AW826" s="124"/>
      <c r="AX826" s="124"/>
      <c r="AY826" s="124"/>
      <c r="AZ826"/>
      <c r="BA826"/>
      <c r="BB826"/>
      <c r="BC826"/>
      <c r="BD826"/>
      <c r="BE826"/>
      <c r="BF826"/>
      <c r="BG826" s="125">
        <f>+BG825/12</f>
        <v>333333333.33333331</v>
      </c>
      <c r="BH826"/>
      <c r="BI826"/>
      <c r="BJ826"/>
      <c r="BK826"/>
      <c r="BL826"/>
      <c r="BM826"/>
      <c r="BN826"/>
      <c r="BO826"/>
      <c r="BP826"/>
      <c r="BQ826"/>
      <c r="BR826"/>
      <c r="BS826"/>
      <c r="BT826"/>
    </row>
    <row r="835" spans="1:72">
      <c r="A835" s="6"/>
      <c r="B835" s="6"/>
      <c r="C835" s="6"/>
      <c r="M835" s="136">
        <v>23</v>
      </c>
      <c r="N835" s="136">
        <v>75000000</v>
      </c>
      <c r="O835" s="136" t="s">
        <v>157</v>
      </c>
      <c r="P835" s="124"/>
      <c r="Q835" s="124"/>
      <c r="R835" s="124"/>
      <c r="S835" s="124"/>
      <c r="T835" s="124"/>
      <c r="U835" s="124"/>
      <c r="V835" s="124"/>
      <c r="W835"/>
      <c r="X835"/>
      <c r="Y835"/>
      <c r="Z835"/>
      <c r="AA835"/>
      <c r="AB835"/>
      <c r="AC835"/>
      <c r="AD835"/>
      <c r="AE835"/>
      <c r="AF835"/>
      <c r="AG835"/>
      <c r="AH835"/>
      <c r="AI835" s="124"/>
      <c r="AJ835" s="124"/>
      <c r="AK835" s="124"/>
      <c r="AL835" s="124"/>
      <c r="AM835" s="124"/>
      <c r="AN835" s="124"/>
      <c r="AO835" s="124"/>
      <c r="AP835" s="124"/>
      <c r="AQ835" s="124"/>
      <c r="AR835" s="124"/>
      <c r="AS835" s="124"/>
      <c r="AT835" s="124"/>
      <c r="AU835" s="124"/>
      <c r="AV835" s="124"/>
      <c r="AW835" s="124"/>
      <c r="AX835" s="124"/>
      <c r="AY835" s="124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</row>
    <row r="836" spans="1:72">
      <c r="A836" s="6"/>
      <c r="B836" s="6"/>
      <c r="C836" s="6"/>
      <c r="D836" s="597" t="s">
        <v>3</v>
      </c>
      <c r="E836" s="598"/>
      <c r="F836" s="598"/>
      <c r="G836" s="598"/>
      <c r="H836" s="598"/>
      <c r="I836" s="598"/>
      <c r="J836" s="598"/>
      <c r="K836" s="598"/>
      <c r="L836" s="598"/>
      <c r="M836" s="598"/>
      <c r="N836" s="598"/>
      <c r="O836" s="598"/>
      <c r="P836" s="124"/>
      <c r="Q836" s="124"/>
      <c r="R836" s="124"/>
      <c r="S836" s="124"/>
      <c r="T836" s="124"/>
      <c r="U836" s="124"/>
      <c r="V836" s="124"/>
      <c r="W836"/>
      <c r="X836"/>
      <c r="Y836"/>
      <c r="Z836"/>
      <c r="AA836"/>
      <c r="AB836"/>
      <c r="AC836"/>
      <c r="AD836"/>
      <c r="AE836"/>
      <c r="AF836"/>
      <c r="AG836"/>
      <c r="AH836"/>
      <c r="AI836" s="124"/>
      <c r="AJ836" s="124"/>
      <c r="AK836" s="124"/>
      <c r="AL836" s="124"/>
      <c r="AM836" s="124"/>
      <c r="AN836" s="124"/>
      <c r="AO836" s="124"/>
      <c r="AP836" s="124"/>
      <c r="AQ836" s="124"/>
      <c r="AR836" s="124"/>
      <c r="AS836" s="124"/>
      <c r="AT836" s="124"/>
      <c r="AU836" s="124"/>
      <c r="AV836" s="124"/>
      <c r="AW836" s="124"/>
      <c r="AX836" s="124"/>
      <c r="AY836" s="124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</row>
    <row r="837" spans="1:72">
      <c r="A837" s="6"/>
      <c r="B837" s="6"/>
      <c r="C837" s="6"/>
      <c r="D837" s="523" t="s">
        <v>126</v>
      </c>
      <c r="E837" s="523"/>
      <c r="F837" s="523"/>
      <c r="G837" s="523"/>
      <c r="H837" s="523"/>
      <c r="I837" s="523"/>
      <c r="J837" s="523"/>
      <c r="K837" s="523"/>
      <c r="L837" s="523"/>
      <c r="M837" s="523"/>
      <c r="N837" s="523"/>
      <c r="O837" s="599"/>
      <c r="P837" s="124"/>
      <c r="Q837" s="124"/>
      <c r="R837" s="124"/>
      <c r="S837" s="124"/>
      <c r="T837" s="124"/>
      <c r="U837" s="124"/>
      <c r="V837" s="124"/>
      <c r="W837"/>
      <c r="X837"/>
      <c r="Y837"/>
      <c r="Z837"/>
      <c r="AA837"/>
      <c r="AB837"/>
      <c r="AC837"/>
      <c r="AD837"/>
      <c r="AE837"/>
      <c r="AF837"/>
      <c r="AG837"/>
      <c r="AH837"/>
      <c r="AI837" s="124"/>
      <c r="AJ837" s="124"/>
      <c r="AK837" s="124"/>
      <c r="AL837" s="124"/>
      <c r="AM837" s="124"/>
      <c r="AN837" s="124"/>
      <c r="AO837" s="124"/>
      <c r="AP837" s="124"/>
      <c r="AQ837" s="124"/>
      <c r="AR837" s="124"/>
      <c r="AS837" s="124"/>
      <c r="AT837" s="124"/>
      <c r="AU837" s="124"/>
      <c r="AV837" s="124"/>
      <c r="AW837" s="124"/>
      <c r="AX837" s="124"/>
      <c r="AY837" s="124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</row>
    <row r="838" spans="1:72">
      <c r="A838" s="6"/>
      <c r="B838" s="6"/>
      <c r="C838" s="6"/>
      <c r="D838" s="143" t="s">
        <v>4</v>
      </c>
      <c r="E838" s="143" t="s">
        <v>5</v>
      </c>
      <c r="F838" s="143" t="s">
        <v>6</v>
      </c>
      <c r="G838" s="143" t="s">
        <v>7</v>
      </c>
      <c r="H838" s="143" t="s">
        <v>8</v>
      </c>
      <c r="I838" s="143" t="s">
        <v>9</v>
      </c>
      <c r="J838" s="143" t="s">
        <v>127</v>
      </c>
      <c r="K838" s="143" t="s">
        <v>129</v>
      </c>
      <c r="L838" s="143" t="s">
        <v>142</v>
      </c>
      <c r="M838" s="143" t="s">
        <v>131</v>
      </c>
      <c r="N838" s="143" t="s">
        <v>132</v>
      </c>
      <c r="O838" s="144" t="s">
        <v>133</v>
      </c>
      <c r="P838" s="124"/>
      <c r="Q838" s="124"/>
      <c r="R838" s="124"/>
      <c r="S838" s="124"/>
      <c r="T838" s="124"/>
      <c r="U838" s="124"/>
      <c r="V838" s="124"/>
      <c r="W838"/>
      <c r="X838"/>
      <c r="Y838"/>
      <c r="Z838"/>
      <c r="AA838"/>
      <c r="AB838"/>
      <c r="AC838"/>
      <c r="AD838"/>
      <c r="AE838"/>
      <c r="AF838"/>
      <c r="AG838"/>
      <c r="AH838"/>
      <c r="AI838" s="124"/>
      <c r="AJ838" s="124"/>
      <c r="AK838" s="124"/>
      <c r="AL838" s="124"/>
      <c r="AM838" s="124"/>
      <c r="AN838" s="124"/>
      <c r="AO838" s="124"/>
      <c r="AP838" s="124"/>
      <c r="AQ838" s="124"/>
      <c r="AR838" s="124"/>
      <c r="AS838" s="124"/>
      <c r="AT838" s="124"/>
      <c r="AU838" s="124"/>
      <c r="AV838" s="124"/>
      <c r="AW838" s="124"/>
      <c r="AX838" s="124"/>
      <c r="AY838" s="124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</row>
    <row r="839" spans="1:72">
      <c r="A839" s="6"/>
      <c r="B839" s="6"/>
      <c r="C839" s="6"/>
      <c r="D839" s="143">
        <v>-2</v>
      </c>
      <c r="E839" s="157">
        <v>5.6200000000000045</v>
      </c>
      <c r="F839" s="157">
        <v>3.8399999999999892</v>
      </c>
      <c r="G839" s="157">
        <v>-1.0599999999999881</v>
      </c>
      <c r="H839" s="157">
        <v>-3.1400000000000006</v>
      </c>
      <c r="I839" s="157">
        <v>-10.969999999999999</v>
      </c>
      <c r="J839" s="157">
        <v>1.6699999999999875</v>
      </c>
      <c r="K839" s="157">
        <v>4.0400000000000063</v>
      </c>
      <c r="L839" s="157">
        <v>2</v>
      </c>
      <c r="M839" s="157">
        <v>0</v>
      </c>
      <c r="N839" s="157">
        <v>0</v>
      </c>
      <c r="O839" s="159">
        <v>0</v>
      </c>
      <c r="P839" s="124"/>
      <c r="Q839" s="124"/>
      <c r="R839" s="124"/>
      <c r="S839" s="124"/>
      <c r="T839" s="124"/>
      <c r="U839" s="124"/>
      <c r="V839" s="124"/>
      <c r="W839"/>
      <c r="X839"/>
      <c r="Y839"/>
      <c r="Z839"/>
      <c r="AA839"/>
      <c r="AB839"/>
      <c r="AC839"/>
      <c r="AD839"/>
      <c r="AE839"/>
      <c r="AF839"/>
      <c r="AG839"/>
      <c r="AH839"/>
      <c r="AI839" s="124"/>
      <c r="AJ839" s="124"/>
      <c r="AK839" s="124"/>
      <c r="AL839" s="124"/>
      <c r="AM839" s="124"/>
      <c r="AN839" s="124"/>
      <c r="AO839" s="124"/>
      <c r="AP839" s="124"/>
      <c r="AQ839" s="124"/>
      <c r="AR839" s="124"/>
      <c r="AS839" s="124"/>
      <c r="AT839" s="124"/>
      <c r="AU839" s="124"/>
      <c r="AV839" s="124"/>
      <c r="AW839" s="124"/>
      <c r="AX839" s="124"/>
      <c r="AY839" s="124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</row>
    <row r="840" spans="1:72">
      <c r="A840" s="6"/>
      <c r="B840" s="6"/>
      <c r="C840" s="6"/>
      <c r="D840" s="142">
        <v>80</v>
      </c>
      <c r="E840" s="142">
        <v>85.62</v>
      </c>
      <c r="F840" s="142">
        <v>89.46</v>
      </c>
      <c r="G840" s="142">
        <v>88.4</v>
      </c>
      <c r="H840" s="142">
        <v>85.26</v>
      </c>
      <c r="I840" s="142">
        <v>74.290000000000006</v>
      </c>
      <c r="J840" s="142">
        <v>75.959999999999994</v>
      </c>
      <c r="K840" s="143">
        <v>80</v>
      </c>
      <c r="L840" s="143">
        <v>82</v>
      </c>
      <c r="M840" s="143">
        <v>82</v>
      </c>
      <c r="N840" s="143">
        <v>82</v>
      </c>
      <c r="O840" s="144">
        <v>82</v>
      </c>
      <c r="P840" s="124"/>
      <c r="Q840" s="124"/>
      <c r="R840" s="124"/>
      <c r="S840" s="124"/>
      <c r="T840" s="124"/>
      <c r="U840" s="124"/>
      <c r="V840" s="124"/>
      <c r="W840"/>
      <c r="X840"/>
      <c r="Y840"/>
      <c r="Z840"/>
      <c r="AA840"/>
      <c r="AB840"/>
      <c r="AC840"/>
      <c r="AD840"/>
      <c r="AE840"/>
      <c r="AF840"/>
      <c r="AG840"/>
      <c r="AH840"/>
      <c r="AI840" s="124"/>
      <c r="AJ840" s="124"/>
      <c r="AK840" s="124"/>
      <c r="AL840" s="124"/>
      <c r="AM840" s="124"/>
      <c r="AN840" s="124"/>
      <c r="AO840" s="124"/>
      <c r="AP840" s="124"/>
      <c r="AQ840" s="124"/>
      <c r="AR840" s="124"/>
      <c r="AS840" s="124"/>
      <c r="AT840" s="124"/>
      <c r="AU840" s="124"/>
      <c r="AV840" s="124"/>
      <c r="AW840" s="124"/>
      <c r="AX840" s="124"/>
      <c r="AY840" s="124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</row>
    <row r="841" spans="1:72">
      <c r="A841" s="6"/>
      <c r="B841" s="6"/>
      <c r="C841" s="6"/>
      <c r="D841" s="143">
        <v>-2684937136.513546</v>
      </c>
      <c r="E841" s="143">
        <v>-2603441454.9025493</v>
      </c>
      <c r="F841" s="143">
        <v>-2478419115.9850154</v>
      </c>
      <c r="G841" s="143">
        <v>-2321984719.2530484</v>
      </c>
      <c r="H841" s="143">
        <v>-2174554327.1264386</v>
      </c>
      <c r="I841" s="143">
        <v>-2053513449.3126054</v>
      </c>
      <c r="J841" s="143">
        <v>-2021772855.79495</v>
      </c>
      <c r="K841" s="143">
        <v>-1977929094.3655491</v>
      </c>
      <c r="L841" s="143">
        <v>-1904316844.9743991</v>
      </c>
      <c r="M841" s="143">
        <v>-1448065775.3776941</v>
      </c>
      <c r="N841" s="143">
        <v>-1043252269.8730979</v>
      </c>
      <c r="O841" s="144">
        <v>-764952625.74951124</v>
      </c>
      <c r="P841" s="124"/>
      <c r="Q841" s="124"/>
      <c r="R841" s="124"/>
      <c r="S841" s="124"/>
      <c r="T841" s="124"/>
      <c r="U841" s="124"/>
      <c r="V841" s="124"/>
      <c r="W841"/>
      <c r="X841"/>
      <c r="Y841"/>
      <c r="Z841"/>
      <c r="AA841"/>
      <c r="AB841"/>
      <c r="AC841"/>
      <c r="AD841"/>
      <c r="AE841"/>
      <c r="AF841"/>
      <c r="AG841"/>
      <c r="AH841"/>
      <c r="AI841" s="124"/>
      <c r="AJ841" s="124"/>
      <c r="AK841" s="124"/>
      <c r="AL841" s="124"/>
      <c r="AM841" s="124"/>
      <c r="AN841" s="124"/>
      <c r="AO841" s="124"/>
      <c r="AP841" s="124"/>
      <c r="AQ841" s="124"/>
      <c r="AR841" s="124"/>
      <c r="AS841" s="124"/>
      <c r="AT841" s="124"/>
      <c r="AU841" s="124"/>
      <c r="AV841" s="124"/>
      <c r="AW841" s="124"/>
      <c r="AX841" s="124"/>
      <c r="AY841" s="124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</row>
    <row r="842" spans="1:72">
      <c r="A842" s="6"/>
      <c r="B842" s="6"/>
      <c r="C842" s="6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4"/>
      <c r="P842" s="124"/>
      <c r="Q842" s="124"/>
      <c r="R842" s="124"/>
      <c r="S842" s="124"/>
      <c r="T842" s="124"/>
      <c r="U842" s="124"/>
      <c r="V842" s="124"/>
      <c r="W842"/>
      <c r="X842"/>
      <c r="Y842"/>
      <c r="Z842"/>
      <c r="AA842"/>
      <c r="AB842"/>
      <c r="AC842"/>
      <c r="AD842"/>
      <c r="AE842"/>
      <c r="AF842"/>
      <c r="AG842"/>
      <c r="AH842"/>
      <c r="AI842" s="124"/>
      <c r="AJ842" s="124"/>
      <c r="AK842" s="124"/>
      <c r="AL842" s="124"/>
      <c r="AM842" s="124"/>
      <c r="AN842" s="124"/>
      <c r="AO842" s="124"/>
      <c r="AP842" s="124"/>
      <c r="AQ842" s="124"/>
      <c r="AR842" s="124"/>
      <c r="AS842" s="124"/>
      <c r="AT842" s="124"/>
      <c r="AU842" s="124"/>
      <c r="AV842" s="124"/>
      <c r="AW842" s="124"/>
      <c r="AX842" s="124"/>
      <c r="AY842" s="124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</row>
    <row r="843" spans="1:72">
      <c r="A843" s="6"/>
      <c r="B843" s="6"/>
      <c r="C843" s="6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4"/>
      <c r="P843" s="124"/>
      <c r="Q843" s="124"/>
      <c r="R843" s="124"/>
      <c r="S843" s="124"/>
      <c r="T843" s="124"/>
      <c r="U843" s="124"/>
      <c r="V843" s="124"/>
      <c r="W843"/>
      <c r="X843"/>
      <c r="Y843"/>
      <c r="Z843"/>
      <c r="AA843"/>
      <c r="AB843"/>
      <c r="AC843"/>
      <c r="AD843"/>
      <c r="AE843"/>
      <c r="AF843"/>
      <c r="AG843"/>
      <c r="AH843"/>
      <c r="AI843" s="124"/>
      <c r="AJ843" s="124"/>
      <c r="AK843" s="124"/>
      <c r="AL843" s="124"/>
      <c r="AM843" s="124"/>
      <c r="AN843" s="124"/>
      <c r="AO843" s="124"/>
      <c r="AP843" s="124"/>
      <c r="AQ843" s="124"/>
      <c r="AR843" s="124"/>
      <c r="AS843" s="124"/>
      <c r="AT843" s="124"/>
      <c r="AU843" s="124"/>
      <c r="AV843" s="124"/>
      <c r="AW843" s="124"/>
      <c r="AX843" s="124"/>
      <c r="AY843" s="124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</row>
    <row r="844" spans="1:72">
      <c r="A844" s="6"/>
      <c r="B844" s="6"/>
      <c r="C844" s="6"/>
      <c r="D844" s="143">
        <v>1184621023.4841964</v>
      </c>
      <c r="E844" s="143">
        <v>1251196725.0040083</v>
      </c>
      <c r="F844" s="143">
        <v>1299242679.2441621</v>
      </c>
      <c r="G844" s="143">
        <v>1285470706.8441741</v>
      </c>
      <c r="H844" s="143">
        <v>1245106926.649267</v>
      </c>
      <c r="I844" s="143">
        <v>1108518696.7958424</v>
      </c>
      <c r="J844" s="143">
        <v>1127030959.0323329</v>
      </c>
      <c r="K844" s="143">
        <v>1172563009.7772393</v>
      </c>
      <c r="L844" s="143">
        <v>1196014269.972784</v>
      </c>
      <c r="M844" s="143">
        <v>1196014269.972784</v>
      </c>
      <c r="N844" s="143">
        <v>1196014269.972784</v>
      </c>
      <c r="O844" s="144">
        <v>1196014269.972784</v>
      </c>
      <c r="P844" s="124"/>
      <c r="Q844" s="124"/>
      <c r="R844" s="124"/>
      <c r="S844" s="124"/>
      <c r="T844" s="124"/>
      <c r="U844" s="124"/>
      <c r="V844" s="124"/>
      <c r="W844"/>
      <c r="X844"/>
      <c r="Y844"/>
      <c r="Z844"/>
      <c r="AA844"/>
      <c r="AB844"/>
      <c r="AC844"/>
      <c r="AD844"/>
      <c r="AE844"/>
      <c r="AF844"/>
      <c r="AG844"/>
      <c r="AH844"/>
      <c r="AI844" s="124"/>
      <c r="AJ844" s="124"/>
      <c r="AK844" s="124"/>
      <c r="AL844" s="124"/>
      <c r="AM844" s="124"/>
      <c r="AN844" s="124"/>
      <c r="AO844" s="124"/>
      <c r="AP844" s="124"/>
      <c r="AQ844" s="124"/>
      <c r="AR844" s="124"/>
      <c r="AS844" s="124"/>
      <c r="AT844" s="124"/>
      <c r="AU844" s="124"/>
      <c r="AV844" s="124"/>
      <c r="AW844" s="124"/>
      <c r="AX844" s="124"/>
      <c r="AY844" s="12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</row>
    <row r="845" spans="1:72">
      <c r="A845" s="6"/>
      <c r="B845" s="6"/>
      <c r="C845" s="6"/>
      <c r="D845" s="143">
        <v>311995152</v>
      </c>
      <c r="E845" s="143">
        <v>329529279.5424</v>
      </c>
      <c r="F845" s="143">
        <v>342183203.87682813</v>
      </c>
      <c r="G845" s="143">
        <v>338556061.91573381</v>
      </c>
      <c r="H845" s="143">
        <v>327925401.57157975</v>
      </c>
      <c r="I845" s="143">
        <v>291951985.01917744</v>
      </c>
      <c r="J845" s="143">
        <v>296827583.16899765</v>
      </c>
      <c r="K845" s="143">
        <v>308819417.5290252</v>
      </c>
      <c r="L845" s="143">
        <v>314995805.87960571</v>
      </c>
      <c r="M845" s="143">
        <v>314995805.87960571</v>
      </c>
      <c r="N845" s="143">
        <v>314995805.87960571</v>
      </c>
      <c r="O845" s="144">
        <v>314995805.87960571</v>
      </c>
      <c r="P845" s="124"/>
      <c r="Q845" s="124"/>
      <c r="R845" s="124"/>
      <c r="S845" s="124"/>
      <c r="T845" s="124"/>
      <c r="U845" s="124"/>
      <c r="V845" s="124"/>
      <c r="W845"/>
      <c r="X845"/>
      <c r="Y845"/>
      <c r="Z845"/>
      <c r="AA845"/>
      <c r="AB845"/>
      <c r="AC845"/>
      <c r="AD845"/>
      <c r="AE845"/>
      <c r="AF845"/>
      <c r="AG845"/>
      <c r="AH845"/>
      <c r="AI845" s="124"/>
      <c r="AJ845" s="124"/>
      <c r="AK845" s="124"/>
      <c r="AL845" s="124"/>
      <c r="AM845" s="124"/>
      <c r="AN845" s="124"/>
      <c r="AO845" s="124"/>
      <c r="AP845" s="124"/>
      <c r="AQ845" s="124"/>
      <c r="AR845" s="124"/>
      <c r="AS845" s="124"/>
      <c r="AT845" s="124"/>
      <c r="AU845" s="124"/>
      <c r="AV845" s="124"/>
      <c r="AW845" s="124"/>
      <c r="AX845" s="124"/>
      <c r="AY845" s="124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</row>
    <row r="846" spans="1:72">
      <c r="A846" s="6"/>
      <c r="B846" s="6"/>
      <c r="C846" s="6"/>
      <c r="D846" s="143">
        <v>2138972493.6300001</v>
      </c>
      <c r="E846" s="143">
        <v>2259182747.772006</v>
      </c>
      <c r="F846" s="143">
        <v>2345935365.2864509</v>
      </c>
      <c r="G846" s="143">
        <v>2321068450.4144149</v>
      </c>
      <c r="H846" s="143">
        <v>2248186901.0714021</v>
      </c>
      <c r="I846" s="143">
        <v>2001560798.0238693</v>
      </c>
      <c r="J846" s="143">
        <v>2034986863.3508677</v>
      </c>
      <c r="K846" s="143">
        <v>2117200332.6302428</v>
      </c>
      <c r="L846" s="143">
        <v>2159544339.2828479</v>
      </c>
      <c r="M846" s="143">
        <v>2159544339.2828479</v>
      </c>
      <c r="N846" s="143">
        <v>2159544339.2828479</v>
      </c>
      <c r="O846" s="143">
        <v>2159544339.2828479</v>
      </c>
      <c r="P846" s="124"/>
      <c r="Q846" s="124"/>
      <c r="R846" s="124"/>
      <c r="S846" s="124"/>
      <c r="T846" s="124"/>
      <c r="U846" s="124"/>
      <c r="V846" s="124"/>
      <c r="W846"/>
      <c r="X846"/>
      <c r="Y846"/>
      <c r="Z846"/>
      <c r="AA846"/>
      <c r="AB846"/>
      <c r="AC846"/>
      <c r="AD846"/>
      <c r="AE846"/>
      <c r="AF846"/>
      <c r="AG846"/>
      <c r="AH846"/>
      <c r="AI846" s="124"/>
      <c r="AJ846" s="124"/>
      <c r="AK846" s="124"/>
      <c r="AL846" s="124"/>
      <c r="AM846" s="124"/>
      <c r="AN846" s="124"/>
      <c r="AO846" s="124"/>
      <c r="AP846" s="124"/>
      <c r="AQ846" s="124"/>
      <c r="AR846" s="124"/>
      <c r="AS846" s="124"/>
      <c r="AT846" s="124"/>
      <c r="AU846" s="124"/>
      <c r="AV846" s="124"/>
      <c r="AW846" s="124"/>
      <c r="AX846" s="124"/>
      <c r="AY846" s="124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</row>
    <row r="847" spans="1:72">
      <c r="A847" s="6"/>
      <c r="B847" s="6"/>
      <c r="C847" s="6"/>
      <c r="D847" s="143">
        <v>354097062.49680001</v>
      </c>
      <c r="E847" s="143">
        <v>373997317.4091202</v>
      </c>
      <c r="F847" s="143">
        <v>388358814.39763039</v>
      </c>
      <c r="G847" s="143">
        <v>384242210.96501553</v>
      </c>
      <c r="H847" s="143">
        <v>372177005.54071403</v>
      </c>
      <c r="I847" s="143">
        <v>331349188.03289771</v>
      </c>
      <c r="J847" s="143">
        <v>336882719.47304708</v>
      </c>
      <c r="K847" s="143">
        <v>350492781.33975822</v>
      </c>
      <c r="L847" s="143">
        <v>312043723.22678673</v>
      </c>
      <c r="M847" s="143">
        <v>312043723.22678673</v>
      </c>
      <c r="N847" s="143">
        <v>312043723.22678673</v>
      </c>
      <c r="O847" s="144">
        <v>312043723.22678673</v>
      </c>
      <c r="P847" s="124"/>
      <c r="Q847" s="124"/>
      <c r="R847" s="124"/>
      <c r="S847" s="124"/>
      <c r="T847" s="124"/>
      <c r="U847" s="124"/>
      <c r="V847" s="124"/>
      <c r="W847"/>
      <c r="X847"/>
      <c r="Y847"/>
      <c r="Z847"/>
      <c r="AA847"/>
      <c r="AB847"/>
      <c r="AC847"/>
      <c r="AD847"/>
      <c r="AE847"/>
      <c r="AF847"/>
      <c r="AG847"/>
      <c r="AH847"/>
      <c r="AI847" s="124"/>
      <c r="AJ847" s="124"/>
      <c r="AK847" s="124"/>
      <c r="AL847" s="124"/>
      <c r="AM847" s="124"/>
      <c r="AN847" s="124"/>
      <c r="AO847" s="124"/>
      <c r="AP847" s="124"/>
      <c r="AQ847" s="124"/>
      <c r="AR847" s="124"/>
      <c r="AS847" s="124"/>
      <c r="AT847" s="124"/>
      <c r="AU847" s="124"/>
      <c r="AV847" s="124"/>
      <c r="AW847" s="124"/>
      <c r="AX847" s="124"/>
      <c r="AY847" s="124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</row>
    <row r="848" spans="1:72">
      <c r="A848" s="6"/>
      <c r="B848" s="6"/>
      <c r="C848" s="6"/>
      <c r="D848" s="143">
        <v>0</v>
      </c>
      <c r="E848" s="143">
        <v>0</v>
      </c>
      <c r="F848" s="143">
        <v>0</v>
      </c>
      <c r="G848" s="143">
        <v>0</v>
      </c>
      <c r="H848" s="143">
        <v>0</v>
      </c>
      <c r="I848" s="143">
        <v>0</v>
      </c>
      <c r="J848" s="143">
        <v>0</v>
      </c>
      <c r="K848" s="143">
        <v>0</v>
      </c>
      <c r="L848" s="143">
        <v>0</v>
      </c>
      <c r="M848" s="143">
        <v>0</v>
      </c>
      <c r="N848" s="143">
        <v>0</v>
      </c>
      <c r="O848" s="144">
        <v>0</v>
      </c>
      <c r="P848" s="124"/>
      <c r="Q848" s="124"/>
      <c r="R848" s="124"/>
      <c r="S848" s="124"/>
      <c r="T848" s="124"/>
      <c r="U848" s="124"/>
      <c r="V848" s="124"/>
      <c r="W848"/>
      <c r="X848"/>
      <c r="Y848"/>
      <c r="Z848"/>
      <c r="AA848"/>
      <c r="AB848"/>
      <c r="AC848"/>
      <c r="AD848"/>
      <c r="AE848"/>
      <c r="AF848"/>
      <c r="AG848"/>
      <c r="AH848"/>
      <c r="AI848" s="124"/>
      <c r="AJ848" s="124"/>
      <c r="AK848" s="124"/>
      <c r="AL848" s="124"/>
      <c r="AM848" s="124"/>
      <c r="AN848" s="124"/>
      <c r="AO848" s="124"/>
      <c r="AP848" s="124"/>
      <c r="AQ848" s="124"/>
      <c r="AR848" s="124"/>
      <c r="AS848" s="124"/>
      <c r="AT848" s="124"/>
      <c r="AU848" s="124"/>
      <c r="AV848" s="124"/>
      <c r="AW848" s="124"/>
      <c r="AX848" s="124"/>
      <c r="AY848" s="124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</row>
    <row r="849" spans="1:72">
      <c r="A849" s="6"/>
      <c r="B849" s="6"/>
      <c r="C849" s="6"/>
      <c r="D849" s="143">
        <v>0</v>
      </c>
      <c r="E849" s="143">
        <v>0</v>
      </c>
      <c r="F849" s="143">
        <v>0</v>
      </c>
      <c r="G849" s="143">
        <v>0</v>
      </c>
      <c r="H849" s="143">
        <v>0</v>
      </c>
      <c r="I849" s="143">
        <v>0</v>
      </c>
      <c r="J849" s="143">
        <v>0</v>
      </c>
      <c r="K849" s="143">
        <v>0</v>
      </c>
      <c r="L849" s="143">
        <v>0</v>
      </c>
      <c r="M849" s="143">
        <v>0</v>
      </c>
      <c r="N849" s="143">
        <v>0</v>
      </c>
      <c r="O849" s="144">
        <v>0</v>
      </c>
      <c r="P849" s="124"/>
      <c r="Q849" s="124"/>
      <c r="R849" s="124"/>
      <c r="S849" s="124"/>
      <c r="T849" s="124"/>
      <c r="U849" s="124"/>
      <c r="V849" s="124"/>
      <c r="W849"/>
      <c r="X849"/>
      <c r="Y849"/>
      <c r="Z849"/>
      <c r="AA849"/>
      <c r="AB849"/>
      <c r="AC849"/>
      <c r="AD849"/>
      <c r="AE849"/>
      <c r="AF849"/>
      <c r="AG849"/>
      <c r="AH849"/>
      <c r="AI849" s="124"/>
      <c r="AJ849" s="124"/>
      <c r="AK849" s="124"/>
      <c r="AL849" s="124"/>
      <c r="AM849" s="124"/>
      <c r="AN849" s="124"/>
      <c r="AO849" s="124"/>
      <c r="AP849" s="124"/>
      <c r="AQ849" s="124"/>
      <c r="AR849" s="124"/>
      <c r="AS849" s="124"/>
      <c r="AT849" s="124"/>
      <c r="AU849" s="124"/>
      <c r="AV849" s="124"/>
      <c r="AW849" s="124"/>
      <c r="AX849" s="124"/>
      <c r="AY849" s="124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</row>
    <row r="850" spans="1:72">
      <c r="A850" s="6"/>
      <c r="B850" s="6"/>
      <c r="C850" s="6"/>
      <c r="D850" s="143">
        <v>0</v>
      </c>
      <c r="E850" s="143">
        <v>0</v>
      </c>
      <c r="F850" s="143">
        <v>0</v>
      </c>
      <c r="G850" s="143">
        <v>0</v>
      </c>
      <c r="H850" s="143">
        <v>0</v>
      </c>
      <c r="I850" s="143">
        <v>0</v>
      </c>
      <c r="J850" s="143">
        <v>0</v>
      </c>
      <c r="K850" s="143">
        <v>0</v>
      </c>
      <c r="L850" s="143">
        <v>0</v>
      </c>
      <c r="M850" s="143">
        <v>0</v>
      </c>
      <c r="N850" s="143">
        <v>0</v>
      </c>
      <c r="O850" s="144">
        <v>0</v>
      </c>
      <c r="P850" s="124"/>
      <c r="Q850" s="124"/>
      <c r="R850" s="124"/>
      <c r="S850" s="124"/>
      <c r="T850" s="124"/>
      <c r="U850" s="124"/>
      <c r="V850" s="124"/>
      <c r="W850"/>
      <c r="X850"/>
      <c r="Y850"/>
      <c r="Z850"/>
      <c r="AA850"/>
      <c r="AB850"/>
      <c r="AC850"/>
      <c r="AD850"/>
      <c r="AE850"/>
      <c r="AF850"/>
      <c r="AG850"/>
      <c r="AH850"/>
      <c r="AI850" s="124"/>
      <c r="AJ850" s="124"/>
      <c r="AK850" s="124"/>
      <c r="AL850" s="124"/>
      <c r="AM850" s="124"/>
      <c r="AN850" s="124"/>
      <c r="AO850" s="124"/>
      <c r="AP850" s="124"/>
      <c r="AQ850" s="124"/>
      <c r="AR850" s="124"/>
      <c r="AS850" s="124"/>
      <c r="AT850" s="124"/>
      <c r="AU850" s="124"/>
      <c r="AV850" s="124"/>
      <c r="AW850" s="124"/>
      <c r="AX850" s="124"/>
      <c r="AY850" s="124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</row>
    <row r="851" spans="1:72">
      <c r="A851" s="6"/>
      <c r="B851" s="6"/>
      <c r="C851" s="6"/>
      <c r="D851" s="143">
        <v>0</v>
      </c>
      <c r="E851" s="143">
        <v>0</v>
      </c>
      <c r="F851" s="143">
        <v>0</v>
      </c>
      <c r="G851" s="143">
        <v>0</v>
      </c>
      <c r="H851" s="143">
        <v>0</v>
      </c>
      <c r="I851" s="143">
        <v>0</v>
      </c>
      <c r="J851" s="143">
        <v>0</v>
      </c>
      <c r="K851" s="143">
        <v>0</v>
      </c>
      <c r="L851" s="143">
        <v>0</v>
      </c>
      <c r="M851" s="143">
        <v>0</v>
      </c>
      <c r="N851" s="143">
        <v>0</v>
      </c>
      <c r="O851" s="144">
        <v>0</v>
      </c>
      <c r="P851" s="124"/>
      <c r="Q851" s="124"/>
      <c r="R851" s="124"/>
      <c r="S851" s="124"/>
      <c r="T851" s="124"/>
      <c r="U851" s="124"/>
      <c r="V851" s="124"/>
      <c r="W851"/>
      <c r="X851"/>
      <c r="Y851"/>
      <c r="Z851"/>
      <c r="AA851"/>
      <c r="AB851"/>
      <c r="AC851"/>
      <c r="AD851"/>
      <c r="AE851"/>
      <c r="AF851"/>
      <c r="AG851"/>
      <c r="AH851"/>
      <c r="AI851" s="124"/>
      <c r="AJ851" s="124"/>
      <c r="AK851" s="124"/>
      <c r="AL851" s="124"/>
      <c r="AM851" s="124"/>
      <c r="AN851" s="124"/>
      <c r="AO851" s="124"/>
      <c r="AP851" s="124"/>
      <c r="AQ851" s="124"/>
      <c r="AR851" s="124"/>
      <c r="AS851" s="124"/>
      <c r="AT851" s="124"/>
      <c r="AU851" s="124"/>
      <c r="AV851" s="124"/>
      <c r="AW851" s="124"/>
      <c r="AX851" s="124"/>
      <c r="AY851" s="124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</row>
    <row r="852" spans="1:72">
      <c r="A852" s="6"/>
      <c r="B852" s="6"/>
      <c r="C852" s="6"/>
      <c r="D852" s="143">
        <v>0</v>
      </c>
      <c r="E852" s="143">
        <v>0</v>
      </c>
      <c r="F852" s="143">
        <v>0</v>
      </c>
      <c r="G852" s="143">
        <v>0</v>
      </c>
      <c r="H852" s="143">
        <v>0</v>
      </c>
      <c r="I852" s="143">
        <v>0</v>
      </c>
      <c r="J852" s="143">
        <v>0</v>
      </c>
      <c r="K852" s="143">
        <v>0</v>
      </c>
      <c r="L852" s="143">
        <v>0</v>
      </c>
      <c r="M852" s="143">
        <v>0</v>
      </c>
      <c r="N852" s="143">
        <v>0</v>
      </c>
      <c r="O852" s="144">
        <v>0</v>
      </c>
      <c r="P852" s="124"/>
      <c r="Q852" s="124"/>
      <c r="R852" s="124"/>
      <c r="S852" s="124"/>
      <c r="T852" s="124"/>
      <c r="U852" s="124"/>
      <c r="V852" s="124"/>
      <c r="W852"/>
      <c r="X852"/>
      <c r="Y852"/>
      <c r="Z852"/>
      <c r="AA852"/>
      <c r="AB852"/>
      <c r="AC852"/>
      <c r="AD852"/>
      <c r="AE852"/>
      <c r="AF852"/>
      <c r="AG852"/>
      <c r="AH852"/>
      <c r="AI852" s="124"/>
      <c r="AJ852" s="124"/>
      <c r="AK852" s="124"/>
      <c r="AL852" s="124"/>
      <c r="AM852" s="124"/>
      <c r="AN852" s="124"/>
      <c r="AO852" s="124"/>
      <c r="AP852" s="124"/>
      <c r="AQ852" s="124"/>
      <c r="AR852" s="124"/>
      <c r="AS852" s="124"/>
      <c r="AT852" s="124"/>
      <c r="AU852" s="124"/>
      <c r="AV852" s="124"/>
      <c r="AW852" s="124"/>
      <c r="AX852" s="124"/>
      <c r="AY852" s="124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</row>
    <row r="853" spans="1:72">
      <c r="A853" s="6"/>
      <c r="B853" s="6"/>
      <c r="C853" s="6"/>
      <c r="D853" s="143">
        <v>280000000</v>
      </c>
      <c r="E853" s="143">
        <v>295736000</v>
      </c>
      <c r="F853" s="143">
        <v>307092262.39999998</v>
      </c>
      <c r="G853" s="143">
        <v>303837084.41856003</v>
      </c>
      <c r="H853" s="143">
        <v>294296599.96781725</v>
      </c>
      <c r="I853" s="143">
        <v>262012262.95134771</v>
      </c>
      <c r="J853" s="143">
        <v>266387867.74263519</v>
      </c>
      <c r="K853" s="143">
        <v>277149937.59943765</v>
      </c>
      <c r="L853" s="143">
        <v>246746589.44477934</v>
      </c>
      <c r="M853" s="143">
        <v>246746589.44477934</v>
      </c>
      <c r="N853" s="143">
        <v>246746589.44477934</v>
      </c>
      <c r="O853" s="144">
        <v>246746589.44477934</v>
      </c>
      <c r="P853" s="124"/>
      <c r="Q853" s="124"/>
      <c r="R853" s="124"/>
      <c r="S853" s="124"/>
      <c r="T853" s="124"/>
      <c r="U853" s="124"/>
      <c r="V853" s="124"/>
      <c r="W853"/>
      <c r="X853"/>
      <c r="Y853"/>
      <c r="Z853"/>
      <c r="AA853"/>
      <c r="AB853"/>
      <c r="AC853"/>
      <c r="AD853"/>
      <c r="AE853"/>
      <c r="AF853"/>
      <c r="AG853"/>
      <c r="AH853"/>
      <c r="AI853" s="124"/>
      <c r="AJ853" s="124"/>
      <c r="AK853" s="124"/>
      <c r="AL853" s="124"/>
      <c r="AM853" s="124"/>
      <c r="AN853" s="124"/>
      <c r="AO853" s="124"/>
      <c r="AP853" s="124"/>
      <c r="AQ853" s="124"/>
      <c r="AR853" s="124"/>
      <c r="AS853" s="124"/>
      <c r="AT853" s="124"/>
      <c r="AU853" s="124"/>
      <c r="AV853" s="124"/>
      <c r="AW853" s="124"/>
      <c r="AX853" s="124"/>
      <c r="AY853" s="124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</row>
    <row r="854" spans="1:72">
      <c r="A854" s="6"/>
      <c r="B854" s="6"/>
      <c r="C854" s="6"/>
      <c r="D854" s="143">
        <v>0</v>
      </c>
      <c r="E854" s="143">
        <v>0</v>
      </c>
      <c r="F854" s="143">
        <v>0</v>
      </c>
      <c r="G854" s="143">
        <v>0</v>
      </c>
      <c r="H854" s="143"/>
      <c r="I854" s="143"/>
      <c r="J854" s="143"/>
      <c r="K854" s="143"/>
      <c r="L854" s="143"/>
      <c r="M854" s="143"/>
      <c r="N854" s="143"/>
      <c r="O854" s="144"/>
      <c r="P854" s="124"/>
      <c r="Q854" s="124"/>
      <c r="R854" s="124"/>
      <c r="S854" s="124"/>
      <c r="T854" s="124"/>
      <c r="U854" s="124"/>
      <c r="V854" s="124"/>
      <c r="W854"/>
      <c r="X854"/>
      <c r="Y854"/>
      <c r="Z854"/>
      <c r="AA854"/>
      <c r="AB854"/>
      <c r="AC854"/>
      <c r="AD854"/>
      <c r="AE854"/>
      <c r="AF854"/>
      <c r="AG854"/>
      <c r="AH854"/>
      <c r="AI854" s="124"/>
      <c r="AJ854" s="124"/>
      <c r="AK854" s="124"/>
      <c r="AL854" s="124"/>
      <c r="AM854" s="124"/>
      <c r="AN854" s="124"/>
      <c r="AO854" s="124"/>
      <c r="AP854" s="124"/>
      <c r="AQ854" s="124"/>
      <c r="AR854" s="124"/>
      <c r="AS854" s="124"/>
      <c r="AT854" s="124"/>
      <c r="AU854" s="124"/>
      <c r="AV854" s="124"/>
      <c r="AW854" s="124"/>
      <c r="AX854" s="124"/>
      <c r="AY854" s="12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</row>
    <row r="855" spans="1:72">
      <c r="A855" s="6"/>
      <c r="B855" s="6"/>
      <c r="C855" s="6"/>
      <c r="D855" s="147">
        <v>4269685731.6109967</v>
      </c>
      <c r="E855" s="147">
        <v>4509642069.7275343</v>
      </c>
      <c r="F855" s="147">
        <v>4682812325.2050714</v>
      </c>
      <c r="G855" s="147">
        <v>4633174514.5578985</v>
      </c>
      <c r="H855" s="147">
        <v>4487692834.8007803</v>
      </c>
      <c r="I855" s="147">
        <v>3995392930.8231349</v>
      </c>
      <c r="J855" s="147">
        <v>4062115992.7678809</v>
      </c>
      <c r="K855" s="147">
        <v>4226225478.8757033</v>
      </c>
      <c r="L855" s="147">
        <v>4229344727.8068037</v>
      </c>
      <c r="M855" s="147">
        <v>4229344727.8068037</v>
      </c>
      <c r="N855" s="147">
        <v>4229344727.8068037</v>
      </c>
      <c r="O855" s="148">
        <v>4229344727.8068037</v>
      </c>
      <c r="P855" s="124"/>
      <c r="Q855" s="124"/>
      <c r="R855" s="124"/>
      <c r="S855" s="124"/>
      <c r="T855" s="124"/>
      <c r="U855" s="124"/>
      <c r="V855" s="124"/>
      <c r="W855"/>
      <c r="X855"/>
      <c r="Y855"/>
      <c r="Z855"/>
      <c r="AA855"/>
      <c r="AB855"/>
      <c r="AC855"/>
      <c r="AD855"/>
      <c r="AE855"/>
      <c r="AF855"/>
      <c r="AG855"/>
      <c r="AH855"/>
      <c r="AI855" s="124"/>
      <c r="AJ855" s="124"/>
      <c r="AK855" s="124"/>
      <c r="AL855" s="124"/>
      <c r="AM855" s="124"/>
      <c r="AN855" s="124"/>
      <c r="AO855" s="124"/>
      <c r="AP855" s="124"/>
      <c r="AQ855" s="124"/>
      <c r="AR855" s="124"/>
      <c r="AS855" s="124"/>
      <c r="AT855" s="124"/>
      <c r="AU855" s="124"/>
      <c r="AV855" s="124"/>
      <c r="AW855" s="124"/>
      <c r="AX855" s="124"/>
      <c r="AY855" s="124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</row>
  </sheetData>
  <mergeCells count="29">
    <mergeCell ref="A118:C118"/>
    <mergeCell ref="A120:C120"/>
    <mergeCell ref="D836:O836"/>
    <mergeCell ref="D837:O837"/>
    <mergeCell ref="Q6:Q8"/>
    <mergeCell ref="B25:C25"/>
    <mergeCell ref="B26:C26"/>
    <mergeCell ref="B27:C27"/>
    <mergeCell ref="B29:C29"/>
    <mergeCell ref="B31:D31"/>
    <mergeCell ref="B106:C106"/>
    <mergeCell ref="B18:C18"/>
    <mergeCell ref="B20:C20"/>
    <mergeCell ref="B21:C21"/>
    <mergeCell ref="B22:C22"/>
    <mergeCell ref="B23:C23"/>
    <mergeCell ref="B24:C24"/>
    <mergeCell ref="B11:C11"/>
    <mergeCell ref="B13:C13"/>
    <mergeCell ref="B14:C14"/>
    <mergeCell ref="B15:C15"/>
    <mergeCell ref="B16:C16"/>
    <mergeCell ref="B17:C17"/>
    <mergeCell ref="A10:C10"/>
    <mergeCell ref="A6:C8"/>
    <mergeCell ref="D6:O6"/>
    <mergeCell ref="P6:P8"/>
    <mergeCell ref="D7:O7"/>
    <mergeCell ref="B9:C9"/>
  </mergeCells>
  <printOptions horizontalCentered="1"/>
  <pageMargins left="0" right="0" top="0.74803149606299213" bottom="1.0236220472440944" header="0.31496062992125984" footer="0.31496062992125984"/>
  <pageSetup paperSize="5" scale="85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92D050"/>
  </sheetPr>
  <dimension ref="A1:W102"/>
  <sheetViews>
    <sheetView workbookViewId="0">
      <pane xSplit="3" ySplit="7" topLeftCell="D8" activePane="bottomRight" state="frozen"/>
      <selection pane="topRight" activeCell="D1" sqref="D1"/>
      <selection pane="bottomLeft" activeCell="A5" sqref="A5"/>
      <selection pane="bottomRight" activeCell="E12" sqref="E12"/>
    </sheetView>
  </sheetViews>
  <sheetFormatPr defaultRowHeight="15"/>
  <cols>
    <col min="1" max="1" width="3.140625" style="124" customWidth="1"/>
    <col min="2" max="2" width="38.42578125" style="124" customWidth="1"/>
    <col min="3" max="3" width="15.5703125" style="129" hidden="1" customWidth="1"/>
    <col min="4" max="4" width="14.7109375" style="129" customWidth="1"/>
    <col min="5" max="11" width="11.140625" style="129" customWidth="1"/>
    <col min="12" max="14" width="17.140625" style="129" customWidth="1"/>
    <col min="15" max="15" width="11.42578125" style="129" customWidth="1"/>
    <col min="16" max="16" width="15.42578125" style="129" customWidth="1"/>
    <col min="17" max="18" width="15.7109375" style="117" customWidth="1"/>
    <col min="19" max="22" width="15.7109375" style="73" customWidth="1"/>
    <col min="23" max="23" width="16.7109375" customWidth="1"/>
  </cols>
  <sheetData>
    <row r="1" spans="1:22">
      <c r="B1" s="443" t="s">
        <v>584</v>
      </c>
    </row>
    <row r="2" spans="1:22">
      <c r="B2" s="443" t="s">
        <v>583</v>
      </c>
    </row>
    <row r="3" spans="1:22">
      <c r="B3" s="443" t="s">
        <v>228</v>
      </c>
    </row>
    <row r="4" spans="1:22">
      <c r="B4" s="443"/>
    </row>
    <row r="5" spans="1:22">
      <c r="D5" s="125"/>
    </row>
    <row r="6" spans="1:22">
      <c r="A6" s="444" t="s">
        <v>579</v>
      </c>
      <c r="B6" s="664" t="s">
        <v>1</v>
      </c>
      <c r="C6" s="666" t="s">
        <v>421</v>
      </c>
      <c r="D6" s="668" t="s">
        <v>580</v>
      </c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70"/>
      <c r="P6" s="661" t="s">
        <v>421</v>
      </c>
    </row>
    <row r="7" spans="1:22">
      <c r="A7" s="445"/>
      <c r="B7" s="665"/>
      <c r="C7" s="667"/>
      <c r="D7" s="172" t="s">
        <v>647</v>
      </c>
      <c r="E7" s="172" t="s">
        <v>648</v>
      </c>
      <c r="F7" s="172" t="s">
        <v>649</v>
      </c>
      <c r="G7" s="172" t="s">
        <v>650</v>
      </c>
      <c r="H7" s="172" t="s">
        <v>651</v>
      </c>
      <c r="I7" s="172" t="s">
        <v>652</v>
      </c>
      <c r="J7" s="172" t="s">
        <v>601</v>
      </c>
      <c r="K7" s="172" t="s">
        <v>602</v>
      </c>
      <c r="L7" s="172" t="s">
        <v>653</v>
      </c>
      <c r="M7" s="172" t="s">
        <v>663</v>
      </c>
      <c r="N7" s="172" t="s">
        <v>654</v>
      </c>
      <c r="O7" s="172" t="s">
        <v>655</v>
      </c>
      <c r="P7" s="662"/>
      <c r="Q7" s="435"/>
      <c r="R7" s="435"/>
    </row>
    <row r="8" spans="1:22">
      <c r="A8" s="445"/>
      <c r="B8" s="412"/>
      <c r="C8" s="439"/>
      <c r="D8" s="172"/>
      <c r="E8" s="172"/>
      <c r="F8" s="172"/>
      <c r="G8" s="172"/>
      <c r="H8" s="508"/>
      <c r="I8" s="508"/>
      <c r="J8" s="508"/>
      <c r="K8" s="508"/>
      <c r="L8" s="508"/>
      <c r="M8" s="508"/>
      <c r="N8" s="508"/>
      <c r="O8" s="508"/>
      <c r="P8" s="440"/>
      <c r="Q8" s="435"/>
      <c r="R8" s="435"/>
    </row>
    <row r="9" spans="1:22">
      <c r="A9" s="445"/>
      <c r="B9" s="446" t="s">
        <v>571</v>
      </c>
      <c r="C9" s="439"/>
      <c r="D9" s="172"/>
      <c r="E9" s="172"/>
      <c r="F9" s="172"/>
      <c r="G9" s="172"/>
      <c r="H9" s="508"/>
      <c r="I9" s="508"/>
      <c r="J9" s="508"/>
      <c r="K9" s="508"/>
      <c r="L9" s="508"/>
      <c r="M9" s="508"/>
      <c r="N9" s="508"/>
      <c r="O9" s="508"/>
      <c r="P9" s="440"/>
      <c r="Q9" s="435"/>
      <c r="R9" s="435"/>
    </row>
    <row r="10" spans="1:22" ht="31.5">
      <c r="A10" s="447">
        <v>1</v>
      </c>
      <c r="B10" s="509" t="s">
        <v>716</v>
      </c>
      <c r="C10" s="172">
        <v>200000</v>
      </c>
      <c r="D10" s="172">
        <f>+C10</f>
        <v>200000</v>
      </c>
      <c r="E10" s="172"/>
      <c r="F10" s="172"/>
      <c r="G10" s="172"/>
      <c r="H10" s="508"/>
      <c r="I10" s="508"/>
      <c r="J10" s="508"/>
      <c r="K10" s="508"/>
      <c r="L10" s="508"/>
      <c r="M10" s="508"/>
      <c r="N10" s="508"/>
      <c r="O10" s="508"/>
      <c r="P10" s="425">
        <f t="shared" ref="P10:P59" si="0">SUM(D10:O10)</f>
        <v>200000</v>
      </c>
      <c r="Q10" s="435">
        <f t="shared" ref="Q10:Q41" si="1">+P10-C10</f>
        <v>0</v>
      </c>
      <c r="R10" s="435"/>
      <c r="S10" s="431">
        <v>9</v>
      </c>
      <c r="T10" s="426">
        <v>10</v>
      </c>
      <c r="U10" s="426">
        <v>11</v>
      </c>
      <c r="V10" s="427">
        <v>12</v>
      </c>
    </row>
    <row r="11" spans="1:22" ht="47.25">
      <c r="A11" s="447">
        <v>2</v>
      </c>
      <c r="B11" s="450" t="s">
        <v>717</v>
      </c>
      <c r="C11" s="172">
        <v>1200000</v>
      </c>
      <c r="D11" s="172">
        <f>+C11</f>
        <v>1200000</v>
      </c>
      <c r="E11" s="172"/>
      <c r="F11" s="172"/>
      <c r="G11" s="172"/>
      <c r="H11" s="508"/>
      <c r="I11" s="508"/>
      <c r="J11" s="508"/>
      <c r="K11" s="508"/>
      <c r="L11" s="508"/>
      <c r="M11" s="508"/>
      <c r="N11" s="508"/>
      <c r="O11" s="508"/>
      <c r="P11" s="425">
        <f t="shared" si="0"/>
        <v>1200000</v>
      </c>
      <c r="Q11" s="435">
        <f t="shared" si="1"/>
        <v>0</v>
      </c>
      <c r="S11" s="432"/>
      <c r="T11" s="2"/>
      <c r="U11" s="2"/>
      <c r="V11" s="423"/>
    </row>
    <row r="12" spans="1:22" ht="63">
      <c r="A12" s="447">
        <v>3</v>
      </c>
      <c r="B12" s="450" t="s">
        <v>718</v>
      </c>
      <c r="C12" s="172">
        <v>255000</v>
      </c>
      <c r="D12" s="172">
        <f>+C12</f>
        <v>255000</v>
      </c>
      <c r="E12" s="172"/>
      <c r="F12" s="172"/>
      <c r="G12" s="172"/>
      <c r="H12" s="508"/>
      <c r="I12" s="508"/>
      <c r="J12" s="508"/>
      <c r="K12" s="508"/>
      <c r="L12" s="508"/>
      <c r="M12" s="508"/>
      <c r="N12" s="508"/>
      <c r="O12" s="508"/>
      <c r="P12" s="425">
        <f t="shared" si="0"/>
        <v>255000</v>
      </c>
      <c r="Q12" s="435">
        <f t="shared" si="1"/>
        <v>0</v>
      </c>
      <c r="S12" s="432"/>
      <c r="T12" s="2"/>
      <c r="U12" s="2"/>
      <c r="V12" s="423"/>
    </row>
    <row r="13" spans="1:22" ht="47.25">
      <c r="A13" s="447">
        <v>4</v>
      </c>
      <c r="B13" s="450" t="s">
        <v>719</v>
      </c>
      <c r="C13" s="172">
        <v>400000</v>
      </c>
      <c r="D13" s="172">
        <f>+C13</f>
        <v>400000</v>
      </c>
      <c r="E13" s="172"/>
      <c r="F13" s="172"/>
      <c r="G13" s="172"/>
      <c r="H13" s="508"/>
      <c r="I13" s="508"/>
      <c r="J13" s="508"/>
      <c r="K13" s="508"/>
      <c r="L13" s="508"/>
      <c r="M13" s="508"/>
      <c r="N13" s="508"/>
      <c r="O13" s="508"/>
      <c r="P13" s="425">
        <f t="shared" si="0"/>
        <v>400000</v>
      </c>
      <c r="Q13" s="435">
        <f t="shared" si="1"/>
        <v>0</v>
      </c>
      <c r="S13" s="432"/>
      <c r="T13" s="2"/>
      <c r="U13" s="2"/>
      <c r="V13" s="423"/>
    </row>
    <row r="14" spans="1:22" ht="31.5">
      <c r="A14" s="447">
        <v>5</v>
      </c>
      <c r="B14" s="450" t="s">
        <v>720</v>
      </c>
      <c r="C14" s="172"/>
      <c r="D14" s="172"/>
      <c r="E14" s="172"/>
      <c r="F14" s="172"/>
      <c r="G14" s="172"/>
      <c r="H14" s="508"/>
      <c r="I14" s="508"/>
      <c r="J14" s="508"/>
      <c r="K14" s="508"/>
      <c r="L14" s="508"/>
      <c r="M14" s="508"/>
      <c r="N14" s="508"/>
      <c r="O14" s="508"/>
      <c r="P14" s="425">
        <f t="shared" si="0"/>
        <v>0</v>
      </c>
      <c r="Q14" s="435">
        <f t="shared" si="1"/>
        <v>0</v>
      </c>
      <c r="S14" s="432"/>
      <c r="T14" s="2"/>
      <c r="U14" s="2"/>
      <c r="V14" s="423"/>
    </row>
    <row r="15" spans="1:22" ht="31.5">
      <c r="A15" s="447">
        <v>6</v>
      </c>
      <c r="B15" s="450" t="s">
        <v>721</v>
      </c>
      <c r="C15" s="172"/>
      <c r="D15" s="172"/>
      <c r="E15" s="172"/>
      <c r="F15" s="172"/>
      <c r="G15" s="172"/>
      <c r="H15" s="508"/>
      <c r="I15" s="508"/>
      <c r="J15" s="508"/>
      <c r="K15" s="508"/>
      <c r="L15" s="508"/>
      <c r="M15" s="508"/>
      <c r="N15" s="508"/>
      <c r="O15" s="508"/>
      <c r="P15" s="425">
        <f t="shared" si="0"/>
        <v>0</v>
      </c>
      <c r="Q15" s="435">
        <f t="shared" si="1"/>
        <v>0</v>
      </c>
      <c r="S15" s="432"/>
      <c r="T15" s="2"/>
      <c r="U15" s="2"/>
      <c r="V15" s="423"/>
    </row>
    <row r="16" spans="1:22" ht="31.5">
      <c r="A16" s="447">
        <v>7</v>
      </c>
      <c r="B16" s="450" t="s">
        <v>722</v>
      </c>
      <c r="C16" s="172"/>
      <c r="D16" s="172"/>
      <c r="E16" s="172"/>
      <c r="F16" s="172"/>
      <c r="G16" s="172"/>
      <c r="H16" s="508"/>
      <c r="I16" s="508"/>
      <c r="J16" s="508"/>
      <c r="K16" s="508"/>
      <c r="L16" s="508"/>
      <c r="M16" s="508"/>
      <c r="N16" s="508"/>
      <c r="O16" s="508"/>
      <c r="P16" s="425">
        <f t="shared" si="0"/>
        <v>0</v>
      </c>
      <c r="Q16" s="435">
        <f t="shared" si="1"/>
        <v>0</v>
      </c>
      <c r="S16" s="432"/>
      <c r="T16" s="2"/>
      <c r="U16" s="2"/>
      <c r="V16" s="423"/>
    </row>
    <row r="17" spans="1:22" ht="47.25">
      <c r="A17" s="447">
        <v>8</v>
      </c>
      <c r="B17" s="450" t="s">
        <v>723</v>
      </c>
      <c r="C17" s="172">
        <v>200000</v>
      </c>
      <c r="D17" s="172">
        <f>+C17</f>
        <v>200000</v>
      </c>
      <c r="E17" s="172"/>
      <c r="F17" s="172"/>
      <c r="G17" s="172"/>
      <c r="H17" s="508"/>
      <c r="I17" s="508"/>
      <c r="J17" s="508"/>
      <c r="K17" s="508"/>
      <c r="L17" s="508"/>
      <c r="M17" s="508"/>
      <c r="N17" s="508"/>
      <c r="O17" s="508"/>
      <c r="P17" s="425">
        <f t="shared" si="0"/>
        <v>200000</v>
      </c>
      <c r="Q17" s="435">
        <f t="shared" si="1"/>
        <v>0</v>
      </c>
      <c r="S17" s="432"/>
      <c r="T17" s="2"/>
      <c r="U17" s="2"/>
      <c r="V17" s="423"/>
    </row>
    <row r="18" spans="1:22" ht="31.5">
      <c r="A18" s="447">
        <v>9</v>
      </c>
      <c r="B18" s="450" t="s">
        <v>726</v>
      </c>
      <c r="C18" s="172"/>
      <c r="D18" s="172"/>
      <c r="E18" s="172"/>
      <c r="F18" s="172"/>
      <c r="G18" s="172"/>
      <c r="H18" s="508"/>
      <c r="I18" s="508"/>
      <c r="J18" s="508"/>
      <c r="K18" s="508"/>
      <c r="L18" s="508"/>
      <c r="M18" s="508"/>
      <c r="N18" s="508"/>
      <c r="O18" s="508"/>
      <c r="P18" s="425">
        <f t="shared" si="0"/>
        <v>0</v>
      </c>
      <c r="Q18" s="435">
        <f t="shared" si="1"/>
        <v>0</v>
      </c>
      <c r="S18" s="432"/>
      <c r="T18" s="2"/>
      <c r="U18" s="2"/>
      <c r="V18" s="423"/>
    </row>
    <row r="19" spans="1:22" ht="31.5">
      <c r="A19" s="447">
        <v>10</v>
      </c>
      <c r="B19" s="450" t="s">
        <v>725</v>
      </c>
      <c r="C19" s="172">
        <v>500000</v>
      </c>
      <c r="D19" s="172">
        <f>+C19</f>
        <v>500000</v>
      </c>
      <c r="E19" s="172"/>
      <c r="F19" s="172"/>
      <c r="G19" s="172"/>
      <c r="H19" s="508"/>
      <c r="I19" s="508"/>
      <c r="J19" s="508"/>
      <c r="K19" s="508"/>
      <c r="L19" s="508"/>
      <c r="M19" s="508"/>
      <c r="N19" s="508"/>
      <c r="O19" s="508"/>
      <c r="P19" s="425">
        <f t="shared" si="0"/>
        <v>500000</v>
      </c>
      <c r="Q19" s="435">
        <f t="shared" si="1"/>
        <v>0</v>
      </c>
      <c r="S19" s="432"/>
      <c r="T19" s="2"/>
      <c r="U19" s="2"/>
      <c r="V19" s="423"/>
    </row>
    <row r="20" spans="1:22" ht="31.5">
      <c r="A20" s="447">
        <v>11</v>
      </c>
      <c r="B20" s="450" t="s">
        <v>724</v>
      </c>
      <c r="C20" s="172">
        <v>600000</v>
      </c>
      <c r="D20" s="172">
        <f>+C20</f>
        <v>600000</v>
      </c>
      <c r="E20" s="172"/>
      <c r="F20" s="172"/>
      <c r="G20" s="172"/>
      <c r="H20" s="508"/>
      <c r="I20" s="508"/>
      <c r="J20" s="508"/>
      <c r="K20" s="508"/>
      <c r="L20" s="508"/>
      <c r="M20" s="508"/>
      <c r="N20" s="508"/>
      <c r="O20" s="508"/>
      <c r="P20" s="425">
        <f t="shared" si="0"/>
        <v>600000</v>
      </c>
      <c r="Q20" s="435">
        <f t="shared" si="1"/>
        <v>0</v>
      </c>
      <c r="S20" s="432"/>
      <c r="T20" s="2"/>
      <c r="U20" s="2"/>
      <c r="V20" s="423"/>
    </row>
    <row r="21" spans="1:22">
      <c r="A21" s="447"/>
      <c r="B21" s="232"/>
      <c r="C21" s="441"/>
      <c r="D21" s="172"/>
      <c r="E21" s="172"/>
      <c r="F21" s="172"/>
      <c r="G21" s="172"/>
      <c r="H21" s="508"/>
      <c r="I21" s="508"/>
      <c r="J21" s="508"/>
      <c r="K21" s="508"/>
      <c r="L21" s="508"/>
      <c r="M21" s="508"/>
      <c r="N21" s="508"/>
      <c r="O21" s="508"/>
      <c r="P21" s="425">
        <f t="shared" si="0"/>
        <v>0</v>
      </c>
      <c r="Q21" s="435">
        <f t="shared" si="1"/>
        <v>0</v>
      </c>
      <c r="S21" s="432"/>
      <c r="T21" s="2"/>
      <c r="U21" s="2"/>
      <c r="V21" s="423"/>
    </row>
    <row r="22" spans="1:22">
      <c r="A22" s="447"/>
      <c r="B22" s="446" t="s">
        <v>572</v>
      </c>
      <c r="C22" s="172"/>
      <c r="D22" s="172"/>
      <c r="E22" s="172"/>
      <c r="F22" s="172"/>
      <c r="G22" s="172"/>
      <c r="H22" s="508"/>
      <c r="I22" s="508"/>
      <c r="J22" s="508"/>
      <c r="K22" s="508"/>
      <c r="L22" s="508"/>
      <c r="M22" s="508"/>
      <c r="N22" s="508"/>
      <c r="O22" s="508"/>
      <c r="P22" s="425">
        <f t="shared" si="0"/>
        <v>0</v>
      </c>
      <c r="Q22" s="435">
        <f t="shared" si="1"/>
        <v>0</v>
      </c>
      <c r="S22" s="432"/>
      <c r="T22" s="2"/>
      <c r="U22" s="2"/>
      <c r="V22" s="423"/>
    </row>
    <row r="23" spans="1:22" ht="31.5">
      <c r="A23" s="447">
        <v>1</v>
      </c>
      <c r="B23" s="509" t="s">
        <v>727</v>
      </c>
      <c r="C23" s="172">
        <v>620000</v>
      </c>
      <c r="D23" s="172">
        <f>+C23</f>
        <v>620000</v>
      </c>
      <c r="E23" s="242"/>
      <c r="F23" s="172"/>
      <c r="G23" s="172"/>
      <c r="H23" s="508"/>
      <c r="I23" s="508"/>
      <c r="J23" s="508"/>
      <c r="K23" s="508"/>
      <c r="L23" s="508"/>
      <c r="M23" s="508"/>
      <c r="N23" s="508"/>
      <c r="O23" s="508"/>
      <c r="P23" s="425">
        <f t="shared" si="0"/>
        <v>620000</v>
      </c>
      <c r="Q23" s="435">
        <f t="shared" si="1"/>
        <v>0</v>
      </c>
      <c r="S23" s="432"/>
      <c r="T23" s="2"/>
      <c r="U23" s="2"/>
      <c r="V23" s="423"/>
    </row>
    <row r="24" spans="1:22" ht="31.5">
      <c r="A24" s="447">
        <v>2</v>
      </c>
      <c r="B24" s="509" t="s">
        <v>728</v>
      </c>
      <c r="C24" s="172">
        <v>2900000</v>
      </c>
      <c r="D24" s="172">
        <f>+C24</f>
        <v>2900000</v>
      </c>
      <c r="E24" s="242"/>
      <c r="F24" s="172"/>
      <c r="G24" s="172"/>
      <c r="H24" s="508"/>
      <c r="I24" s="508"/>
      <c r="J24" s="508"/>
      <c r="K24" s="508"/>
      <c r="L24" s="508"/>
      <c r="M24" s="508"/>
      <c r="N24" s="508"/>
      <c r="O24" s="508"/>
      <c r="P24" s="425">
        <f t="shared" si="0"/>
        <v>2900000</v>
      </c>
      <c r="Q24" s="435">
        <f t="shared" si="1"/>
        <v>0</v>
      </c>
      <c r="S24" s="432"/>
      <c r="T24" s="2"/>
      <c r="U24" s="2"/>
      <c r="V24" s="423"/>
    </row>
    <row r="25" spans="1:22" ht="31.5">
      <c r="A25" s="447">
        <v>3</v>
      </c>
      <c r="B25" s="509" t="s">
        <v>729</v>
      </c>
      <c r="C25" s="172"/>
      <c r="D25" s="172"/>
      <c r="E25" s="242"/>
      <c r="F25" s="172"/>
      <c r="G25" s="172"/>
      <c r="H25" s="508"/>
      <c r="I25" s="508"/>
      <c r="J25" s="508"/>
      <c r="K25" s="508"/>
      <c r="L25" s="508"/>
      <c r="M25" s="508"/>
      <c r="N25" s="508"/>
      <c r="O25" s="508"/>
      <c r="P25" s="425">
        <f t="shared" si="0"/>
        <v>0</v>
      </c>
      <c r="Q25" s="435">
        <f t="shared" si="1"/>
        <v>0</v>
      </c>
      <c r="S25" s="432"/>
      <c r="T25" s="2"/>
      <c r="U25" s="2"/>
      <c r="V25" s="423"/>
    </row>
    <row r="26" spans="1:22" ht="31.5">
      <c r="A26" s="447">
        <v>4</v>
      </c>
      <c r="B26" s="509" t="s">
        <v>726</v>
      </c>
      <c r="C26" s="172"/>
      <c r="D26" s="172"/>
      <c r="E26" s="242"/>
      <c r="F26" s="172"/>
      <c r="G26" s="172"/>
      <c r="H26" s="508"/>
      <c r="I26" s="508"/>
      <c r="J26" s="508"/>
      <c r="K26" s="508"/>
      <c r="L26" s="508"/>
      <c r="M26" s="508"/>
      <c r="N26" s="508"/>
      <c r="O26" s="508"/>
      <c r="P26" s="425">
        <f t="shared" si="0"/>
        <v>0</v>
      </c>
      <c r="Q26" s="435">
        <f t="shared" si="1"/>
        <v>0</v>
      </c>
      <c r="S26" s="432"/>
      <c r="T26" s="2"/>
      <c r="U26" s="2"/>
      <c r="V26" s="423"/>
    </row>
    <row r="27" spans="1:22" ht="31.5">
      <c r="A27" s="447">
        <v>5</v>
      </c>
      <c r="B27" s="509" t="s">
        <v>730</v>
      </c>
      <c r="C27" s="172">
        <v>400000</v>
      </c>
      <c r="D27" s="172">
        <f>+C27</f>
        <v>400000</v>
      </c>
      <c r="E27" s="242"/>
      <c r="F27" s="172"/>
      <c r="G27" s="172"/>
      <c r="H27" s="508"/>
      <c r="I27" s="508"/>
      <c r="J27" s="508"/>
      <c r="K27" s="508"/>
      <c r="L27" s="508"/>
      <c r="M27" s="508"/>
      <c r="N27" s="508"/>
      <c r="O27" s="508"/>
      <c r="P27" s="425">
        <f t="shared" si="0"/>
        <v>400000</v>
      </c>
      <c r="Q27" s="435">
        <f t="shared" si="1"/>
        <v>0</v>
      </c>
      <c r="S27" s="432"/>
      <c r="T27" s="2"/>
      <c r="U27" s="2"/>
      <c r="V27" s="423"/>
    </row>
    <row r="28" spans="1:22" ht="15.75">
      <c r="A28" s="447">
        <v>6</v>
      </c>
      <c r="B28" s="240" t="s">
        <v>731</v>
      </c>
      <c r="C28" s="172"/>
      <c r="D28" s="172"/>
      <c r="E28" s="242"/>
      <c r="F28" s="172"/>
      <c r="G28" s="172"/>
      <c r="H28" s="508"/>
      <c r="I28" s="508"/>
      <c r="J28" s="508"/>
      <c r="K28" s="508"/>
      <c r="L28" s="508"/>
      <c r="M28" s="508"/>
      <c r="N28" s="508"/>
      <c r="O28" s="508"/>
      <c r="P28" s="425">
        <f t="shared" si="0"/>
        <v>0</v>
      </c>
      <c r="Q28" s="435">
        <f t="shared" si="1"/>
        <v>0</v>
      </c>
      <c r="S28" s="432"/>
      <c r="T28" s="2"/>
      <c r="U28" s="2"/>
      <c r="V28" s="423"/>
    </row>
    <row r="29" spans="1:22" ht="15.75">
      <c r="A29" s="447">
        <v>7</v>
      </c>
      <c r="B29" s="240" t="s">
        <v>732</v>
      </c>
      <c r="C29" s="172"/>
      <c r="D29" s="172"/>
      <c r="E29" s="242"/>
      <c r="F29" s="172"/>
      <c r="G29" s="172"/>
      <c r="H29" s="508"/>
      <c r="I29" s="508"/>
      <c r="J29" s="508"/>
      <c r="K29" s="508"/>
      <c r="L29" s="508"/>
      <c r="M29" s="508"/>
      <c r="N29" s="508"/>
      <c r="O29" s="508"/>
      <c r="P29" s="425">
        <f t="shared" si="0"/>
        <v>0</v>
      </c>
      <c r="Q29" s="435">
        <f t="shared" si="1"/>
        <v>0</v>
      </c>
      <c r="S29" s="432"/>
      <c r="T29" s="2"/>
      <c r="U29" s="2"/>
      <c r="V29" s="423"/>
    </row>
    <row r="30" spans="1:22" ht="31.5">
      <c r="A30" s="447">
        <v>8</v>
      </c>
      <c r="B30" s="509" t="s">
        <v>733</v>
      </c>
      <c r="C30" s="172">
        <v>375000</v>
      </c>
      <c r="D30" s="172">
        <f>+C30</f>
        <v>375000</v>
      </c>
      <c r="E30" s="242"/>
      <c r="F30" s="172"/>
      <c r="G30" s="172"/>
      <c r="H30" s="508"/>
      <c r="I30" s="508"/>
      <c r="J30" s="508"/>
      <c r="K30" s="508"/>
      <c r="L30" s="508"/>
      <c r="M30" s="508"/>
      <c r="N30" s="508"/>
      <c r="O30" s="508"/>
      <c r="P30" s="425">
        <f t="shared" si="0"/>
        <v>375000</v>
      </c>
      <c r="Q30" s="435">
        <f t="shared" si="1"/>
        <v>0</v>
      </c>
      <c r="S30" s="432"/>
      <c r="T30" s="2"/>
      <c r="U30" s="2"/>
      <c r="V30" s="423"/>
    </row>
    <row r="31" spans="1:22" ht="31.5">
      <c r="A31" s="447">
        <v>9</v>
      </c>
      <c r="B31" s="450" t="s">
        <v>734</v>
      </c>
      <c r="C31" s="172">
        <v>180000</v>
      </c>
      <c r="D31" s="172">
        <f>+C31</f>
        <v>180000</v>
      </c>
      <c r="E31" s="242"/>
      <c r="F31" s="172"/>
      <c r="G31" s="172"/>
      <c r="H31" s="508"/>
      <c r="I31" s="508"/>
      <c r="J31" s="508"/>
      <c r="K31" s="508"/>
      <c r="L31" s="508"/>
      <c r="M31" s="508"/>
      <c r="N31" s="508"/>
      <c r="O31" s="508"/>
      <c r="P31" s="425">
        <f t="shared" si="0"/>
        <v>180000</v>
      </c>
      <c r="Q31" s="435">
        <f t="shared" si="1"/>
        <v>0</v>
      </c>
      <c r="S31" s="432"/>
      <c r="T31" s="2"/>
      <c r="U31" s="2"/>
      <c r="V31" s="423"/>
    </row>
    <row r="32" spans="1:22" ht="47.25">
      <c r="A32" s="447">
        <v>10</v>
      </c>
      <c r="B32" s="450" t="s">
        <v>763</v>
      </c>
      <c r="C32" s="172">
        <v>400000</v>
      </c>
      <c r="D32" s="172">
        <f>+C32</f>
        <v>400000</v>
      </c>
      <c r="E32" s="242"/>
      <c r="F32" s="172"/>
      <c r="G32" s="172"/>
      <c r="H32" s="508"/>
      <c r="I32" s="508"/>
      <c r="J32" s="508"/>
      <c r="K32" s="508"/>
      <c r="L32" s="508"/>
      <c r="M32" s="508"/>
      <c r="N32" s="508"/>
      <c r="O32" s="508"/>
      <c r="P32" s="425">
        <f t="shared" si="0"/>
        <v>400000</v>
      </c>
      <c r="Q32" s="435">
        <f t="shared" si="1"/>
        <v>0</v>
      </c>
      <c r="S32" s="432"/>
      <c r="T32" s="2"/>
      <c r="U32" s="2"/>
      <c r="V32" s="423"/>
    </row>
    <row r="33" spans="1:22" ht="47.25">
      <c r="A33" s="447">
        <v>11</v>
      </c>
      <c r="B33" s="450" t="s">
        <v>762</v>
      </c>
      <c r="C33" s="172"/>
      <c r="D33" s="172"/>
      <c r="E33" s="172"/>
      <c r="F33" s="172"/>
      <c r="G33" s="172"/>
      <c r="H33" s="508"/>
      <c r="I33" s="508"/>
      <c r="J33" s="508"/>
      <c r="K33" s="508"/>
      <c r="L33" s="508"/>
      <c r="M33" s="508"/>
      <c r="N33" s="508"/>
      <c r="O33" s="508"/>
      <c r="P33" s="425">
        <f t="shared" si="0"/>
        <v>0</v>
      </c>
      <c r="Q33" s="435">
        <f t="shared" si="1"/>
        <v>0</v>
      </c>
      <c r="S33" s="432"/>
      <c r="T33" s="2"/>
      <c r="U33" s="2"/>
      <c r="V33" s="423"/>
    </row>
    <row r="34" spans="1:22" ht="47.25">
      <c r="A34" s="447">
        <v>12</v>
      </c>
      <c r="B34" s="450" t="s">
        <v>761</v>
      </c>
      <c r="C34" s="172"/>
      <c r="D34" s="172"/>
      <c r="E34" s="172"/>
      <c r="F34" s="172"/>
      <c r="G34" s="172"/>
      <c r="H34" s="508"/>
      <c r="I34" s="508"/>
      <c r="J34" s="508"/>
      <c r="K34" s="508"/>
      <c r="L34" s="508"/>
      <c r="M34" s="508"/>
      <c r="N34" s="508"/>
      <c r="O34" s="508"/>
      <c r="P34" s="425">
        <f t="shared" si="0"/>
        <v>0</v>
      </c>
      <c r="Q34" s="435">
        <f t="shared" si="1"/>
        <v>0</v>
      </c>
      <c r="S34" s="432"/>
      <c r="T34" s="2"/>
      <c r="U34" s="2"/>
      <c r="V34" s="423"/>
    </row>
    <row r="35" spans="1:22">
      <c r="A35" s="447"/>
      <c r="B35" s="232"/>
      <c r="C35" s="441"/>
      <c r="D35" s="172"/>
      <c r="E35" s="172"/>
      <c r="F35" s="172"/>
      <c r="G35" s="172"/>
      <c r="H35" s="508"/>
      <c r="I35" s="508"/>
      <c r="J35" s="508"/>
      <c r="K35" s="508"/>
      <c r="L35" s="508"/>
      <c r="M35" s="508"/>
      <c r="N35" s="508"/>
      <c r="O35" s="508"/>
      <c r="P35" s="425">
        <f t="shared" si="0"/>
        <v>0</v>
      </c>
      <c r="Q35" s="435">
        <f t="shared" si="1"/>
        <v>0</v>
      </c>
      <c r="S35" s="432"/>
      <c r="T35" s="2"/>
      <c r="U35" s="2"/>
      <c r="V35" s="423"/>
    </row>
    <row r="36" spans="1:22">
      <c r="A36" s="447"/>
      <c r="B36" s="446" t="s">
        <v>573</v>
      </c>
      <c r="C36" s="172"/>
      <c r="D36" s="172"/>
      <c r="E36" s="172"/>
      <c r="F36" s="172"/>
      <c r="G36" s="172"/>
      <c r="H36" s="508"/>
      <c r="I36" s="508"/>
      <c r="J36" s="508"/>
      <c r="K36" s="508"/>
      <c r="L36" s="508"/>
      <c r="M36" s="508"/>
      <c r="N36" s="508"/>
      <c r="O36" s="508"/>
      <c r="P36" s="425">
        <f t="shared" si="0"/>
        <v>0</v>
      </c>
      <c r="Q36" s="435">
        <f t="shared" si="1"/>
        <v>0</v>
      </c>
      <c r="S36" s="432"/>
      <c r="T36" s="2"/>
      <c r="U36" s="2"/>
      <c r="V36" s="423"/>
    </row>
    <row r="37" spans="1:22" ht="47.25">
      <c r="A37" s="447">
        <v>1</v>
      </c>
      <c r="B37" s="450" t="s">
        <v>760</v>
      </c>
      <c r="C37" s="172">
        <v>600000</v>
      </c>
      <c r="D37" s="172">
        <f>+C37</f>
        <v>600000</v>
      </c>
      <c r="E37" s="172"/>
      <c r="F37" s="172"/>
      <c r="G37" s="172"/>
      <c r="H37" s="508"/>
      <c r="I37" s="508"/>
      <c r="J37" s="508"/>
      <c r="K37" s="508"/>
      <c r="L37" s="508"/>
      <c r="M37" s="508"/>
      <c r="N37" s="508"/>
      <c r="O37" s="508"/>
      <c r="P37" s="425">
        <f t="shared" si="0"/>
        <v>600000</v>
      </c>
      <c r="Q37" s="435">
        <f t="shared" si="1"/>
        <v>0</v>
      </c>
      <c r="S37" s="432"/>
      <c r="T37" s="2"/>
      <c r="U37" s="2"/>
      <c r="V37" s="423"/>
    </row>
    <row r="38" spans="1:22" ht="47.25">
      <c r="A38" s="447">
        <v>2</v>
      </c>
      <c r="B38" s="450" t="s">
        <v>737</v>
      </c>
      <c r="C38" s="172">
        <v>200000</v>
      </c>
      <c r="D38" s="172">
        <f>+C38</f>
        <v>200000</v>
      </c>
      <c r="E38" s="172"/>
      <c r="F38" s="172"/>
      <c r="G38" s="172"/>
      <c r="H38" s="508"/>
      <c r="I38" s="508"/>
      <c r="J38" s="508"/>
      <c r="K38" s="508"/>
      <c r="L38" s="508"/>
      <c r="M38" s="508"/>
      <c r="N38" s="508"/>
      <c r="O38" s="508"/>
      <c r="P38" s="425">
        <f t="shared" si="0"/>
        <v>200000</v>
      </c>
      <c r="Q38" s="435">
        <f t="shared" si="1"/>
        <v>0</v>
      </c>
      <c r="S38" s="432"/>
      <c r="T38" s="2"/>
      <c r="U38" s="2"/>
      <c r="V38" s="423"/>
    </row>
    <row r="39" spans="1:22" ht="31.5">
      <c r="A39" s="447">
        <v>3</v>
      </c>
      <c r="B39" s="509" t="s">
        <v>738</v>
      </c>
      <c r="C39" s="172">
        <v>670000</v>
      </c>
      <c r="D39" s="172">
        <f>+C39</f>
        <v>670000</v>
      </c>
      <c r="E39" s="172"/>
      <c r="F39" s="172"/>
      <c r="G39" s="172"/>
      <c r="H39" s="508"/>
      <c r="I39" s="508"/>
      <c r="J39" s="508"/>
      <c r="K39" s="508"/>
      <c r="L39" s="508"/>
      <c r="M39" s="508"/>
      <c r="N39" s="508"/>
      <c r="O39" s="508"/>
      <c r="P39" s="425">
        <f t="shared" si="0"/>
        <v>670000</v>
      </c>
      <c r="Q39" s="435">
        <f t="shared" si="1"/>
        <v>0</v>
      </c>
      <c r="S39" s="432"/>
      <c r="T39" s="2"/>
      <c r="U39" s="2"/>
      <c r="V39" s="423"/>
    </row>
    <row r="40" spans="1:22" ht="31.5">
      <c r="A40" s="447">
        <v>4</v>
      </c>
      <c r="B40" s="509" t="s">
        <v>759</v>
      </c>
      <c r="C40" s="172">
        <v>260000</v>
      </c>
      <c r="D40" s="172">
        <f>+C40</f>
        <v>260000</v>
      </c>
      <c r="E40" s="172"/>
      <c r="F40" s="172"/>
      <c r="G40" s="172"/>
      <c r="H40" s="508"/>
      <c r="I40" s="508"/>
      <c r="J40" s="508"/>
      <c r="K40" s="508"/>
      <c r="L40" s="508"/>
      <c r="M40" s="508"/>
      <c r="N40" s="508"/>
      <c r="O40" s="508"/>
      <c r="P40" s="425">
        <f t="shared" si="0"/>
        <v>260000</v>
      </c>
      <c r="Q40" s="435">
        <f t="shared" si="1"/>
        <v>0</v>
      </c>
      <c r="S40" s="432"/>
      <c r="T40" s="2"/>
      <c r="U40" s="2"/>
      <c r="V40" s="423"/>
    </row>
    <row r="41" spans="1:22" ht="31.5">
      <c r="A41" s="447">
        <v>5</v>
      </c>
      <c r="B41" s="509" t="s">
        <v>726</v>
      </c>
      <c r="C41" s="172"/>
      <c r="D41" s="172"/>
      <c r="E41" s="172"/>
      <c r="F41" s="172"/>
      <c r="G41" s="172"/>
      <c r="H41" s="508"/>
      <c r="I41" s="508"/>
      <c r="J41" s="508"/>
      <c r="K41" s="508"/>
      <c r="L41" s="508"/>
      <c r="M41" s="508"/>
      <c r="N41" s="508"/>
      <c r="O41" s="508"/>
      <c r="P41" s="425">
        <f t="shared" si="0"/>
        <v>0</v>
      </c>
      <c r="Q41" s="435">
        <f t="shared" si="1"/>
        <v>0</v>
      </c>
      <c r="S41" s="432"/>
      <c r="T41" s="2"/>
      <c r="U41" s="2"/>
      <c r="V41" s="423"/>
    </row>
    <row r="42" spans="1:22" ht="31.5">
      <c r="A42" s="447">
        <v>6</v>
      </c>
      <c r="B42" s="509" t="s">
        <v>735</v>
      </c>
      <c r="C42" s="172"/>
      <c r="D42" s="172"/>
      <c r="E42" s="172"/>
      <c r="F42" s="172"/>
      <c r="G42" s="172"/>
      <c r="H42" s="508"/>
      <c r="I42" s="508"/>
      <c r="J42" s="508"/>
      <c r="K42" s="508"/>
      <c r="L42" s="508"/>
      <c r="M42" s="508"/>
      <c r="N42" s="508"/>
      <c r="O42" s="508"/>
      <c r="P42" s="425">
        <f t="shared" si="0"/>
        <v>0</v>
      </c>
      <c r="Q42" s="435">
        <f t="shared" ref="Q42:Q61" si="2">+P42-C42</f>
        <v>0</v>
      </c>
      <c r="S42" s="432"/>
      <c r="T42" s="2"/>
      <c r="U42" s="2"/>
      <c r="V42" s="423"/>
    </row>
    <row r="43" spans="1:22" ht="31.5">
      <c r="A43" s="447">
        <v>7</v>
      </c>
      <c r="B43" s="509" t="s">
        <v>736</v>
      </c>
      <c r="C43" s="172"/>
      <c r="D43" s="172"/>
      <c r="E43" s="172"/>
      <c r="F43" s="172"/>
      <c r="G43" s="172"/>
      <c r="H43" s="508"/>
      <c r="I43" s="508"/>
      <c r="J43" s="508"/>
      <c r="K43" s="508"/>
      <c r="L43" s="508"/>
      <c r="M43" s="508"/>
      <c r="N43" s="508"/>
      <c r="O43" s="508"/>
      <c r="P43" s="425">
        <f t="shared" si="0"/>
        <v>0</v>
      </c>
      <c r="Q43" s="435">
        <f t="shared" si="2"/>
        <v>0</v>
      </c>
      <c r="S43" s="432"/>
      <c r="T43" s="2"/>
      <c r="U43" s="2"/>
      <c r="V43" s="423"/>
    </row>
    <row r="44" spans="1:22">
      <c r="A44" s="447"/>
      <c r="B44" s="232"/>
      <c r="C44" s="441"/>
      <c r="D44" s="172"/>
      <c r="E44" s="172"/>
      <c r="F44" s="172"/>
      <c r="G44" s="172"/>
      <c r="H44" s="508"/>
      <c r="I44" s="508"/>
      <c r="J44" s="508"/>
      <c r="K44" s="508"/>
      <c r="L44" s="508"/>
      <c r="M44" s="508"/>
      <c r="N44" s="508"/>
      <c r="O44" s="508"/>
      <c r="P44" s="425">
        <f t="shared" si="0"/>
        <v>0</v>
      </c>
      <c r="Q44" s="435">
        <f t="shared" si="2"/>
        <v>0</v>
      </c>
      <c r="S44" s="432"/>
      <c r="T44" s="2"/>
      <c r="U44" s="2"/>
      <c r="V44" s="423"/>
    </row>
    <row r="45" spans="1:22">
      <c r="A45" s="447"/>
      <c r="B45" s="446" t="s">
        <v>576</v>
      </c>
      <c r="C45" s="172"/>
      <c r="D45" s="172"/>
      <c r="E45" s="172"/>
      <c r="F45" s="172"/>
      <c r="G45" s="172"/>
      <c r="H45" s="508"/>
      <c r="I45" s="508"/>
      <c r="J45" s="508"/>
      <c r="K45" s="508"/>
      <c r="L45" s="508"/>
      <c r="M45" s="508"/>
      <c r="N45" s="508"/>
      <c r="O45" s="508"/>
      <c r="P45" s="425">
        <f t="shared" si="0"/>
        <v>0</v>
      </c>
      <c r="Q45" s="435">
        <f t="shared" si="2"/>
        <v>0</v>
      </c>
      <c r="S45" s="432"/>
      <c r="T45" s="2"/>
      <c r="U45" s="2"/>
      <c r="V45" s="423"/>
    </row>
    <row r="46" spans="1:22" ht="31.5">
      <c r="A46" s="447">
        <v>1</v>
      </c>
      <c r="B46" s="450" t="s">
        <v>758</v>
      </c>
      <c r="C46" s="172">
        <v>500000</v>
      </c>
      <c r="D46" s="172">
        <f>+C46</f>
        <v>500000</v>
      </c>
      <c r="E46" s="172"/>
      <c r="F46" s="172"/>
      <c r="G46" s="172"/>
      <c r="H46" s="508"/>
      <c r="I46" s="508"/>
      <c r="J46" s="508"/>
      <c r="K46" s="508"/>
      <c r="L46" s="508"/>
      <c r="M46" s="508"/>
      <c r="N46" s="508"/>
      <c r="O46" s="508"/>
      <c r="P46" s="425">
        <f t="shared" si="0"/>
        <v>500000</v>
      </c>
      <c r="Q46" s="435">
        <f t="shared" si="2"/>
        <v>0</v>
      </c>
      <c r="S46" s="432"/>
      <c r="T46" s="2"/>
      <c r="U46" s="2"/>
      <c r="V46" s="423"/>
    </row>
    <row r="47" spans="1:22" ht="31.5">
      <c r="A47" s="447">
        <v>2</v>
      </c>
      <c r="B47" s="450" t="s">
        <v>739</v>
      </c>
      <c r="C47" s="172">
        <v>55000000</v>
      </c>
      <c r="D47" s="172"/>
      <c r="E47" s="172"/>
      <c r="F47" s="172"/>
      <c r="G47" s="172"/>
      <c r="H47" s="508"/>
      <c r="I47" s="508"/>
      <c r="J47" s="508"/>
      <c r="K47" s="508"/>
      <c r="L47" s="508">
        <v>55000000</v>
      </c>
      <c r="M47" s="508"/>
      <c r="N47" s="508"/>
      <c r="O47" s="508"/>
      <c r="P47" s="425">
        <f t="shared" si="0"/>
        <v>55000000</v>
      </c>
      <c r="Q47" s="435">
        <f t="shared" si="2"/>
        <v>0</v>
      </c>
      <c r="S47" s="432"/>
      <c r="T47" s="2"/>
      <c r="U47" s="2"/>
      <c r="V47" s="423"/>
    </row>
    <row r="48" spans="1:22" ht="31.5">
      <c r="A48" s="447">
        <v>3</v>
      </c>
      <c r="B48" s="509" t="s">
        <v>740</v>
      </c>
      <c r="C48" s="172">
        <v>195000000</v>
      </c>
      <c r="D48" s="172"/>
      <c r="E48" s="172"/>
      <c r="F48" s="172"/>
      <c r="G48" s="172"/>
      <c r="H48" s="508"/>
      <c r="I48" s="508"/>
      <c r="J48" s="508"/>
      <c r="K48" s="508"/>
      <c r="L48" s="508">
        <v>195000000</v>
      </c>
      <c r="M48" s="508"/>
      <c r="N48" s="508"/>
      <c r="O48" s="508"/>
      <c r="P48" s="425">
        <f t="shared" si="0"/>
        <v>195000000</v>
      </c>
      <c r="Q48" s="435">
        <f t="shared" si="2"/>
        <v>0</v>
      </c>
      <c r="S48" s="432"/>
      <c r="T48" s="2"/>
      <c r="U48" s="2"/>
      <c r="V48" s="423"/>
    </row>
    <row r="49" spans="1:22" ht="47.25">
      <c r="A49" s="447">
        <v>4</v>
      </c>
      <c r="B49" s="450" t="s">
        <v>741</v>
      </c>
      <c r="C49" s="172">
        <v>195000000</v>
      </c>
      <c r="D49" s="172"/>
      <c r="E49" s="172"/>
      <c r="F49" s="172"/>
      <c r="G49" s="172"/>
      <c r="H49" s="508"/>
      <c r="I49" s="508"/>
      <c r="J49" s="508"/>
      <c r="K49" s="508"/>
      <c r="L49" s="508"/>
      <c r="M49" s="508">
        <v>195000000</v>
      </c>
      <c r="N49" s="508"/>
      <c r="O49" s="508"/>
      <c r="P49" s="425">
        <f t="shared" si="0"/>
        <v>195000000</v>
      </c>
      <c r="Q49" s="435">
        <f t="shared" si="2"/>
        <v>0</v>
      </c>
      <c r="S49" s="432"/>
      <c r="T49" s="2"/>
      <c r="U49" s="2"/>
      <c r="V49" s="423"/>
    </row>
    <row r="50" spans="1:22" ht="31.5">
      <c r="A50" s="447">
        <v>5</v>
      </c>
      <c r="B50" s="509" t="s">
        <v>757</v>
      </c>
      <c r="C50" s="172">
        <v>5000000</v>
      </c>
      <c r="D50" s="172">
        <f>+C50</f>
        <v>5000000</v>
      </c>
      <c r="E50" s="172"/>
      <c r="F50" s="172"/>
      <c r="G50" s="172"/>
      <c r="H50" s="508"/>
      <c r="I50" s="508"/>
      <c r="J50" s="508"/>
      <c r="K50" s="508"/>
      <c r="L50" s="508"/>
      <c r="M50" s="508"/>
      <c r="N50" s="508"/>
      <c r="O50" s="508"/>
      <c r="P50" s="425">
        <f t="shared" si="0"/>
        <v>5000000</v>
      </c>
      <c r="Q50" s="435">
        <f t="shared" si="2"/>
        <v>0</v>
      </c>
      <c r="S50" s="432"/>
      <c r="T50" s="2"/>
      <c r="U50" s="2"/>
      <c r="V50" s="423"/>
    </row>
    <row r="51" spans="1:22" ht="31.5">
      <c r="A51" s="447">
        <v>6</v>
      </c>
      <c r="B51" s="509" t="s">
        <v>756</v>
      </c>
      <c r="C51" s="172">
        <v>250000</v>
      </c>
      <c r="D51" s="172">
        <f t="shared" ref="D51:D53" si="3">+C51</f>
        <v>250000</v>
      </c>
      <c r="E51" s="172"/>
      <c r="F51" s="172"/>
      <c r="G51" s="172"/>
      <c r="H51" s="508"/>
      <c r="I51" s="508"/>
      <c r="J51" s="508"/>
      <c r="K51" s="508"/>
      <c r="L51" s="508"/>
      <c r="M51" s="508"/>
      <c r="N51" s="508"/>
      <c r="O51" s="508"/>
      <c r="P51" s="425">
        <f t="shared" si="0"/>
        <v>250000</v>
      </c>
      <c r="Q51" s="435">
        <f t="shared" si="2"/>
        <v>0</v>
      </c>
      <c r="S51" s="432"/>
      <c r="T51" s="2"/>
      <c r="U51" s="2"/>
      <c r="V51" s="423"/>
    </row>
    <row r="52" spans="1:22" ht="31.5">
      <c r="A52" s="447">
        <v>7</v>
      </c>
      <c r="B52" s="509" t="s">
        <v>753</v>
      </c>
      <c r="C52" s="172">
        <v>500000</v>
      </c>
      <c r="D52" s="172">
        <f t="shared" si="3"/>
        <v>500000</v>
      </c>
      <c r="E52" s="172"/>
      <c r="F52" s="172"/>
      <c r="G52" s="172"/>
      <c r="H52" s="508"/>
      <c r="I52" s="508"/>
      <c r="J52" s="508"/>
      <c r="K52" s="508"/>
      <c r="L52" s="508"/>
      <c r="M52" s="508"/>
      <c r="N52" s="508"/>
      <c r="O52" s="508"/>
      <c r="P52" s="425">
        <f t="shared" si="0"/>
        <v>500000</v>
      </c>
      <c r="Q52" s="435">
        <f t="shared" si="2"/>
        <v>0</v>
      </c>
      <c r="S52" s="432"/>
      <c r="T52" s="2"/>
      <c r="U52" s="2"/>
      <c r="V52" s="423"/>
    </row>
    <row r="53" spans="1:22" ht="15.75">
      <c r="A53" s="447">
        <v>8</v>
      </c>
      <c r="B53" s="240" t="s">
        <v>574</v>
      </c>
      <c r="C53" s="172">
        <v>500000</v>
      </c>
      <c r="D53" s="172">
        <f t="shared" si="3"/>
        <v>500000</v>
      </c>
      <c r="E53" s="172"/>
      <c r="F53" s="172"/>
      <c r="G53" s="172"/>
      <c r="H53" s="508"/>
      <c r="I53" s="508"/>
      <c r="J53" s="508"/>
      <c r="K53" s="508"/>
      <c r="L53" s="508"/>
      <c r="M53" s="508"/>
      <c r="N53" s="508"/>
      <c r="O53" s="508"/>
      <c r="P53" s="425">
        <f t="shared" si="0"/>
        <v>500000</v>
      </c>
      <c r="Q53" s="435">
        <f t="shared" si="2"/>
        <v>0</v>
      </c>
      <c r="S53" s="432"/>
      <c r="T53" s="2"/>
      <c r="U53" s="2"/>
      <c r="V53" s="423"/>
    </row>
    <row r="54" spans="1:22" ht="31.5">
      <c r="A54" s="447">
        <v>9</v>
      </c>
      <c r="B54" s="509" t="s">
        <v>754</v>
      </c>
      <c r="C54" s="172">
        <f>185000*5</f>
        <v>925000</v>
      </c>
      <c r="D54" s="172">
        <f>+C54</f>
        <v>925000</v>
      </c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425">
        <f t="shared" si="0"/>
        <v>925000</v>
      </c>
      <c r="Q54" s="435">
        <f t="shared" si="2"/>
        <v>0</v>
      </c>
      <c r="S54" s="432"/>
      <c r="T54" s="2"/>
      <c r="U54" s="2"/>
      <c r="V54" s="423"/>
    </row>
    <row r="55" spans="1:22" ht="31.5">
      <c r="A55" s="447">
        <v>10</v>
      </c>
      <c r="B55" s="509" t="s">
        <v>742</v>
      </c>
      <c r="C55" s="172">
        <f>3000000000/100</f>
        <v>30000000</v>
      </c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>
        <v>30000000</v>
      </c>
      <c r="O55" s="172"/>
      <c r="P55" s="425">
        <f t="shared" si="0"/>
        <v>30000000</v>
      </c>
      <c r="Q55" s="435">
        <f t="shared" si="2"/>
        <v>0</v>
      </c>
      <c r="S55" s="432"/>
      <c r="T55" s="2"/>
      <c r="U55" s="2"/>
      <c r="V55" s="423"/>
    </row>
    <row r="56" spans="1:22" ht="15.75">
      <c r="A56" s="447">
        <v>11</v>
      </c>
      <c r="B56" s="240" t="s">
        <v>575</v>
      </c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425">
        <f t="shared" si="0"/>
        <v>0</v>
      </c>
      <c r="Q56" s="435">
        <f t="shared" si="2"/>
        <v>0</v>
      </c>
      <c r="S56" s="432"/>
      <c r="T56" s="2"/>
      <c r="U56" s="2"/>
      <c r="V56" s="423"/>
    </row>
    <row r="57" spans="1:22" s="430" customFormat="1" ht="31.5">
      <c r="A57" s="447">
        <v>12</v>
      </c>
      <c r="B57" s="509" t="s">
        <v>743</v>
      </c>
      <c r="C57" s="172">
        <v>149000000</v>
      </c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>
        <v>149000000</v>
      </c>
      <c r="O57" s="172"/>
      <c r="P57" s="425">
        <f t="shared" si="0"/>
        <v>149000000</v>
      </c>
      <c r="Q57" s="435">
        <f t="shared" si="2"/>
        <v>0</v>
      </c>
      <c r="R57" s="436"/>
      <c r="S57" s="433"/>
      <c r="T57" s="428"/>
      <c r="U57" s="428"/>
      <c r="V57" s="429"/>
    </row>
    <row r="58" spans="1:22" ht="31.5">
      <c r="A58" s="447">
        <v>13</v>
      </c>
      <c r="B58" s="509" t="s">
        <v>745</v>
      </c>
      <c r="C58" s="172">
        <f>5000000-2675000-200000-260000</f>
        <v>1865000</v>
      </c>
      <c r="D58" s="172">
        <f>+C58</f>
        <v>1865000</v>
      </c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425">
        <f t="shared" si="0"/>
        <v>1865000</v>
      </c>
      <c r="Q58" s="435">
        <f t="shared" si="2"/>
        <v>0</v>
      </c>
      <c r="S58" s="432"/>
      <c r="T58" s="2"/>
      <c r="U58" s="2"/>
      <c r="V58" s="423"/>
    </row>
    <row r="59" spans="1:22" ht="31.5">
      <c r="A59" s="447">
        <v>14</v>
      </c>
      <c r="B59" s="509" t="s">
        <v>755</v>
      </c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425">
        <f t="shared" si="0"/>
        <v>0</v>
      </c>
      <c r="Q59" s="435">
        <f t="shared" si="2"/>
        <v>0</v>
      </c>
      <c r="S59" s="432"/>
      <c r="T59" s="2"/>
      <c r="U59" s="2"/>
      <c r="V59" s="423"/>
    </row>
    <row r="60" spans="1:22" ht="31.5">
      <c r="A60" s="447">
        <v>15</v>
      </c>
      <c r="B60" s="450" t="s">
        <v>744</v>
      </c>
      <c r="C60" s="172">
        <v>15500000</v>
      </c>
      <c r="D60" s="172">
        <f>+C60</f>
        <v>15500000</v>
      </c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425">
        <f>SUM(D60:O60)</f>
        <v>15500000</v>
      </c>
      <c r="Q60" s="435">
        <f t="shared" si="2"/>
        <v>0</v>
      </c>
      <c r="S60" s="432"/>
      <c r="T60" s="2"/>
      <c r="U60" s="2"/>
      <c r="V60" s="423"/>
    </row>
    <row r="61" spans="1:22">
      <c r="A61" s="448"/>
      <c r="B61" s="449"/>
      <c r="C61" s="76">
        <f>SUM(C10:C60)</f>
        <v>659000000</v>
      </c>
      <c r="D61" s="510">
        <f t="shared" ref="D61:O61" si="4">SUM(D10:D60)</f>
        <v>35000000</v>
      </c>
      <c r="E61" s="510">
        <f t="shared" si="4"/>
        <v>0</v>
      </c>
      <c r="F61" s="510">
        <f t="shared" si="4"/>
        <v>0</v>
      </c>
      <c r="G61" s="510">
        <f t="shared" si="4"/>
        <v>0</v>
      </c>
      <c r="H61" s="510">
        <f t="shared" si="4"/>
        <v>0</v>
      </c>
      <c r="I61" s="510">
        <f t="shared" si="4"/>
        <v>0</v>
      </c>
      <c r="J61" s="510">
        <f t="shared" si="4"/>
        <v>0</v>
      </c>
      <c r="K61" s="510">
        <f t="shared" si="4"/>
        <v>0</v>
      </c>
      <c r="L61" s="510">
        <f t="shared" si="4"/>
        <v>250000000</v>
      </c>
      <c r="M61" s="510">
        <f t="shared" si="4"/>
        <v>195000000</v>
      </c>
      <c r="N61" s="510">
        <f t="shared" si="4"/>
        <v>179000000</v>
      </c>
      <c r="O61" s="510">
        <f t="shared" si="4"/>
        <v>0</v>
      </c>
      <c r="P61" s="442">
        <f>SUM(P10:P60)</f>
        <v>659000000</v>
      </c>
      <c r="Q61" s="435">
        <f t="shared" si="2"/>
        <v>0</v>
      </c>
      <c r="S61" s="434">
        <f>SUM(S11:S60)</f>
        <v>0</v>
      </c>
      <c r="T61" s="100">
        <f>SUM(T11:T60)</f>
        <v>0</v>
      </c>
      <c r="U61" s="100">
        <f>SUM(U11:U60)</f>
        <v>0</v>
      </c>
      <c r="V61" s="424">
        <f>SUM(V11:V60)</f>
        <v>0</v>
      </c>
    </row>
    <row r="62" spans="1:22">
      <c r="D62" s="129">
        <f>+D98-D61</f>
        <v>225000000</v>
      </c>
      <c r="E62" s="129">
        <f>+E98-E61</f>
        <v>0</v>
      </c>
      <c r="F62" s="129">
        <f>+F98-F61</f>
        <v>250000000</v>
      </c>
      <c r="G62" s="129">
        <f>+G61-'CF 2016'!G117</f>
        <v>-149000000</v>
      </c>
      <c r="P62" s="129">
        <f>+C61-P61</f>
        <v>0</v>
      </c>
      <c r="S62" s="73">
        <f>+S98-S61</f>
        <v>0</v>
      </c>
      <c r="T62" s="73">
        <f>+T98-T61</f>
        <v>0</v>
      </c>
      <c r="U62" s="73">
        <f>+U98-U61</f>
        <v>0</v>
      </c>
      <c r="V62" s="73">
        <f>+V98-V61</f>
        <v>0</v>
      </c>
    </row>
    <row r="94" spans="1:23" ht="15.75">
      <c r="A94" s="543" t="s">
        <v>1</v>
      </c>
      <c r="B94" s="544"/>
      <c r="C94" s="544"/>
      <c r="D94" s="355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565"/>
      <c r="Q94" s="565"/>
      <c r="R94" s="565"/>
      <c r="S94" s="565"/>
      <c r="T94" s="566"/>
      <c r="U94" s="352"/>
      <c r="V94" s="353"/>
      <c r="W94" s="556" t="s">
        <v>235</v>
      </c>
    </row>
    <row r="95" spans="1:23" ht="15.75">
      <c r="A95" s="545"/>
      <c r="B95" s="546"/>
      <c r="C95" s="546"/>
      <c r="D95" s="562" t="s">
        <v>125</v>
      </c>
      <c r="E95" s="563"/>
      <c r="F95" s="563"/>
      <c r="G95" s="563"/>
      <c r="H95" s="501"/>
      <c r="I95" s="501"/>
      <c r="J95" s="501"/>
      <c r="K95" s="501"/>
      <c r="L95" s="501"/>
      <c r="M95" s="501"/>
      <c r="N95" s="501"/>
      <c r="O95" s="501"/>
      <c r="P95" s="567" t="s">
        <v>126</v>
      </c>
      <c r="Q95" s="568"/>
      <c r="R95" s="568"/>
      <c r="S95" s="568"/>
      <c r="T95" s="569"/>
      <c r="U95" s="336"/>
      <c r="V95" s="336"/>
      <c r="W95" s="557"/>
    </row>
    <row r="96" spans="1:23" ht="15.75">
      <c r="A96" s="545"/>
      <c r="B96" s="546"/>
      <c r="C96" s="546"/>
      <c r="D96" s="241" t="s">
        <v>4</v>
      </c>
      <c r="E96" s="241" t="s">
        <v>5</v>
      </c>
      <c r="F96" s="241" t="s">
        <v>6</v>
      </c>
      <c r="G96" s="241" t="s">
        <v>7</v>
      </c>
      <c r="H96" s="241"/>
      <c r="I96" s="241"/>
      <c r="J96" s="241"/>
      <c r="K96" s="241"/>
      <c r="L96" s="241"/>
      <c r="M96" s="241"/>
      <c r="N96" s="241"/>
      <c r="O96" s="241"/>
      <c r="P96" s="241" t="s">
        <v>129</v>
      </c>
      <c r="Q96" s="227"/>
      <c r="R96" s="227"/>
      <c r="S96" s="337" t="s">
        <v>142</v>
      </c>
      <c r="T96" s="241" t="s">
        <v>131</v>
      </c>
      <c r="U96" s="337" t="s">
        <v>132</v>
      </c>
      <c r="V96" s="337" t="s">
        <v>133</v>
      </c>
      <c r="W96" s="557"/>
    </row>
    <row r="98" spans="1:23">
      <c r="A98" s="663" t="s">
        <v>577</v>
      </c>
      <c r="B98" s="663"/>
      <c r="C98" s="663"/>
      <c r="D98" s="129">
        <v>260000000</v>
      </c>
      <c r="F98" s="129">
        <v>250000000</v>
      </c>
      <c r="G98" s="129">
        <v>250000000</v>
      </c>
      <c r="W98" s="73">
        <v>910000000</v>
      </c>
    </row>
    <row r="99" spans="1:23">
      <c r="D99" s="129">
        <f>SUM(D11:D60)</f>
        <v>34800000</v>
      </c>
    </row>
    <row r="100" spans="1:23">
      <c r="B100" s="124" t="str">
        <f>+B57</f>
        <v>CPAP (terdapat di RKA 2017 biaya alkes untuk bangunan baru )</v>
      </c>
      <c r="G100" s="129">
        <f>+G57</f>
        <v>0</v>
      </c>
    </row>
    <row r="101" spans="1:23">
      <c r="B101" s="124" t="s">
        <v>578</v>
      </c>
      <c r="G101" s="129">
        <v>101000000</v>
      </c>
    </row>
    <row r="102" spans="1:23">
      <c r="G102" s="129">
        <f>SUM(G100:G101)</f>
        <v>101000000</v>
      </c>
    </row>
  </sheetData>
  <mergeCells count="10">
    <mergeCell ref="W94:W96"/>
    <mergeCell ref="D95:G95"/>
    <mergeCell ref="P95:T95"/>
    <mergeCell ref="P6:P7"/>
    <mergeCell ref="A98:C98"/>
    <mergeCell ref="B6:B7"/>
    <mergeCell ref="C6:C7"/>
    <mergeCell ref="A94:C96"/>
    <mergeCell ref="P94:T94"/>
    <mergeCell ref="D6:O6"/>
  </mergeCells>
  <pageMargins left="0.23622047244094491" right="0.23622047244094491" top="0.74803149606299213" bottom="0.74803149606299213" header="0.31496062992125984" footer="0.31496062992125984"/>
  <pageSetup paperSize="5" scale="75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FF00"/>
  </sheetPr>
  <dimension ref="A1:CI335"/>
  <sheetViews>
    <sheetView workbookViewId="0">
      <pane xSplit="3" ySplit="8" topLeftCell="P9" activePane="bottomRight" state="frozen"/>
      <selection pane="topRight" activeCell="D1" sqref="D1"/>
      <selection pane="bottomLeft" activeCell="A4" sqref="A4"/>
      <selection pane="bottomRight" activeCell="Q34" sqref="Q34:Q128"/>
    </sheetView>
  </sheetViews>
  <sheetFormatPr defaultRowHeight="15.75"/>
  <cols>
    <col min="1" max="1" width="2" style="262" customWidth="1"/>
    <col min="2" max="2" width="5.7109375" style="262" customWidth="1"/>
    <col min="3" max="3" width="33" style="262" customWidth="1"/>
    <col min="4" max="15" width="15.7109375" style="283" hidden="1" customWidth="1"/>
    <col min="16" max="16" width="17.140625" style="283" customWidth="1"/>
    <col min="17" max="17" width="30.42578125" style="295" customWidth="1"/>
    <col min="18" max="25" width="15.140625" style="295" customWidth="1"/>
    <col min="26" max="49" width="15.140625" style="136" customWidth="1"/>
    <col min="50" max="64" width="15" style="125" customWidth="1"/>
    <col min="65" max="65" width="9.85546875" style="124" customWidth="1"/>
    <col min="66" max="66" width="12.5703125" style="124" bestFit="1" customWidth="1"/>
    <col min="67" max="87" width="9.140625" style="124"/>
  </cols>
  <sheetData>
    <row r="1" spans="1:87">
      <c r="A1" s="237" t="s">
        <v>537</v>
      </c>
      <c r="B1" s="341"/>
      <c r="C1" s="342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95"/>
      <c r="O1" s="295"/>
      <c r="P1" s="295"/>
      <c r="AX1" s="125">
        <f>+O105+'CF 2017'!P105+'CF 2018'!P101+'CF 2019'!P100</f>
        <v>385927752</v>
      </c>
    </row>
    <row r="2" spans="1:87">
      <c r="A2" s="341" t="s">
        <v>226</v>
      </c>
      <c r="B2" s="341"/>
      <c r="C2" s="342"/>
      <c r="D2" s="227"/>
      <c r="E2" s="227"/>
      <c r="F2" s="227"/>
      <c r="G2" s="343"/>
      <c r="H2" s="343"/>
      <c r="I2" s="343">
        <v>2139828425</v>
      </c>
      <c r="J2" s="227"/>
      <c r="K2" s="227"/>
      <c r="L2" s="227"/>
      <c r="M2" s="227"/>
      <c r="N2" s="295"/>
      <c r="O2" s="295"/>
      <c r="P2" s="295"/>
    </row>
    <row r="3" spans="1:87">
      <c r="A3" s="341" t="s">
        <v>228</v>
      </c>
      <c r="B3" s="341"/>
      <c r="C3" s="342"/>
      <c r="D3" s="330"/>
      <c r="E3" s="330"/>
      <c r="F3" s="330"/>
      <c r="G3" s="344"/>
      <c r="H3" s="343">
        <v>339448122</v>
      </c>
      <c r="I3" s="343"/>
      <c r="J3" s="227"/>
      <c r="K3" s="227"/>
      <c r="L3" s="227"/>
      <c r="M3" s="227"/>
      <c r="N3" s="295"/>
      <c r="O3" s="295"/>
      <c r="P3" s="295"/>
      <c r="AY3" s="125">
        <v>339448122</v>
      </c>
    </row>
    <row r="4" spans="1:87">
      <c r="A4" s="342"/>
      <c r="B4" s="342"/>
      <c r="C4" s="342"/>
      <c r="D4" s="227"/>
      <c r="E4" s="227"/>
      <c r="F4" s="227"/>
      <c r="G4" s="343"/>
      <c r="H4" s="343"/>
      <c r="I4" s="343">
        <f>H3/3</f>
        <v>113149374</v>
      </c>
      <c r="J4" s="227"/>
      <c r="K4" s="227"/>
      <c r="L4" s="227"/>
      <c r="M4" s="227"/>
      <c r="N4" s="295"/>
      <c r="O4" s="295"/>
      <c r="P4" s="295"/>
      <c r="AY4" s="125">
        <f>AY3-I4</f>
        <v>226298748</v>
      </c>
    </row>
    <row r="5" spans="1:87">
      <c r="A5" s="342"/>
      <c r="B5" s="342"/>
      <c r="C5" s="342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95"/>
      <c r="O5" s="295"/>
      <c r="P5" s="295"/>
    </row>
    <row r="6" spans="1:87">
      <c r="A6" s="543" t="s">
        <v>1</v>
      </c>
      <c r="B6" s="544"/>
      <c r="C6" s="544"/>
      <c r="D6" s="553" t="s">
        <v>3</v>
      </c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 t="s">
        <v>235</v>
      </c>
      <c r="Q6" s="658" t="s">
        <v>673</v>
      </c>
      <c r="R6" s="328"/>
      <c r="S6" s="328"/>
      <c r="T6" s="328"/>
      <c r="U6" s="328"/>
      <c r="V6" s="328"/>
      <c r="W6" s="328"/>
      <c r="X6" s="328"/>
      <c r="Y6" s="328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78"/>
      <c r="AY6" s="558" t="s">
        <v>235</v>
      </c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</row>
    <row r="7" spans="1:87">
      <c r="A7" s="545"/>
      <c r="B7" s="546"/>
      <c r="C7" s="546"/>
      <c r="D7" s="554" t="s">
        <v>126</v>
      </c>
      <c r="E7" s="554"/>
      <c r="F7" s="554"/>
      <c r="G7" s="554"/>
      <c r="H7" s="554"/>
      <c r="I7" s="554"/>
      <c r="J7" s="554"/>
      <c r="K7" s="554"/>
      <c r="L7" s="554"/>
      <c r="M7" s="554"/>
      <c r="N7" s="554"/>
      <c r="O7" s="554"/>
      <c r="P7" s="554"/>
      <c r="Q7" s="659"/>
      <c r="R7" s="328"/>
      <c r="S7" s="328"/>
      <c r="T7" s="328"/>
      <c r="U7" s="328"/>
      <c r="V7" s="328"/>
      <c r="W7" s="328"/>
      <c r="X7" s="328"/>
      <c r="Y7" s="328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79"/>
      <c r="AY7" s="558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</row>
    <row r="8" spans="1:87">
      <c r="A8" s="545"/>
      <c r="B8" s="546"/>
      <c r="C8" s="546"/>
      <c r="D8" s="241" t="s">
        <v>4</v>
      </c>
      <c r="E8" s="241" t="s">
        <v>5</v>
      </c>
      <c r="F8" s="241" t="s">
        <v>6</v>
      </c>
      <c r="G8" s="241" t="s">
        <v>7</v>
      </c>
      <c r="H8" s="241" t="s">
        <v>8</v>
      </c>
      <c r="I8" s="241" t="s">
        <v>9</v>
      </c>
      <c r="J8" s="241" t="s">
        <v>127</v>
      </c>
      <c r="K8" s="241" t="s">
        <v>129</v>
      </c>
      <c r="L8" s="241" t="s">
        <v>142</v>
      </c>
      <c r="M8" s="241" t="s">
        <v>131</v>
      </c>
      <c r="N8" s="241" t="s">
        <v>132</v>
      </c>
      <c r="O8" s="241" t="s">
        <v>133</v>
      </c>
      <c r="P8" s="554"/>
      <c r="Q8" s="660"/>
      <c r="R8" s="328"/>
      <c r="S8" s="328"/>
      <c r="T8" s="328"/>
      <c r="U8" s="328"/>
      <c r="V8" s="328"/>
      <c r="W8" s="328"/>
      <c r="X8" s="328"/>
      <c r="Y8" s="328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80"/>
      <c r="AY8" s="558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87" hidden="1">
      <c r="A9" s="545" t="s">
        <v>236</v>
      </c>
      <c r="B9" s="546"/>
      <c r="C9" s="546"/>
      <c r="D9" s="241"/>
      <c r="E9" s="241">
        <f>E10-D10</f>
        <v>5.0300000000000011</v>
      </c>
      <c r="F9" s="241">
        <f t="shared" ref="F9:J9" si="0">F10-E10</f>
        <v>3.8399999999999892</v>
      </c>
      <c r="G9" s="241">
        <f t="shared" si="0"/>
        <v>-1.0599999999999881</v>
      </c>
      <c r="H9" s="241">
        <f t="shared" si="0"/>
        <v>-3.1400000000000006</v>
      </c>
      <c r="I9" s="241">
        <f t="shared" si="0"/>
        <v>-10.969999999999999</v>
      </c>
      <c r="J9" s="241">
        <f t="shared" si="0"/>
        <v>1.6699999999999875</v>
      </c>
      <c r="K9" s="239">
        <v>0.04</v>
      </c>
      <c r="L9" s="239">
        <v>0.02</v>
      </c>
      <c r="M9" s="335">
        <f>M10-L10</f>
        <v>2</v>
      </c>
      <c r="N9" s="335">
        <f>N10-M10</f>
        <v>0</v>
      </c>
      <c r="O9" s="239">
        <f t="shared" ref="O9" si="1">O10-N10</f>
        <v>0</v>
      </c>
      <c r="P9" s="239"/>
      <c r="Q9" s="329"/>
      <c r="R9" s="330"/>
      <c r="S9" s="330"/>
      <c r="T9" s="330"/>
      <c r="U9" s="330"/>
      <c r="V9" s="330"/>
      <c r="W9" s="330"/>
      <c r="X9" s="330"/>
      <c r="Y9" s="330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21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87" hidden="1">
      <c r="A10" s="547" t="s">
        <v>134</v>
      </c>
      <c r="B10" s="548"/>
      <c r="C10" s="548"/>
      <c r="D10" s="253">
        <v>80.59</v>
      </c>
      <c r="E10" s="253">
        <v>85.62</v>
      </c>
      <c r="F10" s="253">
        <v>89.46</v>
      </c>
      <c r="G10" s="253">
        <v>88.4</v>
      </c>
      <c r="H10" s="253">
        <v>85.26</v>
      </c>
      <c r="I10" s="253">
        <v>74.290000000000006</v>
      </c>
      <c r="J10" s="253">
        <v>75.959999999999994</v>
      </c>
      <c r="K10" s="241">
        <v>84</v>
      </c>
      <c r="L10" s="241">
        <v>84</v>
      </c>
      <c r="M10" s="241">
        <v>86</v>
      </c>
      <c r="N10" s="241">
        <v>86</v>
      </c>
      <c r="O10" s="241">
        <v>86</v>
      </c>
      <c r="P10" s="241">
        <f>SUM(D10:O10)/12</f>
        <v>83.798333333333332</v>
      </c>
      <c r="Q10" s="331"/>
      <c r="R10" s="227"/>
      <c r="S10" s="227"/>
      <c r="T10" s="227"/>
      <c r="U10" s="227"/>
      <c r="V10" s="227"/>
      <c r="W10" s="227"/>
      <c r="X10" s="227"/>
      <c r="Y10" s="227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87" hidden="1">
      <c r="A11" s="243" t="s">
        <v>10</v>
      </c>
      <c r="B11" s="541" t="s">
        <v>11</v>
      </c>
      <c r="C11" s="541"/>
      <c r="D11" s="241">
        <v>509102793.48072398</v>
      </c>
      <c r="E11" s="241">
        <f>D133</f>
        <v>0</v>
      </c>
      <c r="F11" s="241">
        <f t="shared" ref="F11:O11" si="2">E133</f>
        <v>0</v>
      </c>
      <c r="G11" s="241">
        <f t="shared" si="2"/>
        <v>0</v>
      </c>
      <c r="H11" s="241">
        <f t="shared" si="2"/>
        <v>0</v>
      </c>
      <c r="I11" s="241">
        <f t="shared" si="2"/>
        <v>0</v>
      </c>
      <c r="J11" s="241">
        <f t="shared" si="2"/>
        <v>0</v>
      </c>
      <c r="K11" s="241">
        <f t="shared" si="2"/>
        <v>0</v>
      </c>
      <c r="L11" s="241">
        <f t="shared" si="2"/>
        <v>0</v>
      </c>
      <c r="M11" s="241">
        <f t="shared" si="2"/>
        <v>0</v>
      </c>
      <c r="N11" s="241">
        <f t="shared" si="2"/>
        <v>0</v>
      </c>
      <c r="O11" s="241">
        <f t="shared" si="2"/>
        <v>0</v>
      </c>
      <c r="P11" s="241"/>
      <c r="Q11" s="331"/>
      <c r="R11" s="227"/>
      <c r="S11" s="227"/>
      <c r="T11" s="227"/>
      <c r="U11" s="227"/>
      <c r="V11" s="227"/>
      <c r="W11" s="227"/>
      <c r="X11" s="227"/>
      <c r="Y11" s="227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87" hidden="1">
      <c r="A12" s="243"/>
      <c r="B12" s="462"/>
      <c r="C12" s="462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331"/>
      <c r="R12" s="227"/>
      <c r="S12" s="227"/>
      <c r="T12" s="227"/>
      <c r="U12" s="227"/>
      <c r="V12" s="227"/>
      <c r="W12" s="227"/>
      <c r="X12" s="227"/>
      <c r="Y12" s="227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87" hidden="1">
      <c r="A13" s="243" t="s">
        <v>12</v>
      </c>
      <c r="B13" s="541" t="s">
        <v>159</v>
      </c>
      <c r="C13" s="5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331"/>
      <c r="R13" s="227"/>
      <c r="S13" s="227"/>
      <c r="T13" s="227"/>
      <c r="U13" s="227"/>
      <c r="V13" s="227"/>
      <c r="W13" s="227"/>
      <c r="X13" s="227"/>
      <c r="Y13" s="227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87" hidden="1">
      <c r="A14" s="243"/>
      <c r="B14" s="542" t="s">
        <v>13</v>
      </c>
      <c r="C14" s="542"/>
      <c r="D14" s="241">
        <v>1226236460</v>
      </c>
      <c r="E14" s="241">
        <v>1245072187</v>
      </c>
      <c r="F14" s="241">
        <v>1490172832</v>
      </c>
      <c r="G14" s="241">
        <v>1448111058</v>
      </c>
      <c r="H14" s="241">
        <v>1373836626.6800001</v>
      </c>
      <c r="I14" s="241">
        <f>1268597408-113149374-50000000</f>
        <v>1105448034</v>
      </c>
      <c r="J14" s="241">
        <f>'[2]JULI (2)'!$D$29-'[2]JULI (2)'!$E$818</f>
        <v>1117171061</v>
      </c>
      <c r="K14" s="241">
        <f>J14+(K9*J14%)</f>
        <v>1117617929.4244001</v>
      </c>
      <c r="L14" s="241">
        <f>K14+(L9*K14%)</f>
        <v>1117841453.0102849</v>
      </c>
      <c r="M14" s="241">
        <f t="shared" ref="M14:O14" si="3">L14+(M9*L14%)</f>
        <v>1140198282.0704906</v>
      </c>
      <c r="N14" s="241">
        <f t="shared" si="3"/>
        <v>1140198282.0704906</v>
      </c>
      <c r="O14" s="241">
        <f t="shared" si="3"/>
        <v>1140198282.0704906</v>
      </c>
      <c r="P14" s="241">
        <f>SUM(D14:O14)</f>
        <v>14662102487.326155</v>
      </c>
      <c r="Q14" s="331"/>
      <c r="R14" s="227"/>
      <c r="S14" s="227"/>
      <c r="T14" s="227"/>
      <c r="U14" s="227"/>
      <c r="V14" s="227"/>
      <c r="W14" s="227"/>
      <c r="X14" s="227"/>
      <c r="Y14" s="227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87" hidden="1">
      <c r="A15" s="243"/>
      <c r="B15" s="542" t="s">
        <v>14</v>
      </c>
      <c r="C15" s="542"/>
      <c r="D15" s="241">
        <v>271454599</v>
      </c>
      <c r="E15" s="241">
        <v>325014189</v>
      </c>
      <c r="F15" s="241">
        <v>386263938</v>
      </c>
      <c r="G15" s="241">
        <v>348048968</v>
      </c>
      <c r="H15" s="241">
        <v>305974766</v>
      </c>
      <c r="I15" s="241">
        <v>308201859</v>
      </c>
      <c r="J15" s="241">
        <v>305606319</v>
      </c>
      <c r="K15" s="241">
        <f>J15+(K9*J15%)</f>
        <v>305728561.52759999</v>
      </c>
      <c r="L15" s="241">
        <f>K15+(L9*K15%)</f>
        <v>305789707.23990554</v>
      </c>
      <c r="M15" s="241">
        <f t="shared" ref="M15:O15" si="4">L15+(M9*L15%)</f>
        <v>311905501.38470364</v>
      </c>
      <c r="N15" s="241">
        <f t="shared" si="4"/>
        <v>311905501.38470364</v>
      </c>
      <c r="O15" s="241">
        <f t="shared" si="4"/>
        <v>311905501.38470364</v>
      </c>
      <c r="P15" s="241">
        <f t="shared" ref="P15:P31" si="5">SUM(D15:O15)</f>
        <v>3797799410.9216161</v>
      </c>
      <c r="Q15" s="331"/>
      <c r="R15" s="227"/>
      <c r="S15" s="227"/>
      <c r="T15" s="227"/>
      <c r="U15" s="227"/>
      <c r="V15" s="227"/>
      <c r="W15" s="227"/>
      <c r="X15" s="227"/>
      <c r="Y15" s="227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87" s="182" customFormat="1" hidden="1">
      <c r="A16" s="243"/>
      <c r="B16" s="542" t="str">
        <f>+'CF 2017'!B16:C16</f>
        <v>Pendapatan Alat Jantung</v>
      </c>
      <c r="C16" s="542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>
        <f>10*4000000</f>
        <v>40000000</v>
      </c>
      <c r="O16" s="241">
        <f>N16</f>
        <v>40000000</v>
      </c>
      <c r="P16" s="241">
        <f t="shared" si="5"/>
        <v>80000000</v>
      </c>
      <c r="Q16" s="331"/>
      <c r="R16" s="227"/>
      <c r="S16" s="227"/>
      <c r="T16" s="227"/>
      <c r="U16" s="227"/>
      <c r="V16" s="227"/>
      <c r="W16" s="227"/>
      <c r="X16" s="227"/>
      <c r="Y16" s="227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</row>
    <row r="17" spans="1:64" hidden="1">
      <c r="A17" s="243"/>
      <c r="B17" s="542" t="s">
        <v>233</v>
      </c>
      <c r="C17" s="542"/>
      <c r="D17" s="241">
        <f>1763628016+1684695696</f>
        <v>3448323712</v>
      </c>
      <c r="E17" s="241"/>
      <c r="F17" s="241">
        <f>'[3]MARET (2)'!$E$33</f>
        <v>1810047921</v>
      </c>
      <c r="G17" s="241">
        <f>'[3]APRIL (2)'!$E$24</f>
        <v>1894759925</v>
      </c>
      <c r="H17" s="241">
        <f>'[3]MEI (3)'!$E$19</f>
        <v>2143179750</v>
      </c>
      <c r="I17" s="241">
        <f>'[3]JUNI (2)'!$E$26</f>
        <v>2253989465</v>
      </c>
      <c r="J17" s="241">
        <f>'[3]JULI (2)'!$E$23</f>
        <v>2304494700</v>
      </c>
      <c r="K17" s="241">
        <f>+[3]AGUSTUS!$E$28</f>
        <v>2139828425</v>
      </c>
      <c r="L17" s="241">
        <f>+'[4]2016'!$B$14</f>
        <v>2279816696</v>
      </c>
      <c r="M17" s="241">
        <f>+K211</f>
        <v>2305416497.8800001</v>
      </c>
      <c r="N17" s="241">
        <f t="shared" ref="N17:O17" si="6">+L211</f>
        <v>2305877581.1795759</v>
      </c>
      <c r="O17" s="241">
        <f t="shared" si="6"/>
        <v>2328936356.9913716</v>
      </c>
      <c r="P17" s="241">
        <f t="shared" si="5"/>
        <v>25214671030.050949</v>
      </c>
      <c r="Q17" s="331"/>
      <c r="R17" s="227"/>
      <c r="S17" s="227"/>
      <c r="T17" s="227"/>
      <c r="U17" s="227"/>
      <c r="V17" s="227"/>
      <c r="W17" s="227"/>
      <c r="X17" s="227"/>
      <c r="Y17" s="227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 s="124" customFormat="1" hidden="1">
      <c r="A18" s="243"/>
      <c r="B18" s="542" t="s">
        <v>234</v>
      </c>
      <c r="C18" s="542"/>
      <c r="D18" s="241">
        <f>4016106360.15-D17</f>
        <v>567782648.1500001</v>
      </c>
      <c r="E18" s="241">
        <v>403859135.04000002</v>
      </c>
      <c r="F18" s="241">
        <f>2132298920.05-F17</f>
        <v>322250999.04999995</v>
      </c>
      <c r="G18" s="241">
        <f>2182686860.23-G17</f>
        <v>287926935.23000002</v>
      </c>
      <c r="H18" s="241">
        <f>2497629488-H17</f>
        <v>354449738</v>
      </c>
      <c r="I18" s="241">
        <f>2759703062-I17-165370828</f>
        <v>340342769</v>
      </c>
      <c r="J18" s="241">
        <f>2856362126-J17</f>
        <v>551867426</v>
      </c>
      <c r="K18" s="241">
        <f>I18+(K9*I18%)</f>
        <v>340478906.10759997</v>
      </c>
      <c r="L18" s="241">
        <f>K18+(L9*K18%)</f>
        <v>340547001.88882148</v>
      </c>
      <c r="M18" s="241">
        <f>+L212</f>
        <v>340547001.88882148</v>
      </c>
      <c r="N18" s="241">
        <f t="shared" ref="N18:O18" si="7">+M212</f>
        <v>343952471.90770972</v>
      </c>
      <c r="O18" s="241">
        <f t="shared" si="7"/>
        <v>347391996.62678683</v>
      </c>
      <c r="P18" s="241">
        <f t="shared" si="5"/>
        <v>4541397028.88974</v>
      </c>
      <c r="Q18" s="331"/>
      <c r="R18" s="227"/>
      <c r="S18" s="227"/>
      <c r="T18" s="227"/>
      <c r="U18" s="227"/>
      <c r="V18" s="227"/>
      <c r="W18" s="227"/>
      <c r="X18" s="227"/>
      <c r="Y18" s="227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 s="124" customFormat="1" hidden="1">
      <c r="A19" s="243"/>
      <c r="B19" s="542" t="s">
        <v>299</v>
      </c>
      <c r="C19" s="542"/>
      <c r="D19" s="241"/>
      <c r="E19" s="241"/>
      <c r="F19" s="241"/>
      <c r="G19" s="241"/>
      <c r="H19" s="241"/>
      <c r="I19" s="241"/>
      <c r="J19" s="241"/>
      <c r="K19" s="241"/>
      <c r="L19" s="241">
        <v>1000000000</v>
      </c>
      <c r="M19" s="241">
        <v>3000000000</v>
      </c>
      <c r="N19" s="241">
        <v>4000000000</v>
      </c>
      <c r="O19" s="241"/>
      <c r="P19" s="241">
        <f t="shared" si="5"/>
        <v>8000000000</v>
      </c>
      <c r="Q19" s="331"/>
      <c r="R19" s="227"/>
      <c r="S19" s="227"/>
      <c r="T19" s="227"/>
      <c r="U19" s="227"/>
      <c r="V19" s="227"/>
      <c r="W19" s="227"/>
      <c r="X19" s="227"/>
      <c r="Y19" s="227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80"/>
      <c r="AY19" s="80">
        <v>8000000000</v>
      </c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 s="124" customFormat="1" ht="15.75" hidden="1" customHeight="1">
      <c r="A20" s="243"/>
      <c r="B20" s="542" t="s">
        <v>15</v>
      </c>
      <c r="C20" s="542"/>
      <c r="D20" s="241"/>
      <c r="E20" s="241"/>
      <c r="F20" s="241"/>
      <c r="G20" s="241">
        <v>10000000</v>
      </c>
      <c r="H20" s="241"/>
      <c r="I20" s="241"/>
      <c r="J20" s="241"/>
      <c r="K20" s="241"/>
      <c r="L20" s="241"/>
      <c r="M20" s="241"/>
      <c r="N20" s="241"/>
      <c r="O20" s="241"/>
      <c r="P20" s="241">
        <f t="shared" si="5"/>
        <v>10000000</v>
      </c>
      <c r="Q20" s="331"/>
      <c r="R20" s="227"/>
      <c r="S20" s="227"/>
      <c r="T20" s="227"/>
      <c r="U20" s="227"/>
      <c r="V20" s="227"/>
      <c r="W20" s="227"/>
      <c r="X20" s="227"/>
      <c r="Y20" s="227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 s="124" customFormat="1" hidden="1">
      <c r="A21" s="243"/>
      <c r="B21" s="542" t="s">
        <v>555</v>
      </c>
      <c r="C21" s="542"/>
      <c r="D21" s="241"/>
      <c r="E21" s="241"/>
      <c r="F21" s="241"/>
      <c r="G21" s="241"/>
      <c r="H21" s="241">
        <v>20250000</v>
      </c>
      <c r="I21" s="241"/>
      <c r="J21" s="241"/>
      <c r="K21" s="241"/>
      <c r="L21" s="241"/>
      <c r="M21" s="241"/>
      <c r="N21" s="241"/>
      <c r="O21" s="241"/>
      <c r="P21" s="241">
        <f t="shared" si="5"/>
        <v>20250000</v>
      </c>
      <c r="Q21" s="331"/>
      <c r="R21" s="227"/>
      <c r="S21" s="227"/>
      <c r="T21" s="227"/>
      <c r="U21" s="227"/>
      <c r="V21" s="227"/>
      <c r="W21" s="227"/>
      <c r="X21" s="227"/>
      <c r="Y21" s="227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 s="124" customFormat="1" hidden="1">
      <c r="A22" s="243"/>
      <c r="B22" s="542" t="s">
        <v>300</v>
      </c>
      <c r="C22" s="542"/>
      <c r="D22" s="241">
        <v>25313806</v>
      </c>
      <c r="E22" s="241"/>
      <c r="F22" s="241">
        <v>8335066</v>
      </c>
      <c r="G22" s="241"/>
      <c r="H22" s="241"/>
      <c r="I22" s="241">
        <v>35674833</v>
      </c>
      <c r="J22" s="241"/>
      <c r="K22" s="241"/>
      <c r="L22" s="241"/>
      <c r="M22" s="241"/>
      <c r="N22" s="241"/>
      <c r="O22" s="241"/>
      <c r="P22" s="241">
        <f t="shared" si="5"/>
        <v>69323705</v>
      </c>
      <c r="Q22" s="331"/>
      <c r="R22" s="227"/>
      <c r="S22" s="227"/>
      <c r="T22" s="227"/>
      <c r="U22" s="227"/>
      <c r="V22" s="227"/>
      <c r="W22" s="227"/>
      <c r="X22" s="227"/>
      <c r="Y22" s="227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 s="124" customFormat="1" hidden="1">
      <c r="A23" s="243"/>
      <c r="B23" s="542" t="s">
        <v>17</v>
      </c>
      <c r="C23" s="542"/>
      <c r="D23" s="241"/>
      <c r="E23" s="241"/>
      <c r="F23" s="241"/>
      <c r="G23" s="241"/>
      <c r="H23" s="241"/>
      <c r="I23" s="241">
        <v>5000000</v>
      </c>
      <c r="J23" s="241">
        <v>12000000</v>
      </c>
      <c r="K23" s="241"/>
      <c r="L23" s="241"/>
      <c r="M23" s="241"/>
      <c r="N23" s="241"/>
      <c r="O23" s="241"/>
      <c r="P23" s="241">
        <f t="shared" si="5"/>
        <v>17000000</v>
      </c>
      <c r="Q23" s="331"/>
      <c r="R23" s="227"/>
      <c r="S23" s="227"/>
      <c r="T23" s="227"/>
      <c r="U23" s="227"/>
      <c r="V23" s="227"/>
      <c r="W23" s="227"/>
      <c r="X23" s="227"/>
      <c r="Y23" s="227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 s="124" customFormat="1" hidden="1">
      <c r="A24" s="243"/>
      <c r="B24" s="542" t="s">
        <v>18</v>
      </c>
      <c r="C24" s="542"/>
      <c r="D24" s="241">
        <v>26000000</v>
      </c>
      <c r="E24" s="241"/>
      <c r="F24" s="241">
        <v>12000000</v>
      </c>
      <c r="G24" s="241"/>
      <c r="H24" s="241"/>
      <c r="I24" s="241"/>
      <c r="J24" s="241"/>
      <c r="K24" s="241"/>
      <c r="L24" s="241"/>
      <c r="M24" s="241"/>
      <c r="N24" s="241"/>
      <c r="O24" s="241"/>
      <c r="P24" s="241">
        <f t="shared" si="5"/>
        <v>38000000</v>
      </c>
      <c r="Q24" s="331"/>
      <c r="R24" s="227"/>
      <c r="S24" s="227"/>
      <c r="T24" s="227"/>
      <c r="U24" s="227"/>
      <c r="V24" s="227"/>
      <c r="W24" s="227"/>
      <c r="X24" s="227"/>
      <c r="Y24" s="227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 s="124" customFormat="1" hidden="1">
      <c r="A25" s="243"/>
      <c r="B25" s="542" t="s">
        <v>219</v>
      </c>
      <c r="C25" s="542"/>
      <c r="D25" s="241">
        <v>119817100</v>
      </c>
      <c r="E25" s="241">
        <v>113985608</v>
      </c>
      <c r="F25" s="241">
        <v>131553548</v>
      </c>
      <c r="G25" s="241">
        <v>221390411</v>
      </c>
      <c r="H25" s="241">
        <v>272052525</v>
      </c>
      <c r="I25" s="241">
        <v>287442928</v>
      </c>
      <c r="J25" s="241">
        <v>291178944</v>
      </c>
      <c r="K25" s="241">
        <v>242296141</v>
      </c>
      <c r="L25" s="241">
        <f>K25+(K25*K9)</f>
        <v>251987986.63999999</v>
      </c>
      <c r="M25" s="241">
        <f>L25+(L25*L9)</f>
        <v>257027746.37279999</v>
      </c>
      <c r="N25" s="241">
        <f>M25+(M25*M9%)</f>
        <v>262168301.30025598</v>
      </c>
      <c r="O25" s="241">
        <f>N25+(N25*N9%)</f>
        <v>262168301.30025598</v>
      </c>
      <c r="P25" s="241">
        <f t="shared" si="5"/>
        <v>2713069540.6133113</v>
      </c>
      <c r="Q25" s="331"/>
      <c r="R25" s="227"/>
      <c r="S25" s="227"/>
      <c r="T25" s="227"/>
      <c r="U25" s="227"/>
      <c r="V25" s="227"/>
      <c r="W25" s="227"/>
      <c r="X25" s="227"/>
      <c r="Y25" s="227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 s="124" customFormat="1" hidden="1">
      <c r="A26" s="243"/>
      <c r="B26" s="542" t="s">
        <v>220</v>
      </c>
      <c r="C26" s="542"/>
      <c r="D26" s="241">
        <v>1083726.8500000001</v>
      </c>
      <c r="E26" s="241">
        <v>766658.9</v>
      </c>
      <c r="F26" s="241">
        <v>984887</v>
      </c>
      <c r="G26" s="241">
        <v>915692</v>
      </c>
      <c r="H26" s="241"/>
      <c r="I26" s="241"/>
      <c r="J26" s="241"/>
      <c r="K26" s="241"/>
      <c r="L26" s="241"/>
      <c r="M26" s="241"/>
      <c r="N26" s="241"/>
      <c r="O26" s="241"/>
      <c r="P26" s="241">
        <f t="shared" si="5"/>
        <v>3750964.75</v>
      </c>
      <c r="Q26" s="331"/>
      <c r="R26" s="227"/>
      <c r="S26" s="227"/>
      <c r="T26" s="227"/>
      <c r="U26" s="227"/>
      <c r="V26" s="227"/>
      <c r="W26" s="227"/>
      <c r="X26" s="227"/>
      <c r="Y26" s="227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 s="124" customFormat="1" hidden="1">
      <c r="A27" s="243"/>
      <c r="B27" s="541" t="s">
        <v>216</v>
      </c>
      <c r="C27" s="541"/>
      <c r="D27" s="245">
        <f>SUM(D14:D26)</f>
        <v>5686012052</v>
      </c>
      <c r="E27" s="245">
        <f t="shared" ref="E27:O27" si="8">SUM(E14:E26)</f>
        <v>2088697777.9400001</v>
      </c>
      <c r="F27" s="245">
        <f t="shared" si="8"/>
        <v>4161609191.0500002</v>
      </c>
      <c r="G27" s="245">
        <f t="shared" si="8"/>
        <v>4211152989.23</v>
      </c>
      <c r="H27" s="245">
        <f t="shared" si="8"/>
        <v>4469743405.6800003</v>
      </c>
      <c r="I27" s="245">
        <f t="shared" si="8"/>
        <v>4336099888</v>
      </c>
      <c r="J27" s="245">
        <f t="shared" si="8"/>
        <v>4582318450</v>
      </c>
      <c r="K27" s="245">
        <f t="shared" si="8"/>
        <v>4145949963.0595999</v>
      </c>
      <c r="L27" s="245">
        <f t="shared" si="8"/>
        <v>5295982844.7790127</v>
      </c>
      <c r="M27" s="245">
        <f t="shared" si="8"/>
        <v>7355095029.5968161</v>
      </c>
      <c r="N27" s="245">
        <f t="shared" si="8"/>
        <v>8404102137.8427362</v>
      </c>
      <c r="O27" s="245">
        <f t="shared" si="8"/>
        <v>4430600438.3736086</v>
      </c>
      <c r="P27" s="245">
        <f t="shared" si="5"/>
        <v>59167364167.551781</v>
      </c>
      <c r="Q27" s="332"/>
      <c r="R27" s="333"/>
      <c r="S27" s="333"/>
      <c r="T27" s="333"/>
      <c r="U27" s="333"/>
      <c r="V27" s="333"/>
      <c r="W27" s="333"/>
      <c r="X27" s="333"/>
      <c r="Y27" s="33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82">
        <f>+'[5]CF 2016'!$P$25</f>
        <v>51283899227.304123</v>
      </c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</row>
    <row r="28" spans="1:64" s="124" customFormat="1" hidden="1">
      <c r="A28" s="243"/>
      <c r="B28" s="460"/>
      <c r="C28" s="460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5"/>
      <c r="P28" s="245">
        <f t="shared" si="5"/>
        <v>0</v>
      </c>
      <c r="Q28" s="332"/>
      <c r="R28" s="333"/>
      <c r="S28" s="333"/>
      <c r="T28" s="333"/>
      <c r="U28" s="333"/>
      <c r="V28" s="333"/>
      <c r="W28" s="333"/>
      <c r="X28" s="333"/>
      <c r="Y28" s="33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</row>
    <row r="29" spans="1:64" s="124" customFormat="1" ht="31.5" hidden="1" customHeight="1">
      <c r="A29" s="243" t="s">
        <v>19</v>
      </c>
      <c r="B29" s="541" t="s">
        <v>217</v>
      </c>
      <c r="C29" s="541"/>
      <c r="D29" s="245">
        <f t="shared" ref="D29:O29" si="9">+D27+D11</f>
        <v>6195114845.4807243</v>
      </c>
      <c r="E29" s="245">
        <f t="shared" si="9"/>
        <v>2088697777.9400001</v>
      </c>
      <c r="F29" s="245">
        <f t="shared" si="9"/>
        <v>4161609191.0500002</v>
      </c>
      <c r="G29" s="245">
        <f t="shared" si="9"/>
        <v>4211152989.23</v>
      </c>
      <c r="H29" s="245">
        <f t="shared" si="9"/>
        <v>4469743405.6800003</v>
      </c>
      <c r="I29" s="245">
        <f t="shared" si="9"/>
        <v>4336099888</v>
      </c>
      <c r="J29" s="245">
        <f t="shared" si="9"/>
        <v>4582318450</v>
      </c>
      <c r="K29" s="245">
        <f t="shared" si="9"/>
        <v>4145949963.0595999</v>
      </c>
      <c r="L29" s="245">
        <f t="shared" si="9"/>
        <v>5295982844.7790127</v>
      </c>
      <c r="M29" s="245">
        <f t="shared" si="9"/>
        <v>7355095029.5968161</v>
      </c>
      <c r="N29" s="245">
        <f t="shared" si="9"/>
        <v>8404102137.8427362</v>
      </c>
      <c r="O29" s="245">
        <f t="shared" si="9"/>
        <v>4430600438.3736086</v>
      </c>
      <c r="P29" s="245">
        <f>P27+D11</f>
        <v>59676466961.032501</v>
      </c>
      <c r="Q29" s="332"/>
      <c r="R29" s="333"/>
      <c r="S29" s="333"/>
      <c r="T29" s="333"/>
      <c r="U29" s="333"/>
      <c r="V29" s="333"/>
      <c r="W29" s="333"/>
      <c r="X29" s="333"/>
      <c r="Y29" s="33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</row>
    <row r="30" spans="1:64" s="124" customFormat="1">
      <c r="A30" s="243"/>
      <c r="B30" s="462"/>
      <c r="C30" s="460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>
        <f t="shared" si="5"/>
        <v>0</v>
      </c>
      <c r="Q30" s="331"/>
      <c r="R30" s="227"/>
      <c r="S30" s="227"/>
      <c r="T30" s="227"/>
      <c r="U30" s="227"/>
      <c r="V30" s="227"/>
      <c r="W30" s="227"/>
      <c r="X30" s="227"/>
      <c r="Y30" s="227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 s="124" customFormat="1">
      <c r="A31" s="243"/>
      <c r="B31" s="541" t="s">
        <v>20</v>
      </c>
      <c r="C31" s="541"/>
      <c r="D31" s="5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>
        <f t="shared" si="5"/>
        <v>0</v>
      </c>
      <c r="Q31" s="331"/>
      <c r="R31" s="227"/>
      <c r="S31" s="227"/>
      <c r="T31" s="227"/>
      <c r="U31" s="227"/>
      <c r="V31" s="227"/>
      <c r="W31" s="227"/>
      <c r="X31" s="227"/>
      <c r="Y31" s="227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 s="124" customFormat="1">
      <c r="A32" s="243"/>
      <c r="B32" s="247"/>
      <c r="C32" s="248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331"/>
      <c r="R32" s="227"/>
      <c r="S32" s="227"/>
      <c r="T32" s="227"/>
      <c r="U32" s="227"/>
      <c r="V32" s="227"/>
      <c r="W32" s="227"/>
      <c r="X32" s="227"/>
      <c r="Y32" s="227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6" s="124" customFormat="1">
      <c r="A33" s="243"/>
      <c r="B33" s="247"/>
      <c r="C33" s="248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331"/>
      <c r="R33" s="227"/>
      <c r="S33" s="227"/>
      <c r="T33" s="227"/>
      <c r="U33" s="227"/>
      <c r="V33" s="227"/>
      <c r="W33" s="227"/>
      <c r="X33" s="227"/>
      <c r="Y33" s="227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6" s="124" customFormat="1">
      <c r="A34" s="243"/>
      <c r="B34" s="248"/>
      <c r="C34" s="248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331" t="s">
        <v>674</v>
      </c>
      <c r="R34" s="227"/>
      <c r="S34" s="227"/>
      <c r="T34" s="227"/>
      <c r="U34" s="227"/>
      <c r="V34" s="227"/>
      <c r="W34" s="227"/>
      <c r="X34" s="227"/>
      <c r="Y34" s="227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80"/>
      <c r="AY34" s="80">
        <v>500</v>
      </c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N34" s="129">
        <v>500</v>
      </c>
    </row>
    <row r="35" spans="1:66" s="124" customFormat="1">
      <c r="A35" s="243"/>
      <c r="B35" s="248"/>
      <c r="C35" s="248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331" t="s">
        <v>674</v>
      </c>
      <c r="R35" s="227"/>
      <c r="S35" s="227"/>
      <c r="T35" s="227"/>
      <c r="U35" s="227"/>
      <c r="V35" s="227"/>
      <c r="W35" s="227"/>
      <c r="X35" s="227"/>
      <c r="Y35" s="227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80"/>
      <c r="AY35" s="80">
        <v>5.5</v>
      </c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N35" s="129">
        <v>5.5</v>
      </c>
    </row>
    <row r="36" spans="1:66" s="182" customFormat="1">
      <c r="A36" s="243"/>
      <c r="B36" s="248"/>
      <c r="C36" s="248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331" t="s">
        <v>674</v>
      </c>
      <c r="R36" s="473"/>
      <c r="S36" s="473"/>
      <c r="T36" s="473"/>
      <c r="U36" s="473"/>
      <c r="V36" s="473"/>
      <c r="W36" s="473"/>
      <c r="X36" s="473"/>
      <c r="Y36" s="473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81"/>
      <c r="AY36" s="181">
        <v>2</v>
      </c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N36" s="183">
        <v>29.582894249999995</v>
      </c>
    </row>
    <row r="37" spans="1:66" s="124" customFormat="1">
      <c r="A37" s="243"/>
      <c r="B37" s="248"/>
      <c r="C37" s="248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331" t="s">
        <v>674</v>
      </c>
      <c r="R37" s="227"/>
      <c r="S37" s="227"/>
      <c r="T37" s="227"/>
      <c r="U37" s="227"/>
      <c r="V37" s="227"/>
      <c r="W37" s="227"/>
      <c r="X37" s="227"/>
      <c r="Y37" s="227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N37" s="129"/>
    </row>
    <row r="38" spans="1:66" s="124" customFormat="1">
      <c r="A38" s="243"/>
      <c r="B38" s="248"/>
      <c r="C38" s="248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331"/>
      <c r="R38" s="227"/>
      <c r="S38" s="227"/>
      <c r="T38" s="227"/>
      <c r="U38" s="227"/>
      <c r="V38" s="227"/>
      <c r="W38" s="227"/>
      <c r="X38" s="227"/>
      <c r="Y38" s="227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80"/>
      <c r="AY38" s="80">
        <v>120</v>
      </c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N38" s="129">
        <v>120</v>
      </c>
    </row>
    <row r="39" spans="1:66" s="124" customFormat="1">
      <c r="A39" s="243"/>
      <c r="B39" s="248"/>
      <c r="C39" s="248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331"/>
      <c r="R39" s="227"/>
      <c r="S39" s="227"/>
      <c r="T39" s="227"/>
      <c r="U39" s="227"/>
      <c r="V39" s="227"/>
      <c r="W39" s="227"/>
      <c r="X39" s="227"/>
      <c r="Y39" s="227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80"/>
      <c r="AY39" s="80">
        <v>0.25</v>
      </c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N39" s="129">
        <v>0.25</v>
      </c>
    </row>
    <row r="40" spans="1:66">
      <c r="A40" s="243"/>
      <c r="B40" s="248"/>
      <c r="C40" s="248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331"/>
      <c r="R40" s="227"/>
      <c r="S40" s="227"/>
      <c r="T40" s="227"/>
      <c r="U40" s="227"/>
      <c r="V40" s="227"/>
      <c r="W40" s="227"/>
      <c r="X40" s="227"/>
      <c r="Y40" s="227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N40" s="129"/>
    </row>
    <row r="41" spans="1:66">
      <c r="A41" s="243"/>
      <c r="B41" s="248"/>
      <c r="C41" s="248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331"/>
      <c r="R41" s="227"/>
      <c r="S41" s="227"/>
      <c r="T41" s="227"/>
      <c r="U41" s="227"/>
      <c r="V41" s="227"/>
      <c r="W41" s="227"/>
      <c r="X41" s="227"/>
      <c r="Y41" s="227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80"/>
      <c r="AY41" s="80">
        <v>1</v>
      </c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N41" s="129">
        <v>1</v>
      </c>
    </row>
    <row r="42" spans="1:66" s="182" customFormat="1">
      <c r="A42" s="243"/>
      <c r="B42" s="248"/>
      <c r="C42" s="250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331" t="s">
        <v>675</v>
      </c>
      <c r="R42" s="473"/>
      <c r="S42" s="473"/>
      <c r="T42" s="473"/>
      <c r="U42" s="473"/>
      <c r="V42" s="473"/>
      <c r="W42" s="473"/>
      <c r="X42" s="473"/>
      <c r="Y42" s="473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81"/>
      <c r="AY42" s="181">
        <v>17</v>
      </c>
      <c r="AZ42" s="181"/>
      <c r="BA42" s="181"/>
      <c r="BB42" s="181"/>
      <c r="BC42" s="181"/>
      <c r="BD42" s="181"/>
      <c r="BE42" s="181"/>
      <c r="BF42" s="181"/>
      <c r="BG42" s="181"/>
      <c r="BH42" s="181"/>
      <c r="BI42" s="181"/>
      <c r="BJ42" s="181"/>
      <c r="BK42" s="181"/>
      <c r="BL42" s="181"/>
      <c r="BN42" s="183">
        <v>17</v>
      </c>
    </row>
    <row r="43" spans="1:66">
      <c r="A43" s="243"/>
      <c r="B43" s="248"/>
      <c r="C43" s="248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331"/>
      <c r="R43" s="227"/>
      <c r="S43" s="227"/>
      <c r="T43" s="227"/>
      <c r="U43" s="227"/>
      <c r="V43" s="227"/>
      <c r="W43" s="227"/>
      <c r="X43" s="227"/>
      <c r="Y43" s="227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80"/>
      <c r="AY43" s="80">
        <v>0.5</v>
      </c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N43" s="129">
        <v>0.5</v>
      </c>
    </row>
    <row r="44" spans="1:66">
      <c r="A44" s="243"/>
      <c r="B44" s="248"/>
      <c r="C44" s="248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331" t="s">
        <v>687</v>
      </c>
      <c r="R44" s="227"/>
      <c r="S44" s="227"/>
      <c r="T44" s="227"/>
      <c r="U44" s="227"/>
      <c r="V44" s="227"/>
      <c r="W44" s="227"/>
      <c r="X44" s="227"/>
      <c r="Y44" s="227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80"/>
      <c r="AY44" s="80">
        <v>24.756499999999999</v>
      </c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N44" s="129">
        <v>24.756499999999999</v>
      </c>
    </row>
    <row r="45" spans="1:66">
      <c r="A45" s="243"/>
      <c r="B45" s="248"/>
      <c r="C45" s="248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331"/>
      <c r="R45" s="227"/>
      <c r="S45" s="227"/>
      <c r="T45" s="227"/>
      <c r="U45" s="227"/>
      <c r="V45" s="227"/>
      <c r="W45" s="227"/>
      <c r="X45" s="227"/>
      <c r="Y45" s="227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80"/>
      <c r="AY45" s="80">
        <v>1.5</v>
      </c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N45" s="129">
        <v>1.5</v>
      </c>
    </row>
    <row r="46" spans="1:66">
      <c r="A46" s="243"/>
      <c r="B46" s="248"/>
      <c r="C46" s="248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331" t="s">
        <v>676</v>
      </c>
      <c r="R46" s="227"/>
      <c r="S46" s="227"/>
      <c r="T46" s="227"/>
      <c r="U46" s="227"/>
      <c r="V46" s="227"/>
      <c r="W46" s="227"/>
      <c r="X46" s="227"/>
      <c r="Y46" s="227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80"/>
      <c r="AY46" s="80">
        <v>60</v>
      </c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N46" s="129">
        <v>60</v>
      </c>
    </row>
    <row r="47" spans="1:66">
      <c r="A47" s="243"/>
      <c r="B47" s="248"/>
      <c r="C47" s="248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331" t="s">
        <v>676</v>
      </c>
      <c r="R47" s="227"/>
      <c r="S47" s="227"/>
      <c r="T47" s="227"/>
      <c r="U47" s="227"/>
      <c r="V47" s="227"/>
      <c r="W47" s="227"/>
      <c r="X47" s="227"/>
      <c r="Y47" s="227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80"/>
      <c r="AY47" s="80">
        <v>8.5</v>
      </c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N47" s="129">
        <v>8.5</v>
      </c>
    </row>
    <row r="48" spans="1:66">
      <c r="A48" s="243"/>
      <c r="B48" s="248"/>
      <c r="C48" s="248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331"/>
      <c r="R48" s="227"/>
      <c r="S48" s="227"/>
      <c r="T48" s="227"/>
      <c r="U48" s="227"/>
      <c r="V48" s="227"/>
      <c r="W48" s="227"/>
      <c r="X48" s="227"/>
      <c r="Y48" s="227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N48" s="129"/>
    </row>
    <row r="49" spans="1:66">
      <c r="A49" s="243"/>
      <c r="B49" s="248"/>
      <c r="C49" s="248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331"/>
      <c r="R49" s="227"/>
      <c r="S49" s="227"/>
      <c r="T49" s="227"/>
      <c r="U49" s="227"/>
      <c r="V49" s="227"/>
      <c r="W49" s="227"/>
      <c r="X49" s="227"/>
      <c r="Y49" s="227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80"/>
      <c r="AY49" s="80">
        <v>2.5</v>
      </c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N49" s="129">
        <v>2.5</v>
      </c>
    </row>
    <row r="50" spans="1:66">
      <c r="A50" s="243"/>
      <c r="B50" s="248"/>
      <c r="C50" s="248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331"/>
      <c r="R50" s="227"/>
      <c r="S50" s="227"/>
      <c r="T50" s="227"/>
      <c r="U50" s="227"/>
      <c r="V50" s="227"/>
      <c r="W50" s="227"/>
      <c r="X50" s="227"/>
      <c r="Y50" s="227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80"/>
      <c r="AY50" s="80">
        <v>13</v>
      </c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N50" s="129">
        <v>13</v>
      </c>
    </row>
    <row r="51" spans="1:66">
      <c r="A51" s="243"/>
      <c r="B51" s="248"/>
      <c r="C51" s="248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331" t="s">
        <v>678</v>
      </c>
      <c r="R51" s="227"/>
      <c r="S51" s="227"/>
      <c r="T51" s="227"/>
      <c r="U51" s="227"/>
      <c r="V51" s="227"/>
      <c r="W51" s="227"/>
      <c r="X51" s="227"/>
      <c r="Y51" s="227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80"/>
      <c r="AY51" s="80">
        <v>4</v>
      </c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N51" s="129">
        <v>4</v>
      </c>
    </row>
    <row r="52" spans="1:66">
      <c r="A52" s="243"/>
      <c r="B52" s="248"/>
      <c r="C52" s="248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331" t="s">
        <v>674</v>
      </c>
      <c r="R52" s="227"/>
      <c r="S52" s="227"/>
      <c r="T52" s="227"/>
      <c r="U52" s="227"/>
      <c r="V52" s="227"/>
      <c r="W52" s="227"/>
      <c r="X52" s="227"/>
      <c r="Y52" s="227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80"/>
      <c r="AY52" s="80">
        <v>6.6</v>
      </c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N52" s="129">
        <v>6.6</v>
      </c>
    </row>
    <row r="53" spans="1:66">
      <c r="A53" s="243"/>
      <c r="B53" s="248"/>
      <c r="C53" s="248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331" t="s">
        <v>679</v>
      </c>
      <c r="R53" s="227"/>
      <c r="S53" s="227"/>
      <c r="T53" s="227"/>
      <c r="U53" s="227"/>
      <c r="V53" s="227"/>
      <c r="W53" s="227"/>
      <c r="X53" s="227"/>
      <c r="Y53" s="227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80"/>
      <c r="AY53" s="80">
        <v>6</v>
      </c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N53" s="129">
        <v>6</v>
      </c>
    </row>
    <row r="54" spans="1:66">
      <c r="A54" s="243"/>
      <c r="B54" s="248"/>
      <c r="C54" s="248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331"/>
      <c r="R54" s="227"/>
      <c r="S54" s="227"/>
      <c r="T54" s="227"/>
      <c r="U54" s="227"/>
      <c r="V54" s="227"/>
      <c r="W54" s="227"/>
      <c r="X54" s="227"/>
      <c r="Y54" s="227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80"/>
      <c r="AY54" s="80">
        <v>2.5</v>
      </c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N54" s="129">
        <v>2.5</v>
      </c>
    </row>
    <row r="55" spans="1:66" s="124" customFormat="1">
      <c r="A55" s="243"/>
      <c r="B55" s="248"/>
      <c r="C55" s="248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331" t="s">
        <v>677</v>
      </c>
      <c r="R55" s="227"/>
      <c r="S55" s="227"/>
      <c r="T55" s="227"/>
      <c r="U55" s="227"/>
      <c r="V55" s="227"/>
      <c r="W55" s="227"/>
      <c r="X55" s="227"/>
      <c r="Y55" s="227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N55" s="129"/>
    </row>
    <row r="56" spans="1:66">
      <c r="A56" s="243"/>
      <c r="B56" s="248"/>
      <c r="C56" s="248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331" t="s">
        <v>674</v>
      </c>
      <c r="R56" s="227"/>
      <c r="S56" s="227"/>
      <c r="T56" s="227"/>
      <c r="U56" s="227"/>
      <c r="V56" s="227"/>
      <c r="W56" s="227"/>
      <c r="X56" s="227"/>
      <c r="Y56" s="227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80"/>
      <c r="AY56" s="80">
        <v>11</v>
      </c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N56" s="129">
        <v>11</v>
      </c>
    </row>
    <row r="57" spans="1:66">
      <c r="A57" s="243"/>
      <c r="B57" s="248"/>
      <c r="C57" s="248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331" t="s">
        <v>674</v>
      </c>
      <c r="R57" s="227"/>
      <c r="S57" s="227"/>
      <c r="T57" s="227"/>
      <c r="U57" s="227"/>
      <c r="V57" s="227"/>
      <c r="W57" s="227"/>
      <c r="X57" s="227"/>
      <c r="Y57" s="227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80"/>
      <c r="AY57" s="80">
        <v>11</v>
      </c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N57" s="129">
        <v>11</v>
      </c>
    </row>
    <row r="58" spans="1:66" s="124" customFormat="1">
      <c r="A58" s="243"/>
      <c r="B58" s="248"/>
      <c r="C58" s="248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331"/>
      <c r="R58" s="227"/>
      <c r="S58" s="227"/>
      <c r="T58" s="227"/>
      <c r="U58" s="227"/>
      <c r="V58" s="227"/>
      <c r="W58" s="227"/>
      <c r="X58" s="227"/>
      <c r="Y58" s="227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N58" s="129"/>
    </row>
    <row r="59" spans="1:66">
      <c r="A59" s="243"/>
      <c r="B59" s="247"/>
      <c r="C59" s="248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331"/>
      <c r="R59" s="227"/>
      <c r="S59" s="227"/>
      <c r="T59" s="227"/>
      <c r="U59" s="227"/>
      <c r="V59" s="227"/>
      <c r="W59" s="227"/>
      <c r="X59" s="227"/>
      <c r="Y59" s="227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N59" s="129"/>
    </row>
    <row r="60" spans="1:66" s="182" customFormat="1">
      <c r="A60" s="243"/>
      <c r="B60" s="248"/>
      <c r="C60" s="248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331" t="s">
        <v>680</v>
      </c>
      <c r="R60" s="473"/>
      <c r="S60" s="473"/>
      <c r="T60" s="473"/>
      <c r="U60" s="473"/>
      <c r="V60" s="473"/>
      <c r="W60" s="473"/>
      <c r="X60" s="473"/>
      <c r="Y60" s="473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0"/>
      <c r="AV60" s="190"/>
      <c r="AW60" s="190"/>
      <c r="AX60" s="181"/>
      <c r="AY60" s="181"/>
      <c r="AZ60" s="181"/>
      <c r="BA60" s="181"/>
      <c r="BB60" s="181"/>
      <c r="BC60" s="181"/>
      <c r="BD60" s="181"/>
      <c r="BE60" s="181"/>
      <c r="BF60" s="181"/>
      <c r="BG60" s="181"/>
      <c r="BH60" s="181"/>
      <c r="BI60" s="181"/>
      <c r="BJ60" s="181"/>
      <c r="BK60" s="181"/>
      <c r="BL60" s="181"/>
      <c r="BN60" s="183">
        <v>0</v>
      </c>
    </row>
    <row r="61" spans="1:66">
      <c r="A61" s="243"/>
      <c r="B61" s="248"/>
      <c r="C61" s="248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331"/>
      <c r="R61" s="227"/>
      <c r="S61" s="227"/>
      <c r="T61" s="227"/>
      <c r="U61" s="227"/>
      <c r="V61" s="227"/>
      <c r="W61" s="227"/>
      <c r="X61" s="227"/>
      <c r="Y61" s="227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N61" s="129"/>
    </row>
    <row r="62" spans="1:66">
      <c r="A62" s="243"/>
      <c r="B62" s="248"/>
      <c r="C62" s="248"/>
      <c r="D62" s="241"/>
      <c r="E62" s="241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331" t="s">
        <v>680</v>
      </c>
      <c r="R62" s="227"/>
      <c r="S62" s="227"/>
      <c r="T62" s="227"/>
      <c r="U62" s="227"/>
      <c r="V62" s="227"/>
      <c r="W62" s="227"/>
      <c r="X62" s="227"/>
      <c r="Y62" s="227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80"/>
      <c r="AY62" s="80">
        <v>17.661297916666669</v>
      </c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N62" s="129">
        <v>17.661297916666669</v>
      </c>
    </row>
    <row r="63" spans="1:66">
      <c r="A63" s="243"/>
      <c r="B63" s="248"/>
      <c r="C63" s="248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331" t="s">
        <v>682</v>
      </c>
      <c r="R63" s="227"/>
      <c r="S63" s="227"/>
      <c r="T63" s="227"/>
      <c r="U63" s="227"/>
      <c r="V63" s="227"/>
      <c r="W63" s="227"/>
      <c r="X63" s="227"/>
      <c r="Y63" s="227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80"/>
      <c r="AY63" s="80">
        <v>5</v>
      </c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N63" s="129">
        <v>5</v>
      </c>
    </row>
    <row r="64" spans="1:66">
      <c r="A64" s="243"/>
      <c r="B64" s="248"/>
      <c r="C64" s="248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331" t="s">
        <v>684</v>
      </c>
      <c r="R64" s="227"/>
      <c r="S64" s="227"/>
      <c r="T64" s="227"/>
      <c r="U64" s="227"/>
      <c r="V64" s="227"/>
      <c r="W64" s="227"/>
      <c r="X64" s="227"/>
      <c r="Y64" s="227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80"/>
      <c r="AY64" s="80">
        <v>10</v>
      </c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N64" s="129">
        <v>10</v>
      </c>
    </row>
    <row r="65" spans="1:66">
      <c r="A65" s="243"/>
      <c r="B65" s="248"/>
      <c r="C65" s="248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331"/>
      <c r="R65" s="227"/>
      <c r="S65" s="227"/>
      <c r="T65" s="227"/>
      <c r="U65" s="227"/>
      <c r="V65" s="227"/>
      <c r="W65" s="227"/>
      <c r="X65" s="227"/>
      <c r="Y65" s="227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80"/>
      <c r="AY65" s="80">
        <v>4.2699999999999996</v>
      </c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N65" s="129">
        <v>4.2699999999999996</v>
      </c>
    </row>
    <row r="66" spans="1:66" s="182" customFormat="1">
      <c r="A66" s="243"/>
      <c r="B66" s="248"/>
      <c r="C66" s="250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331" t="s">
        <v>681</v>
      </c>
      <c r="R66" s="473"/>
      <c r="S66" s="473"/>
      <c r="T66" s="473"/>
      <c r="U66" s="473"/>
      <c r="V66" s="473"/>
      <c r="W66" s="473"/>
      <c r="X66" s="473"/>
      <c r="Y66" s="473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0"/>
      <c r="AT66" s="190"/>
      <c r="AU66" s="190"/>
      <c r="AV66" s="190"/>
      <c r="AW66" s="190"/>
      <c r="AX66" s="181"/>
      <c r="AY66" s="181">
        <v>67.479608333333331</v>
      </c>
      <c r="AZ66" s="181"/>
      <c r="BA66" s="181"/>
      <c r="BB66" s="181"/>
      <c r="BC66" s="181"/>
      <c r="BD66" s="181"/>
      <c r="BE66" s="181"/>
      <c r="BF66" s="181"/>
      <c r="BG66" s="181"/>
      <c r="BH66" s="181"/>
      <c r="BI66" s="181"/>
      <c r="BJ66" s="181"/>
      <c r="BK66" s="181"/>
      <c r="BL66" s="181"/>
      <c r="BN66" s="183">
        <v>67.479608333333331</v>
      </c>
    </row>
    <row r="67" spans="1:66">
      <c r="A67" s="243"/>
      <c r="B67" s="248"/>
      <c r="C67" s="248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331"/>
      <c r="R67" s="227"/>
      <c r="S67" s="227"/>
      <c r="T67" s="227"/>
      <c r="U67" s="227"/>
      <c r="V67" s="227"/>
      <c r="W67" s="227"/>
      <c r="X67" s="227"/>
      <c r="Y67" s="227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N67" s="129"/>
    </row>
    <row r="68" spans="1:66">
      <c r="A68" s="243"/>
      <c r="B68" s="247"/>
      <c r="C68" s="248"/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331"/>
      <c r="R68" s="227"/>
      <c r="S68" s="227"/>
      <c r="T68" s="227"/>
      <c r="U68" s="227"/>
      <c r="V68" s="227"/>
      <c r="W68" s="227"/>
      <c r="X68" s="227"/>
      <c r="Y68" s="227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N68" s="129"/>
    </row>
    <row r="69" spans="1:66">
      <c r="A69" s="243"/>
      <c r="B69" s="248"/>
      <c r="C69" s="248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331"/>
      <c r="R69" s="227"/>
      <c r="S69" s="227"/>
      <c r="T69" s="227"/>
      <c r="U69" s="227"/>
      <c r="V69" s="227"/>
      <c r="W69" s="227"/>
      <c r="X69" s="227"/>
      <c r="Y69" s="227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80"/>
      <c r="AY69" s="80">
        <v>1.5</v>
      </c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N69" s="129">
        <v>1.5</v>
      </c>
    </row>
    <row r="70" spans="1:66">
      <c r="A70" s="243"/>
      <c r="B70" s="248"/>
      <c r="C70" s="248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331"/>
      <c r="R70" s="227"/>
      <c r="S70" s="227"/>
      <c r="T70" s="227"/>
      <c r="U70" s="227"/>
      <c r="V70" s="227"/>
      <c r="W70" s="227"/>
      <c r="X70" s="227"/>
      <c r="Y70" s="227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N70" s="129"/>
    </row>
    <row r="71" spans="1:66">
      <c r="A71" s="243"/>
      <c r="B71" s="248"/>
      <c r="C71" s="248"/>
      <c r="D71" s="241"/>
      <c r="E71" s="241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  <c r="Q71" s="331"/>
      <c r="R71" s="227"/>
      <c r="S71" s="227"/>
      <c r="T71" s="227"/>
      <c r="U71" s="227"/>
      <c r="V71" s="227"/>
      <c r="W71" s="227"/>
      <c r="X71" s="227"/>
      <c r="Y71" s="227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N71" s="129"/>
    </row>
    <row r="72" spans="1:66">
      <c r="A72" s="243"/>
      <c r="B72" s="247"/>
      <c r="C72" s="248"/>
      <c r="D72" s="241"/>
      <c r="E72" s="241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331"/>
      <c r="R72" s="227"/>
      <c r="S72" s="227"/>
      <c r="T72" s="227"/>
      <c r="U72" s="227"/>
      <c r="V72" s="227"/>
      <c r="W72" s="227"/>
      <c r="X72" s="227"/>
      <c r="Y72" s="227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N72" s="129"/>
    </row>
    <row r="73" spans="1:66">
      <c r="A73" s="243"/>
      <c r="B73" s="248"/>
      <c r="C73" s="248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331"/>
      <c r="R73" s="227"/>
      <c r="S73" s="227"/>
      <c r="T73" s="227"/>
      <c r="U73" s="227"/>
      <c r="V73" s="227"/>
      <c r="W73" s="227"/>
      <c r="X73" s="227"/>
      <c r="Y73" s="227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80"/>
      <c r="AY73" s="80">
        <v>4</v>
      </c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N73" s="129">
        <v>4</v>
      </c>
    </row>
    <row r="74" spans="1:66">
      <c r="A74" s="243"/>
      <c r="B74" s="248"/>
      <c r="C74" s="248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331"/>
      <c r="R74" s="227"/>
      <c r="S74" s="227"/>
      <c r="T74" s="227"/>
      <c r="U74" s="227"/>
      <c r="V74" s="227"/>
      <c r="W74" s="227"/>
      <c r="X74" s="227"/>
      <c r="Y74" s="227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N74" s="129"/>
    </row>
    <row r="75" spans="1:66">
      <c r="A75" s="243"/>
      <c r="B75" s="248"/>
      <c r="C75" s="248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331"/>
      <c r="R75" s="227"/>
      <c r="S75" s="227"/>
      <c r="T75" s="227"/>
      <c r="U75" s="227"/>
      <c r="V75" s="227"/>
      <c r="W75" s="227"/>
      <c r="X75" s="227"/>
      <c r="Y75" s="227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N75" s="129"/>
    </row>
    <row r="76" spans="1:66">
      <c r="A76" s="243"/>
      <c r="B76" s="247"/>
      <c r="C76" s="248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331"/>
      <c r="R76" s="227"/>
      <c r="S76" s="227"/>
      <c r="T76" s="227"/>
      <c r="U76" s="227"/>
      <c r="V76" s="227"/>
      <c r="W76" s="227"/>
      <c r="X76" s="227"/>
      <c r="Y76" s="227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N76" s="129"/>
    </row>
    <row r="77" spans="1:66" s="182" customFormat="1">
      <c r="A77" s="243"/>
      <c r="B77" s="248"/>
      <c r="C77" s="248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331" t="s">
        <v>683</v>
      </c>
      <c r="R77" s="473"/>
      <c r="S77" s="473"/>
      <c r="T77" s="473"/>
      <c r="U77" s="473"/>
      <c r="V77" s="473"/>
      <c r="W77" s="473"/>
      <c r="X77" s="473"/>
      <c r="Y77" s="473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190"/>
      <c r="AV77" s="190"/>
      <c r="AW77" s="190"/>
      <c r="AX77" s="181"/>
      <c r="AY77" s="181">
        <v>9</v>
      </c>
      <c r="AZ77" s="181"/>
      <c r="BA77" s="181"/>
      <c r="BB77" s="181"/>
      <c r="BC77" s="181"/>
      <c r="BD77" s="181"/>
      <c r="BE77" s="181"/>
      <c r="BF77" s="181"/>
      <c r="BG77" s="181"/>
      <c r="BH77" s="181"/>
      <c r="BI77" s="181"/>
      <c r="BJ77" s="181"/>
      <c r="BK77" s="181"/>
      <c r="BL77" s="181"/>
      <c r="BN77" s="183">
        <v>9</v>
      </c>
    </row>
    <row r="78" spans="1:66" s="182" customFormat="1">
      <c r="A78" s="243"/>
      <c r="B78" s="248"/>
      <c r="C78" s="248"/>
      <c r="D78" s="241"/>
      <c r="E78" s="241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331" t="s">
        <v>683</v>
      </c>
      <c r="R78" s="473"/>
      <c r="S78" s="473"/>
      <c r="T78" s="473"/>
      <c r="U78" s="473"/>
      <c r="V78" s="473"/>
      <c r="W78" s="473"/>
      <c r="X78" s="473"/>
      <c r="Y78" s="473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81"/>
      <c r="AY78" s="181">
        <v>4</v>
      </c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N78" s="183">
        <v>4</v>
      </c>
    </row>
    <row r="79" spans="1:66" s="182" customFormat="1">
      <c r="A79" s="243"/>
      <c r="B79" s="248"/>
      <c r="C79" s="248"/>
      <c r="D79" s="241"/>
      <c r="E79" s="241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331" t="s">
        <v>683</v>
      </c>
      <c r="R79" s="473"/>
      <c r="S79" s="473"/>
      <c r="T79" s="473"/>
      <c r="U79" s="473"/>
      <c r="V79" s="473"/>
      <c r="W79" s="473"/>
      <c r="X79" s="473"/>
      <c r="Y79" s="473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81"/>
      <c r="AY79" s="181">
        <v>1.5</v>
      </c>
      <c r="AZ79" s="181"/>
      <c r="BA79" s="181"/>
      <c r="BB79" s="181"/>
      <c r="BC79" s="181"/>
      <c r="BD79" s="181"/>
      <c r="BE79" s="181"/>
      <c r="BF79" s="181"/>
      <c r="BG79" s="181"/>
      <c r="BH79" s="181"/>
      <c r="BI79" s="181"/>
      <c r="BJ79" s="181"/>
      <c r="BK79" s="181"/>
      <c r="BL79" s="181"/>
      <c r="BN79" s="183">
        <v>1.5</v>
      </c>
    </row>
    <row r="80" spans="1:66" s="182" customFormat="1">
      <c r="A80" s="243"/>
      <c r="B80" s="248"/>
      <c r="C80" s="248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331" t="s">
        <v>683</v>
      </c>
      <c r="R80" s="473"/>
      <c r="S80" s="473"/>
      <c r="T80" s="473"/>
      <c r="U80" s="473"/>
      <c r="V80" s="473"/>
      <c r="W80" s="473"/>
      <c r="X80" s="473"/>
      <c r="Y80" s="473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81"/>
      <c r="AY80" s="181">
        <v>0.5</v>
      </c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  <c r="BK80" s="181"/>
      <c r="BL80" s="181"/>
      <c r="BN80" s="183">
        <v>0.5</v>
      </c>
    </row>
    <row r="81" spans="1:66" s="182" customFormat="1">
      <c r="A81" s="243"/>
      <c r="B81" s="248"/>
      <c r="C81" s="248"/>
      <c r="D81" s="241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331" t="s">
        <v>683</v>
      </c>
      <c r="R81" s="473"/>
      <c r="S81" s="473"/>
      <c r="T81" s="473"/>
      <c r="U81" s="473"/>
      <c r="V81" s="473"/>
      <c r="W81" s="473"/>
      <c r="X81" s="473"/>
      <c r="Y81" s="473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81"/>
      <c r="AY81" s="181">
        <v>1</v>
      </c>
      <c r="AZ81" s="181"/>
      <c r="BA81" s="181"/>
      <c r="BB81" s="181"/>
      <c r="BC81" s="181"/>
      <c r="BD81" s="181"/>
      <c r="BE81" s="181"/>
      <c r="BF81" s="181"/>
      <c r="BG81" s="181"/>
      <c r="BH81" s="181"/>
      <c r="BI81" s="181"/>
      <c r="BJ81" s="181"/>
      <c r="BK81" s="181"/>
      <c r="BL81" s="181"/>
      <c r="BN81" s="183">
        <v>1</v>
      </c>
    </row>
    <row r="82" spans="1:66" s="182" customFormat="1">
      <c r="A82" s="243"/>
      <c r="B82" s="248"/>
      <c r="C82" s="248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331" t="s">
        <v>683</v>
      </c>
      <c r="R82" s="473"/>
      <c r="S82" s="473"/>
      <c r="T82" s="473"/>
      <c r="U82" s="473"/>
      <c r="V82" s="473"/>
      <c r="W82" s="473"/>
      <c r="X82" s="473"/>
      <c r="Y82" s="473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81"/>
      <c r="AY82" s="181">
        <v>0.5</v>
      </c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N82" s="183">
        <v>0.5</v>
      </c>
    </row>
    <row r="83" spans="1:66">
      <c r="A83" s="243"/>
      <c r="B83" s="248"/>
      <c r="C83" s="248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331"/>
      <c r="R83" s="227"/>
      <c r="S83" s="227"/>
      <c r="T83" s="227"/>
      <c r="U83" s="227"/>
      <c r="V83" s="227"/>
      <c r="W83" s="227"/>
      <c r="X83" s="227"/>
      <c r="Y83" s="227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80"/>
      <c r="AY83" s="80">
        <v>32.255000000000003</v>
      </c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N83" s="129">
        <v>9.9999999999999992E-2</v>
      </c>
    </row>
    <row r="84" spans="1:66">
      <c r="A84" s="243"/>
      <c r="B84" s="248"/>
      <c r="C84" s="248"/>
      <c r="D84" s="241"/>
      <c r="E84" s="241"/>
      <c r="F84" s="241"/>
      <c r="G84" s="241"/>
      <c r="H84" s="241"/>
      <c r="I84" s="241"/>
      <c r="J84" s="241"/>
      <c r="K84" s="241"/>
      <c r="L84" s="241"/>
      <c r="M84" s="241"/>
      <c r="N84" s="241"/>
      <c r="O84" s="241"/>
      <c r="P84" s="241"/>
      <c r="Q84" s="331"/>
      <c r="R84" s="227"/>
      <c r="S84" s="227"/>
      <c r="T84" s="227"/>
      <c r="U84" s="227"/>
      <c r="V84" s="227"/>
      <c r="W84" s="227"/>
      <c r="X84" s="227"/>
      <c r="Y84" s="227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80"/>
      <c r="AY84" s="80">
        <v>8</v>
      </c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N84" s="129">
        <v>0</v>
      </c>
    </row>
    <row r="85" spans="1:66" s="182" customFormat="1">
      <c r="A85" s="243"/>
      <c r="B85" s="248"/>
      <c r="C85" s="248"/>
      <c r="D85" s="241"/>
      <c r="E85" s="241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331" t="s">
        <v>683</v>
      </c>
      <c r="R85" s="473"/>
      <c r="S85" s="473"/>
      <c r="T85" s="473"/>
      <c r="U85" s="473"/>
      <c r="V85" s="473"/>
      <c r="W85" s="473"/>
      <c r="X85" s="473"/>
      <c r="Y85" s="473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190"/>
      <c r="AV85" s="190"/>
      <c r="AW85" s="190"/>
      <c r="AX85" s="181"/>
      <c r="AY85" s="181">
        <v>4.5</v>
      </c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N85" s="183">
        <v>4.5</v>
      </c>
    </row>
    <row r="86" spans="1:66" s="182" customFormat="1">
      <c r="A86" s="243"/>
      <c r="B86" s="248"/>
      <c r="C86" s="248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331" t="s">
        <v>683</v>
      </c>
      <c r="R86" s="473"/>
      <c r="S86" s="473"/>
      <c r="T86" s="473"/>
      <c r="U86" s="473"/>
      <c r="V86" s="473"/>
      <c r="W86" s="473"/>
      <c r="X86" s="473"/>
      <c r="Y86" s="473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81"/>
      <c r="AY86" s="181">
        <v>2</v>
      </c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N86" s="183">
        <v>2</v>
      </c>
    </row>
    <row r="87" spans="1:66">
      <c r="A87" s="243"/>
      <c r="B87" s="248"/>
      <c r="C87" s="248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331" t="s">
        <v>685</v>
      </c>
      <c r="R87" s="227"/>
      <c r="S87" s="227"/>
      <c r="T87" s="227"/>
      <c r="U87" s="227"/>
      <c r="V87" s="227"/>
      <c r="W87" s="227"/>
      <c r="X87" s="227"/>
      <c r="Y87" s="227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80"/>
      <c r="AY87" s="80">
        <v>39</v>
      </c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N87" s="129">
        <v>39</v>
      </c>
    </row>
    <row r="88" spans="1:66">
      <c r="A88" s="243"/>
      <c r="B88" s="248"/>
      <c r="C88" s="248"/>
      <c r="D88" s="241"/>
      <c r="E88" s="241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331"/>
      <c r="R88" s="227"/>
      <c r="S88" s="227"/>
      <c r="T88" s="227"/>
      <c r="U88" s="227"/>
      <c r="V88" s="227"/>
      <c r="W88" s="227"/>
      <c r="X88" s="227"/>
      <c r="Y88" s="227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N88" s="129"/>
    </row>
    <row r="89" spans="1:66">
      <c r="A89" s="243"/>
      <c r="B89" s="247"/>
      <c r="C89" s="248"/>
      <c r="D89" s="241"/>
      <c r="E89" s="241"/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331"/>
      <c r="R89" s="227"/>
      <c r="S89" s="227"/>
      <c r="T89" s="227"/>
      <c r="U89" s="227"/>
      <c r="V89" s="227"/>
      <c r="W89" s="227"/>
      <c r="X89" s="227"/>
      <c r="Y89" s="227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N89" s="129"/>
    </row>
    <row r="90" spans="1:66">
      <c r="A90" s="243"/>
      <c r="B90" s="248"/>
      <c r="C90" s="248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241"/>
      <c r="P90" s="241"/>
      <c r="Q90" s="331"/>
      <c r="R90" s="227"/>
      <c r="S90" s="227"/>
      <c r="T90" s="227"/>
      <c r="U90" s="227"/>
      <c r="V90" s="227"/>
      <c r="W90" s="227"/>
      <c r="X90" s="227"/>
      <c r="Y90" s="227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N90" s="129"/>
    </row>
    <row r="91" spans="1:66" s="124" customFormat="1">
      <c r="A91" s="243"/>
      <c r="B91" s="248"/>
      <c r="C91" s="248"/>
      <c r="D91" s="241"/>
      <c r="E91" s="241"/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331" t="s">
        <v>686</v>
      </c>
      <c r="R91" s="227"/>
      <c r="S91" s="227"/>
      <c r="T91" s="227"/>
      <c r="U91" s="227"/>
      <c r="V91" s="227"/>
      <c r="W91" s="227"/>
      <c r="X91" s="227"/>
      <c r="Y91" s="227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80"/>
      <c r="AY91" s="80">
        <v>1000</v>
      </c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N91" s="129">
        <v>1000</v>
      </c>
    </row>
    <row r="92" spans="1:66" s="124" customFormat="1">
      <c r="A92" s="243"/>
      <c r="B92" s="248"/>
      <c r="C92" s="249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331" t="s">
        <v>686</v>
      </c>
      <c r="R92" s="227"/>
      <c r="S92" s="227"/>
      <c r="T92" s="227"/>
      <c r="U92" s="227"/>
      <c r="V92" s="227"/>
      <c r="W92" s="227"/>
      <c r="X92" s="227"/>
      <c r="Y92" s="227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80"/>
      <c r="AY92" s="80">
        <v>90</v>
      </c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N92" s="129">
        <v>90</v>
      </c>
    </row>
    <row r="93" spans="1:66">
      <c r="A93" s="243"/>
      <c r="B93" s="248"/>
      <c r="C93" s="248"/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331"/>
      <c r="R93" s="227"/>
      <c r="S93" s="227"/>
      <c r="T93" s="227"/>
      <c r="U93" s="227"/>
      <c r="V93" s="227"/>
      <c r="W93" s="227"/>
      <c r="X93" s="227"/>
      <c r="Y93" s="227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80"/>
      <c r="AY93" s="80">
        <v>1000</v>
      </c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N93" s="129">
        <v>1000</v>
      </c>
    </row>
    <row r="94" spans="1:66">
      <c r="A94" s="243"/>
      <c r="B94" s="248"/>
      <c r="C94" s="248"/>
      <c r="D94" s="241"/>
      <c r="E94" s="241"/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/>
      <c r="Q94" s="331"/>
      <c r="R94" s="227"/>
      <c r="S94" s="227"/>
      <c r="T94" s="227"/>
      <c r="U94" s="227"/>
      <c r="V94" s="227"/>
      <c r="W94" s="227"/>
      <c r="X94" s="227"/>
      <c r="Y94" s="227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80"/>
      <c r="AY94" s="80">
        <v>90</v>
      </c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N94" s="129">
        <v>90</v>
      </c>
    </row>
    <row r="95" spans="1:66" ht="16.5" customHeight="1">
      <c r="A95" s="243"/>
      <c r="B95" s="248"/>
      <c r="C95" s="248"/>
      <c r="D95" s="241"/>
      <c r="E95" s="241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331"/>
      <c r="R95" s="227"/>
      <c r="S95" s="227"/>
      <c r="T95" s="227"/>
      <c r="U95" s="227"/>
      <c r="V95" s="227"/>
      <c r="W95" s="227"/>
      <c r="X95" s="227"/>
      <c r="Y95" s="227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80"/>
      <c r="AY95" s="80">
        <v>4</v>
      </c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N95" s="129">
        <v>4</v>
      </c>
    </row>
    <row r="96" spans="1:66" ht="16.5" customHeight="1">
      <c r="A96" s="243"/>
      <c r="B96" s="248"/>
      <c r="C96" s="248"/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331"/>
      <c r="R96" s="227"/>
      <c r="S96" s="227"/>
      <c r="T96" s="227"/>
      <c r="U96" s="227"/>
      <c r="V96" s="227"/>
      <c r="W96" s="227"/>
      <c r="X96" s="227"/>
      <c r="Y96" s="227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N96" s="129"/>
    </row>
    <row r="97" spans="1:66">
      <c r="A97" s="243"/>
      <c r="B97" s="248"/>
      <c r="C97" s="248"/>
      <c r="D97" s="241"/>
      <c r="E97" s="241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331"/>
      <c r="R97" s="227"/>
      <c r="S97" s="227"/>
      <c r="T97" s="227"/>
      <c r="U97" s="227"/>
      <c r="V97" s="227"/>
      <c r="W97" s="227"/>
      <c r="X97" s="227"/>
      <c r="Y97" s="227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N97" s="129"/>
    </row>
    <row r="98" spans="1:66">
      <c r="A98" s="243"/>
      <c r="B98" s="248"/>
      <c r="C98" s="248"/>
      <c r="D98" s="241"/>
      <c r="E98" s="241"/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/>
      <c r="Q98" s="331" t="s">
        <v>687</v>
      </c>
      <c r="R98" s="227"/>
      <c r="S98" s="227"/>
      <c r="T98" s="227"/>
      <c r="U98" s="227"/>
      <c r="V98" s="227"/>
      <c r="W98" s="227"/>
      <c r="X98" s="227"/>
      <c r="Y98" s="227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80"/>
      <c r="AY98" s="80">
        <v>115</v>
      </c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N98" s="129">
        <v>115</v>
      </c>
    </row>
    <row r="99" spans="1:66">
      <c r="A99" s="243"/>
      <c r="B99" s="248"/>
      <c r="C99" s="248"/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331" t="s">
        <v>687</v>
      </c>
      <c r="R99" s="227"/>
      <c r="S99" s="227"/>
      <c r="T99" s="227"/>
      <c r="U99" s="227"/>
      <c r="V99" s="227"/>
      <c r="W99" s="227"/>
      <c r="X99" s="227"/>
      <c r="Y99" s="227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80"/>
      <c r="AY99" s="80">
        <v>0.6</v>
      </c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N99" s="129">
        <v>0.6</v>
      </c>
    </row>
    <row r="100" spans="1:66">
      <c r="A100" s="243"/>
      <c r="B100" s="248"/>
      <c r="C100" s="248"/>
      <c r="D100" s="241"/>
      <c r="E100" s="241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331" t="s">
        <v>687</v>
      </c>
      <c r="R100" s="227"/>
      <c r="S100" s="227"/>
      <c r="T100" s="227"/>
      <c r="U100" s="227"/>
      <c r="V100" s="227"/>
      <c r="W100" s="227"/>
      <c r="X100" s="227"/>
      <c r="Y100" s="227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80"/>
      <c r="AY100" s="80">
        <v>0.5</v>
      </c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N100" s="129">
        <v>0.5</v>
      </c>
    </row>
    <row r="101" spans="1:66">
      <c r="A101" s="243"/>
      <c r="B101" s="248"/>
      <c r="C101" s="248"/>
      <c r="D101" s="241"/>
      <c r="E101" s="241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331"/>
      <c r="R101" s="227"/>
      <c r="S101" s="227"/>
      <c r="T101" s="227"/>
      <c r="U101" s="227"/>
      <c r="V101" s="227"/>
      <c r="W101" s="227"/>
      <c r="X101" s="227"/>
      <c r="Y101" s="227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80"/>
      <c r="AY101" s="80">
        <v>1</v>
      </c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N101" s="129">
        <v>1</v>
      </c>
    </row>
    <row r="102" spans="1:66" s="124" customFormat="1">
      <c r="A102" s="243"/>
      <c r="B102" s="248"/>
      <c r="C102" s="248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331" t="s">
        <v>688</v>
      </c>
      <c r="R102" s="227"/>
      <c r="S102" s="227"/>
      <c r="T102" s="227"/>
      <c r="U102" s="227"/>
      <c r="V102" s="227"/>
      <c r="W102" s="227"/>
      <c r="X102" s="227"/>
      <c r="Y102" s="227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80"/>
      <c r="AY102" s="80">
        <v>65</v>
      </c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N102" s="129">
        <v>65</v>
      </c>
    </row>
    <row r="103" spans="1:66">
      <c r="A103" s="243"/>
      <c r="B103" s="248"/>
      <c r="C103" s="248"/>
      <c r="D103" s="241"/>
      <c r="E103" s="241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331" t="s">
        <v>674</v>
      </c>
      <c r="R103" s="227"/>
      <c r="S103" s="227"/>
      <c r="T103" s="227"/>
      <c r="U103" s="227"/>
      <c r="V103" s="227"/>
      <c r="W103" s="227"/>
      <c r="X103" s="227"/>
      <c r="Y103" s="227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N103" s="129"/>
    </row>
    <row r="104" spans="1:66">
      <c r="A104" s="243"/>
      <c r="B104" s="248"/>
      <c r="C104" s="248"/>
      <c r="D104" s="241"/>
      <c r="E104" s="241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331"/>
      <c r="R104" s="227"/>
      <c r="S104" s="227"/>
      <c r="T104" s="227"/>
      <c r="U104" s="227"/>
      <c r="V104" s="227"/>
      <c r="W104" s="227"/>
      <c r="X104" s="227"/>
      <c r="Y104" s="227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N104" s="129"/>
    </row>
    <row r="105" spans="1:66">
      <c r="A105" s="243"/>
      <c r="B105" s="248"/>
      <c r="C105" s="248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331" t="s">
        <v>689</v>
      </c>
      <c r="R105" s="227"/>
      <c r="S105" s="227"/>
      <c r="T105" s="227"/>
      <c r="U105" s="227"/>
      <c r="V105" s="227"/>
      <c r="W105" s="227"/>
      <c r="X105" s="227"/>
      <c r="Y105" s="227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N105" s="129"/>
    </row>
    <row r="106" spans="1:66">
      <c r="A106" s="243"/>
      <c r="B106" s="548"/>
      <c r="C106" s="548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332"/>
      <c r="R106" s="333"/>
      <c r="S106" s="333"/>
      <c r="T106" s="333"/>
      <c r="U106" s="333"/>
      <c r="V106" s="333"/>
      <c r="W106" s="333"/>
      <c r="X106" s="333"/>
      <c r="Y106" s="33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N106" s="129">
        <v>3363.3003004999996</v>
      </c>
    </row>
    <row r="107" spans="1:66">
      <c r="A107" s="243"/>
      <c r="B107" s="248"/>
      <c r="C107" s="248"/>
      <c r="D107" s="241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331"/>
      <c r="R107" s="227"/>
      <c r="S107" s="227"/>
      <c r="T107" s="227"/>
      <c r="U107" s="227"/>
      <c r="V107" s="227"/>
      <c r="W107" s="227"/>
      <c r="X107" s="227"/>
      <c r="Y107" s="227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N107" s="129"/>
    </row>
    <row r="108" spans="1:66" s="182" customFormat="1" ht="32.25" customHeight="1">
      <c r="A108" s="243"/>
      <c r="B108" s="248"/>
      <c r="C108" s="250"/>
      <c r="D108" s="241"/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331" t="s">
        <v>683</v>
      </c>
      <c r="R108" s="473"/>
      <c r="S108" s="473"/>
      <c r="T108" s="473"/>
      <c r="U108" s="473"/>
      <c r="V108" s="473"/>
      <c r="W108" s="473"/>
      <c r="X108" s="473"/>
      <c r="Y108" s="473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  <c r="AV108" s="190"/>
      <c r="AW108" s="190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N108" s="183">
        <v>30</v>
      </c>
    </row>
    <row r="109" spans="1:66" s="182" customFormat="1">
      <c r="A109" s="243"/>
      <c r="B109" s="248"/>
      <c r="C109" s="248"/>
      <c r="D109" s="241"/>
      <c r="E109" s="241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331" t="s">
        <v>683</v>
      </c>
      <c r="R109" s="473"/>
      <c r="S109" s="473"/>
      <c r="T109" s="473"/>
      <c r="U109" s="473"/>
      <c r="V109" s="473"/>
      <c r="W109" s="473"/>
      <c r="X109" s="473"/>
      <c r="Y109" s="473"/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81"/>
      <c r="AY109" s="181"/>
      <c r="AZ109" s="181" t="s">
        <v>224</v>
      </c>
      <c r="BA109" s="181" t="s">
        <v>156</v>
      </c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N109" s="183"/>
    </row>
    <row r="110" spans="1:66">
      <c r="A110" s="243"/>
      <c r="B110" s="248"/>
      <c r="C110" s="248"/>
      <c r="D110" s="241"/>
      <c r="E110" s="241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331"/>
      <c r="R110" s="227"/>
      <c r="S110" s="227"/>
      <c r="T110" s="227"/>
      <c r="U110" s="227"/>
      <c r="V110" s="227"/>
      <c r="W110" s="227"/>
      <c r="X110" s="227"/>
      <c r="Y110" s="227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6">
      <c r="A111" s="243"/>
      <c r="B111" s="248"/>
      <c r="C111" s="248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331"/>
      <c r="R111" s="227"/>
      <c r="S111" s="227"/>
      <c r="T111" s="227"/>
      <c r="U111" s="227"/>
      <c r="V111" s="227"/>
      <c r="W111" s="227"/>
      <c r="X111" s="227"/>
      <c r="Y111" s="227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80">
        <f>+P120+P128+P114+P121+'CF 2017'!P109+'CF 2017'!P110</f>
        <v>1200000000</v>
      </c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N111" s="129"/>
    </row>
    <row r="112" spans="1:66" s="182" customFormat="1">
      <c r="A112" s="243"/>
      <c r="B112" s="251"/>
      <c r="C112" s="461"/>
      <c r="D112" s="241"/>
      <c r="E112" s="241"/>
      <c r="F112" s="241"/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  <c r="Q112" s="331" t="s">
        <v>683</v>
      </c>
      <c r="R112" s="473"/>
      <c r="S112" s="473"/>
      <c r="T112" s="473"/>
      <c r="U112" s="473"/>
      <c r="V112" s="473"/>
      <c r="W112" s="473"/>
      <c r="X112" s="473"/>
      <c r="Y112" s="473"/>
      <c r="Z112" s="190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190"/>
      <c r="AV112" s="190"/>
      <c r="AW112" s="190"/>
      <c r="AX112" s="181"/>
      <c r="AY112" s="181">
        <v>148000000</v>
      </c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N112" s="183"/>
    </row>
    <row r="113" spans="1:66" s="182" customFormat="1">
      <c r="A113" s="243"/>
      <c r="B113" s="251"/>
      <c r="C113" s="461"/>
      <c r="D113" s="241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331" t="s">
        <v>683</v>
      </c>
      <c r="R113" s="473"/>
      <c r="S113" s="473"/>
      <c r="T113" s="473"/>
      <c r="U113" s="473"/>
      <c r="V113" s="473"/>
      <c r="W113" s="473"/>
      <c r="X113" s="473"/>
      <c r="Y113" s="473"/>
      <c r="Z113" s="190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190"/>
      <c r="AV113" s="190"/>
      <c r="AW113" s="190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</row>
    <row r="114" spans="1:66" s="182" customFormat="1">
      <c r="A114" s="243"/>
      <c r="B114" s="251"/>
      <c r="C114" s="461"/>
      <c r="D114" s="241"/>
      <c r="E114" s="241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331" t="s">
        <v>683</v>
      </c>
      <c r="R114" s="473"/>
      <c r="S114" s="473"/>
      <c r="T114" s="473"/>
      <c r="U114" s="473"/>
      <c r="V114" s="473"/>
      <c r="W114" s="473"/>
      <c r="X114" s="473"/>
      <c r="Y114" s="473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190"/>
      <c r="AV114" s="190"/>
      <c r="AW114" s="190"/>
      <c r="AX114" s="180"/>
      <c r="AY114" s="486">
        <v>1500000000</v>
      </c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N114" s="183"/>
    </row>
    <row r="115" spans="1:66" s="182" customFormat="1">
      <c r="A115" s="243"/>
      <c r="B115" s="251"/>
      <c r="C115" s="248"/>
      <c r="D115" s="241"/>
      <c r="E115" s="241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331" t="s">
        <v>683</v>
      </c>
      <c r="R115" s="473"/>
      <c r="S115" s="473"/>
      <c r="T115" s="473"/>
      <c r="U115" s="473"/>
      <c r="V115" s="473"/>
      <c r="W115" s="473"/>
      <c r="X115" s="473"/>
      <c r="Y115" s="473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190"/>
      <c r="AV115" s="190"/>
      <c r="AW115" s="190"/>
      <c r="AX115" s="181"/>
      <c r="AY115" s="181"/>
      <c r="AZ115" s="181"/>
      <c r="BA115" s="181"/>
      <c r="BB115" s="181"/>
      <c r="BC115" s="181"/>
      <c r="BD115" s="181"/>
      <c r="BE115" s="181">
        <v>25000000</v>
      </c>
      <c r="BF115" s="181"/>
      <c r="BG115" s="181"/>
      <c r="BH115" s="181"/>
      <c r="BI115" s="181"/>
      <c r="BJ115" s="181"/>
      <c r="BK115" s="181"/>
      <c r="BL115" s="181"/>
      <c r="BN115" s="183"/>
    </row>
    <row r="116" spans="1:66" s="182" customFormat="1">
      <c r="A116" s="243"/>
      <c r="B116" s="251"/>
      <c r="C116" s="248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331" t="s">
        <v>683</v>
      </c>
      <c r="R116" s="473"/>
      <c r="S116" s="473"/>
      <c r="T116" s="473"/>
      <c r="U116" s="473"/>
      <c r="V116" s="473"/>
      <c r="W116" s="473"/>
      <c r="X116" s="473"/>
      <c r="Y116" s="473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190"/>
      <c r="AV116" s="190"/>
      <c r="AW116" s="190"/>
      <c r="AX116" s="181"/>
      <c r="AY116" s="181"/>
      <c r="AZ116" s="181"/>
      <c r="BA116" s="181"/>
      <c r="BB116" s="181"/>
      <c r="BC116" s="181"/>
      <c r="BD116" s="181"/>
      <c r="BE116" s="181">
        <v>19000000</v>
      </c>
      <c r="BF116" s="181"/>
      <c r="BG116" s="181"/>
      <c r="BH116" s="181"/>
      <c r="BI116" s="181"/>
      <c r="BJ116" s="181"/>
      <c r="BK116" s="181"/>
      <c r="BL116" s="181"/>
      <c r="BN116" s="183"/>
    </row>
    <row r="117" spans="1:66" s="124" customFormat="1">
      <c r="A117" s="243"/>
      <c r="B117" s="251"/>
      <c r="C117" s="461"/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331"/>
      <c r="R117" s="227"/>
      <c r="S117" s="227"/>
      <c r="T117" s="227"/>
      <c r="U117" s="227"/>
      <c r="V117" s="227"/>
      <c r="W117" s="227"/>
      <c r="X117" s="227"/>
      <c r="Y117" s="227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>
        <f>N128+N120</f>
        <v>0</v>
      </c>
      <c r="AQ117" s="163"/>
      <c r="AR117" s="163"/>
      <c r="AS117" s="163"/>
      <c r="AT117" s="163"/>
      <c r="AU117" s="163"/>
      <c r="AV117" s="163"/>
      <c r="AW117" s="163"/>
      <c r="AX117" s="82"/>
      <c r="AY117" s="82">
        <f>SUM(D117:O117)</f>
        <v>0</v>
      </c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N117" s="129">
        <v>250</v>
      </c>
    </row>
    <row r="118" spans="1:66" s="124" customFormat="1">
      <c r="A118" s="243"/>
      <c r="B118" s="251"/>
      <c r="C118" s="46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331"/>
      <c r="R118" s="227"/>
      <c r="S118" s="227"/>
      <c r="T118" s="227"/>
      <c r="U118" s="227"/>
      <c r="V118" s="227"/>
      <c r="W118" s="227"/>
      <c r="X118" s="227"/>
      <c r="Y118" s="227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80">
        <f>+N121+N114+N128+N120</f>
        <v>0</v>
      </c>
      <c r="AY118" s="80"/>
      <c r="AZ118" s="80">
        <f>AY126-650000000</f>
        <v>-650000000</v>
      </c>
      <c r="BA118" s="80"/>
      <c r="BB118" s="80"/>
      <c r="BC118" s="80"/>
      <c r="BD118" s="80"/>
      <c r="BE118" s="80">
        <f>SUM(BE114:BE116)</f>
        <v>44000000</v>
      </c>
      <c r="BF118" s="80"/>
      <c r="BG118" s="80"/>
      <c r="BH118" s="80"/>
      <c r="BI118" s="80"/>
      <c r="BJ118" s="80"/>
      <c r="BK118" s="80"/>
      <c r="BL118" s="80"/>
      <c r="BN118" s="129"/>
    </row>
    <row r="119" spans="1:66" s="124" customFormat="1">
      <c r="A119" s="243"/>
      <c r="B119" s="251"/>
      <c r="C119" s="461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331"/>
      <c r="R119" s="227"/>
      <c r="S119" s="227"/>
      <c r="T119" s="227"/>
      <c r="U119" s="227"/>
      <c r="V119" s="227"/>
      <c r="W119" s="227"/>
      <c r="X119" s="227"/>
      <c r="Y119" s="227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N119" s="129"/>
    </row>
    <row r="120" spans="1:66" s="182" customFormat="1">
      <c r="A120" s="243"/>
      <c r="B120" s="248"/>
      <c r="C120" s="248"/>
      <c r="D120" s="241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331" t="s">
        <v>683</v>
      </c>
      <c r="R120" s="473"/>
      <c r="S120" s="473"/>
      <c r="T120" s="473"/>
      <c r="U120" s="473"/>
      <c r="V120" s="473"/>
      <c r="W120" s="473"/>
      <c r="X120" s="473"/>
      <c r="Y120" s="473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AU120" s="190"/>
      <c r="AV120" s="190"/>
      <c r="AW120" s="190"/>
      <c r="AX120" s="180"/>
      <c r="AY120" s="181">
        <v>400000000</v>
      </c>
      <c r="AZ120" s="181">
        <v>70</v>
      </c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N120" s="183"/>
    </row>
    <row r="121" spans="1:66" s="182" customFormat="1">
      <c r="A121" s="243"/>
      <c r="B121" s="251"/>
      <c r="C121" s="46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331" t="s">
        <v>683</v>
      </c>
      <c r="R121" s="473"/>
      <c r="S121" s="473"/>
      <c r="T121" s="473"/>
      <c r="U121" s="473"/>
      <c r="V121" s="473"/>
      <c r="W121" s="473"/>
      <c r="X121" s="473"/>
      <c r="Y121" s="473"/>
      <c r="Z121" s="190">
        <f>+N121+N114+N128+N120</f>
        <v>0</v>
      </c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>
        <f>SUM(N110:N121)</f>
        <v>0</v>
      </c>
      <c r="AQ121" s="190"/>
      <c r="AR121" s="190"/>
      <c r="AS121" s="190"/>
      <c r="AT121" s="190"/>
      <c r="AU121" s="190"/>
      <c r="AV121" s="190"/>
      <c r="AW121" s="190"/>
      <c r="AX121" s="180"/>
      <c r="AY121" s="486">
        <v>5500000000</v>
      </c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N121" s="183"/>
    </row>
    <row r="122" spans="1:66" s="124" customFormat="1">
      <c r="A122" s="243"/>
      <c r="B122" s="251"/>
      <c r="C122" s="461"/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331"/>
      <c r="R122" s="227"/>
      <c r="S122" s="227"/>
      <c r="T122" s="227"/>
      <c r="U122" s="227"/>
      <c r="V122" s="227"/>
      <c r="W122" s="227"/>
      <c r="X122" s="227"/>
      <c r="Y122" s="227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N122" s="129">
        <v>75</v>
      </c>
    </row>
    <row r="123" spans="1:66" s="124" customFormat="1">
      <c r="A123" s="243"/>
      <c r="B123" s="248"/>
      <c r="C123" s="416"/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331"/>
      <c r="R123" s="227"/>
      <c r="S123" s="227"/>
      <c r="T123" s="227"/>
      <c r="U123" s="227"/>
      <c r="V123" s="227"/>
      <c r="W123" s="227"/>
      <c r="X123" s="227"/>
      <c r="Y123" s="227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125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N123" s="129">
        <v>112.824</v>
      </c>
    </row>
    <row r="124" spans="1:66" s="124" customFormat="1">
      <c r="A124" s="243"/>
      <c r="B124" s="248"/>
      <c r="C124" s="416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331"/>
      <c r="R124" s="227"/>
      <c r="S124" s="227"/>
      <c r="T124" s="227"/>
      <c r="U124" s="227"/>
      <c r="V124" s="227"/>
      <c r="W124" s="227"/>
      <c r="X124" s="227"/>
      <c r="Y124" s="227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N124" s="129">
        <v>120</v>
      </c>
    </row>
    <row r="125" spans="1:66" s="124" customFormat="1">
      <c r="A125" s="243"/>
      <c r="B125" s="248"/>
      <c r="C125" s="416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331"/>
      <c r="R125" s="227"/>
      <c r="S125" s="227"/>
      <c r="T125" s="227"/>
      <c r="U125" s="227"/>
      <c r="V125" s="227"/>
      <c r="W125" s="227"/>
      <c r="X125" s="227"/>
      <c r="Y125" s="227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N125" s="129">
        <v>10.5</v>
      </c>
    </row>
    <row r="126" spans="1:66" s="182" customFormat="1" ht="16.5" customHeight="1">
      <c r="A126" s="243"/>
      <c r="B126" s="251"/>
      <c r="C126" s="461"/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331" t="s">
        <v>683</v>
      </c>
      <c r="R126" s="473"/>
      <c r="S126" s="473"/>
      <c r="T126" s="473"/>
      <c r="U126" s="473"/>
      <c r="V126" s="473"/>
      <c r="W126" s="473"/>
      <c r="X126" s="473"/>
      <c r="Y126" s="473"/>
      <c r="Z126" s="190"/>
      <c r="AA126" s="190"/>
      <c r="AB126" s="190"/>
      <c r="AC126" s="190"/>
      <c r="AD126" s="190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81"/>
      <c r="AY126" s="187">
        <f>SUM(D126:L126)</f>
        <v>0</v>
      </c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N126" s="183"/>
    </row>
    <row r="127" spans="1:66" s="124" customFormat="1">
      <c r="A127" s="243"/>
      <c r="B127" s="251"/>
      <c r="C127" s="461"/>
      <c r="D127" s="241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331"/>
      <c r="R127" s="227"/>
      <c r="S127" s="227"/>
      <c r="T127" s="227"/>
      <c r="U127" s="227"/>
      <c r="V127" s="227"/>
      <c r="W127" s="227"/>
      <c r="X127" s="227"/>
      <c r="Y127" s="227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82"/>
      <c r="AY127" s="82">
        <f>SUM(D127:L127)</f>
        <v>0</v>
      </c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N127" s="129"/>
    </row>
    <row r="128" spans="1:66" s="182" customFormat="1">
      <c r="A128" s="243"/>
      <c r="B128" s="251"/>
      <c r="C128" s="461"/>
      <c r="D128" s="241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331" t="s">
        <v>683</v>
      </c>
      <c r="R128" s="473"/>
      <c r="S128" s="473"/>
      <c r="T128" s="473"/>
      <c r="U128" s="473"/>
      <c r="V128" s="473"/>
      <c r="W128" s="473"/>
      <c r="X128" s="473"/>
      <c r="Y128" s="473"/>
      <c r="Z128" s="190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0"/>
      <c r="AV128" s="190"/>
      <c r="AW128" s="190"/>
      <c r="AX128" s="180"/>
      <c r="AY128" s="486">
        <v>729700000</v>
      </c>
      <c r="AZ128" s="181"/>
      <c r="BA128" s="181"/>
      <c r="BB128" s="181"/>
      <c r="BC128" s="181"/>
      <c r="BD128" s="181"/>
      <c r="BE128" s="181">
        <v>60358267</v>
      </c>
      <c r="BF128" s="181"/>
      <c r="BG128" s="181"/>
      <c r="BH128" s="181"/>
      <c r="BI128" s="181"/>
      <c r="BJ128" s="181"/>
      <c r="BK128" s="181"/>
      <c r="BL128" s="181"/>
      <c r="BN128" s="183">
        <v>466.66666666666669</v>
      </c>
    </row>
    <row r="129" spans="1:66" s="124" customFormat="1">
      <c r="A129" s="243"/>
      <c r="B129" s="251"/>
      <c r="C129" s="461"/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331"/>
      <c r="R129" s="227"/>
      <c r="S129" s="227"/>
      <c r="T129" s="227"/>
      <c r="U129" s="227"/>
      <c r="V129" s="227"/>
      <c r="W129" s="227"/>
      <c r="X129" s="227"/>
      <c r="Y129" s="227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N129" s="129"/>
    </row>
    <row r="130" spans="1:66">
      <c r="A130" s="243"/>
      <c r="B130" s="251"/>
      <c r="C130" s="46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331"/>
      <c r="R130" s="227"/>
      <c r="S130" s="227"/>
      <c r="T130" s="227"/>
      <c r="U130" s="227"/>
      <c r="V130" s="227"/>
      <c r="W130" s="227"/>
      <c r="X130" s="227"/>
      <c r="Y130" s="227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N130" s="129"/>
    </row>
    <row r="131" spans="1:66">
      <c r="A131" s="549"/>
      <c r="B131" s="550"/>
      <c r="C131" s="550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332"/>
      <c r="R131" s="333"/>
      <c r="S131" s="333"/>
      <c r="T131" s="333"/>
      <c r="U131" s="333"/>
      <c r="V131" s="333"/>
      <c r="W131" s="333"/>
      <c r="X131" s="333"/>
      <c r="Y131" s="33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82"/>
      <c r="AY131" s="82">
        <v>729700000</v>
      </c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N131" s="129">
        <f>SUM(BN106:BN125)</f>
        <v>3961.6243004999997</v>
      </c>
    </row>
    <row r="132" spans="1:66">
      <c r="A132" s="243"/>
      <c r="B132" s="247"/>
      <c r="C132" s="248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331"/>
      <c r="R132" s="227"/>
      <c r="S132" s="227"/>
      <c r="T132" s="227"/>
      <c r="U132" s="227"/>
      <c r="V132" s="227"/>
      <c r="W132" s="227"/>
      <c r="X132" s="227"/>
      <c r="Y132" s="227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  <c r="AU132" s="163"/>
      <c r="AV132" s="163"/>
      <c r="AW132" s="163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 spans="1:66">
      <c r="A133" s="551"/>
      <c r="B133" s="552"/>
      <c r="C133" s="552"/>
      <c r="D133" s="257"/>
      <c r="E133" s="257"/>
      <c r="F133" s="257"/>
      <c r="G133" s="257"/>
      <c r="H133" s="257"/>
      <c r="I133" s="257"/>
      <c r="J133" s="257"/>
      <c r="K133" s="257"/>
      <c r="L133" s="257"/>
      <c r="M133" s="257"/>
      <c r="N133" s="257"/>
      <c r="O133" s="257"/>
      <c r="P133" s="257"/>
      <c r="Q133" s="284"/>
      <c r="R133" s="334"/>
      <c r="S133" s="334"/>
      <c r="T133" s="334"/>
      <c r="U133" s="334"/>
      <c r="V133" s="334"/>
      <c r="W133" s="334"/>
      <c r="X133" s="334"/>
      <c r="Y133" s="334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22"/>
      <c r="AY133" s="83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>
        <f>+BM29-BM131</f>
        <v>0</v>
      </c>
      <c r="BN133" s="76">
        <f>+BN29-BN131</f>
        <v>-3961.6243004999997</v>
      </c>
    </row>
    <row r="134" spans="1:66">
      <c r="A134" s="279"/>
      <c r="B134" s="279"/>
      <c r="C134" s="279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33"/>
      <c r="R134" s="333"/>
      <c r="S134" s="333"/>
      <c r="T134" s="333"/>
      <c r="U134" s="333"/>
      <c r="V134" s="333"/>
      <c r="W134" s="333"/>
      <c r="X134" s="333"/>
      <c r="Y134" s="33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</row>
    <row r="135" spans="1:66">
      <c r="A135" s="279"/>
      <c r="B135" s="279"/>
      <c r="C135" s="279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>
        <v>158455851.49250793</v>
      </c>
      <c r="Q135" s="333"/>
      <c r="R135" s="333"/>
      <c r="S135" s="333"/>
      <c r="T135" s="333"/>
      <c r="U135" s="333"/>
      <c r="V135" s="333"/>
      <c r="W135" s="333"/>
      <c r="X135" s="333"/>
      <c r="Y135" s="33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</row>
    <row r="136" spans="1:66">
      <c r="A136" s="279"/>
      <c r="B136" s="279"/>
      <c r="C136" s="279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33"/>
      <c r="R136" s="333"/>
      <c r="S136" s="333"/>
      <c r="T136" s="333"/>
      <c r="U136" s="333"/>
      <c r="V136" s="333"/>
      <c r="W136" s="333"/>
      <c r="X136" s="333"/>
      <c r="Y136" s="33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</row>
    <row r="137" spans="1:66">
      <c r="A137" s="279"/>
      <c r="B137" s="279"/>
      <c r="C137" s="279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33"/>
      <c r="R137" s="333"/>
      <c r="S137" s="333"/>
      <c r="T137" s="333"/>
      <c r="U137" s="333"/>
      <c r="V137" s="333"/>
      <c r="W137" s="333"/>
      <c r="X137" s="333"/>
      <c r="Y137" s="33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</row>
    <row r="138" spans="1:66">
      <c r="A138" s="279"/>
      <c r="B138" s="279"/>
      <c r="C138" s="279" t="s">
        <v>556</v>
      </c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33"/>
      <c r="R138" s="333"/>
      <c r="S138" s="333"/>
      <c r="T138" s="333"/>
      <c r="U138" s="333"/>
      <c r="V138" s="333"/>
      <c r="W138" s="333"/>
      <c r="X138" s="333"/>
      <c r="Y138" s="33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</row>
    <row r="139" spans="1:66">
      <c r="A139" s="279"/>
      <c r="B139" s="279"/>
      <c r="C139" s="279" t="s">
        <v>557</v>
      </c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33"/>
      <c r="R139" s="333"/>
      <c r="S139" s="333"/>
      <c r="T139" s="333"/>
      <c r="U139" s="333"/>
      <c r="V139" s="333"/>
      <c r="W139" s="333"/>
      <c r="X139" s="333"/>
      <c r="Y139" s="33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</row>
    <row r="140" spans="1:66">
      <c r="A140" s="279"/>
      <c r="B140" s="279"/>
      <c r="C140" s="279" t="s">
        <v>558</v>
      </c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33"/>
      <c r="R140" s="333"/>
      <c r="S140" s="333"/>
      <c r="T140" s="333"/>
      <c r="U140" s="333"/>
      <c r="V140" s="333"/>
      <c r="W140" s="333"/>
      <c r="X140" s="333"/>
      <c r="Y140" s="33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</row>
    <row r="141" spans="1:66">
      <c r="A141" s="279"/>
      <c r="B141" s="279"/>
      <c r="C141" s="279" t="s">
        <v>559</v>
      </c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33"/>
      <c r="R141" s="333"/>
      <c r="S141" s="333"/>
      <c r="T141" s="333"/>
      <c r="U141" s="333"/>
      <c r="V141" s="333"/>
      <c r="W141" s="333"/>
      <c r="X141" s="333"/>
      <c r="Y141" s="33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</row>
    <row r="142" spans="1:66">
      <c r="A142" s="279"/>
      <c r="B142" s="279"/>
      <c r="C142" s="279" t="s">
        <v>560</v>
      </c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33"/>
      <c r="R142" s="333"/>
      <c r="S142" s="333"/>
      <c r="T142" s="333"/>
      <c r="U142" s="333"/>
      <c r="V142" s="333"/>
      <c r="W142" s="333"/>
      <c r="X142" s="333"/>
      <c r="Y142" s="33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</row>
    <row r="143" spans="1:66">
      <c r="A143" s="279"/>
      <c r="B143" s="279"/>
      <c r="C143" s="279" t="s">
        <v>561</v>
      </c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33"/>
      <c r="R143" s="333"/>
      <c r="S143" s="333"/>
      <c r="T143" s="333"/>
      <c r="U143" s="333"/>
      <c r="V143" s="333"/>
      <c r="W143" s="333"/>
      <c r="X143" s="333"/>
      <c r="Y143" s="33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</row>
    <row r="144" spans="1:66">
      <c r="A144" s="279"/>
      <c r="B144" s="279"/>
      <c r="C144" s="279" t="s">
        <v>562</v>
      </c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33"/>
      <c r="R144" s="333"/>
      <c r="S144" s="333"/>
      <c r="T144" s="333"/>
      <c r="U144" s="333"/>
      <c r="V144" s="333"/>
      <c r="W144" s="333"/>
      <c r="X144" s="333"/>
      <c r="Y144" s="33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</row>
    <row r="145" spans="1:66">
      <c r="A145" s="279"/>
      <c r="B145" s="279"/>
      <c r="C145" s="279" t="s">
        <v>563</v>
      </c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33"/>
      <c r="R145" s="333"/>
      <c r="S145" s="333"/>
      <c r="T145" s="333"/>
      <c r="U145" s="333"/>
      <c r="V145" s="333"/>
      <c r="W145" s="333"/>
      <c r="X145" s="333"/>
      <c r="Y145" s="33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</row>
    <row r="146" spans="1:66">
      <c r="A146" s="279"/>
      <c r="B146" s="279"/>
      <c r="C146" s="279" t="s">
        <v>564</v>
      </c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33"/>
      <c r="R146" s="333"/>
      <c r="S146" s="333"/>
      <c r="T146" s="333"/>
      <c r="U146" s="333"/>
      <c r="V146" s="333"/>
      <c r="W146" s="333"/>
      <c r="X146" s="333"/>
      <c r="Y146" s="33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</row>
    <row r="147" spans="1:66">
      <c r="A147" s="279"/>
      <c r="B147" s="279"/>
      <c r="C147" s="279" t="s">
        <v>565</v>
      </c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33"/>
      <c r="R147" s="333"/>
      <c r="S147" s="333"/>
      <c r="T147" s="333"/>
      <c r="U147" s="333"/>
      <c r="V147" s="333"/>
      <c r="W147" s="333"/>
      <c r="X147" s="333"/>
      <c r="Y147" s="33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</row>
    <row r="148" spans="1:66">
      <c r="A148" s="279"/>
      <c r="B148" s="279"/>
      <c r="C148" s="279" t="s">
        <v>566</v>
      </c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33"/>
      <c r="R148" s="333"/>
      <c r="S148" s="333"/>
      <c r="T148" s="333"/>
      <c r="U148" s="333"/>
      <c r="V148" s="333"/>
      <c r="W148" s="333"/>
      <c r="X148" s="333"/>
      <c r="Y148" s="33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</row>
    <row r="149" spans="1:66">
      <c r="A149" s="279"/>
      <c r="B149" s="279"/>
      <c r="C149" s="279" t="s">
        <v>567</v>
      </c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33"/>
      <c r="R149" s="333"/>
      <c r="S149" s="333"/>
      <c r="T149" s="333"/>
      <c r="U149" s="333"/>
      <c r="V149" s="333"/>
      <c r="W149" s="333"/>
      <c r="X149" s="333"/>
      <c r="Y149" s="33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</row>
    <row r="150" spans="1:66">
      <c r="A150" s="279"/>
      <c r="B150" s="279"/>
      <c r="C150" s="279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33"/>
      <c r="R150" s="333"/>
      <c r="S150" s="333"/>
      <c r="T150" s="333"/>
      <c r="U150" s="333"/>
      <c r="V150" s="333"/>
      <c r="W150" s="333"/>
      <c r="X150" s="333"/>
      <c r="Y150" s="33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</row>
    <row r="151" spans="1:66">
      <c r="A151" s="279"/>
      <c r="B151" s="279"/>
      <c r="C151" s="279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33"/>
      <c r="R151" s="333"/>
      <c r="S151" s="333"/>
      <c r="T151" s="333"/>
      <c r="U151" s="333"/>
      <c r="V151" s="333"/>
      <c r="W151" s="333"/>
      <c r="X151" s="333"/>
      <c r="Y151" s="33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</row>
    <row r="152" spans="1:66">
      <c r="A152" s="279"/>
      <c r="B152" s="279"/>
      <c r="C152" s="279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33"/>
      <c r="R152" s="333"/>
      <c r="S152" s="333"/>
      <c r="T152" s="333"/>
      <c r="U152" s="333"/>
      <c r="V152" s="333"/>
      <c r="W152" s="333"/>
      <c r="X152" s="333"/>
      <c r="Y152" s="33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</row>
    <row r="153" spans="1:66">
      <c r="A153" s="279"/>
      <c r="B153" s="279"/>
      <c r="C153" s="279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33"/>
      <c r="R153" s="333"/>
      <c r="S153" s="333"/>
      <c r="T153" s="333"/>
      <c r="U153" s="333"/>
      <c r="V153" s="333"/>
      <c r="W153" s="333"/>
      <c r="X153" s="333"/>
      <c r="Y153" s="33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</row>
    <row r="154" spans="1:66">
      <c r="A154" s="279"/>
      <c r="B154" s="279"/>
      <c r="C154" s="279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33"/>
      <c r="R154" s="333"/>
      <c r="S154" s="333"/>
      <c r="T154" s="333"/>
      <c r="U154" s="333"/>
      <c r="V154" s="333"/>
      <c r="W154" s="333"/>
      <c r="X154" s="333"/>
      <c r="Y154" s="33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</row>
    <row r="155" spans="1:66">
      <c r="A155" s="279"/>
      <c r="B155" s="279"/>
      <c r="C155" s="279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33"/>
      <c r="R155" s="333"/>
      <c r="S155" s="333"/>
      <c r="T155" s="333"/>
      <c r="U155" s="333"/>
      <c r="V155" s="333"/>
      <c r="W155" s="333"/>
      <c r="X155" s="333"/>
      <c r="Y155" s="33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</row>
    <row r="156" spans="1:66">
      <c r="A156" s="279"/>
      <c r="B156" s="279"/>
      <c r="C156" s="279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33"/>
      <c r="R156" s="333"/>
      <c r="S156" s="333"/>
      <c r="T156" s="333"/>
      <c r="U156" s="333"/>
      <c r="V156" s="333"/>
      <c r="W156" s="333"/>
      <c r="X156" s="333"/>
      <c r="Y156" s="33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</row>
    <row r="157" spans="1:66">
      <c r="A157" s="279"/>
      <c r="B157" s="279"/>
      <c r="C157" s="279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33"/>
      <c r="R157" s="333"/>
      <c r="S157" s="333"/>
      <c r="T157" s="333"/>
      <c r="U157" s="333"/>
      <c r="V157" s="333"/>
      <c r="W157" s="333"/>
      <c r="X157" s="333"/>
      <c r="Y157" s="33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</row>
    <row r="158" spans="1:66">
      <c r="A158" s="279"/>
      <c r="B158" s="279"/>
      <c r="C158" s="279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33"/>
      <c r="R158" s="333"/>
      <c r="S158" s="333"/>
      <c r="T158" s="333"/>
      <c r="U158" s="333"/>
      <c r="V158" s="333"/>
      <c r="W158" s="333"/>
      <c r="X158" s="333"/>
      <c r="Y158" s="33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</row>
    <row r="159" spans="1:66">
      <c r="A159" s="279"/>
      <c r="B159" s="279"/>
      <c r="C159" s="279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33"/>
      <c r="R159" s="333"/>
      <c r="S159" s="333"/>
      <c r="T159" s="333"/>
      <c r="U159" s="333"/>
      <c r="V159" s="333"/>
      <c r="W159" s="333"/>
      <c r="X159" s="333"/>
      <c r="Y159" s="33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</row>
    <row r="160" spans="1:66">
      <c r="A160" s="279"/>
      <c r="B160" s="279"/>
      <c r="C160" s="279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33"/>
      <c r="R160" s="333"/>
      <c r="S160" s="333"/>
      <c r="T160" s="333"/>
      <c r="U160" s="333"/>
      <c r="V160" s="333"/>
      <c r="W160" s="333"/>
      <c r="X160" s="333"/>
      <c r="Y160" s="33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</row>
    <row r="161" spans="1:66">
      <c r="A161" s="279"/>
      <c r="B161" s="279"/>
      <c r="C161" s="279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33"/>
      <c r="R161" s="333"/>
      <c r="S161" s="333"/>
      <c r="T161" s="333"/>
      <c r="U161" s="333"/>
      <c r="V161" s="333"/>
      <c r="W161" s="333"/>
      <c r="X161" s="333"/>
      <c r="Y161" s="33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</row>
    <row r="162" spans="1:66">
      <c r="A162" s="279"/>
      <c r="B162" s="279"/>
      <c r="C162" s="279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33"/>
      <c r="R162" s="333"/>
      <c r="S162" s="333"/>
      <c r="T162" s="333"/>
      <c r="U162" s="333"/>
      <c r="V162" s="333"/>
      <c r="W162" s="333"/>
      <c r="X162" s="333"/>
      <c r="Y162" s="33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</row>
    <row r="163" spans="1:66">
      <c r="A163" s="279"/>
      <c r="B163" s="279"/>
      <c r="C163" s="279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33"/>
      <c r="R163" s="333"/>
      <c r="S163" s="333"/>
      <c r="T163" s="333"/>
      <c r="U163" s="333"/>
      <c r="V163" s="333"/>
      <c r="W163" s="333"/>
      <c r="X163" s="333"/>
      <c r="Y163" s="33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</row>
    <row r="164" spans="1:66">
      <c r="A164" s="279"/>
      <c r="B164" s="279"/>
      <c r="C164" s="279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33"/>
      <c r="R164" s="333"/>
      <c r="S164" s="333"/>
      <c r="T164" s="333"/>
      <c r="U164" s="333"/>
      <c r="V164" s="333"/>
      <c r="W164" s="333"/>
      <c r="X164" s="333"/>
      <c r="Y164" s="33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</row>
    <row r="165" spans="1:66">
      <c r="A165" s="279"/>
      <c r="B165" s="279"/>
      <c r="C165" s="279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33"/>
      <c r="R165" s="333"/>
      <c r="S165" s="333"/>
      <c r="T165" s="333"/>
      <c r="U165" s="333"/>
      <c r="V165" s="333"/>
      <c r="W165" s="333"/>
      <c r="X165" s="333"/>
      <c r="Y165" s="33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</row>
    <row r="166" spans="1:66">
      <c r="A166" s="279"/>
      <c r="B166" s="279"/>
      <c r="C166" s="279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33"/>
      <c r="R166" s="333"/>
      <c r="S166" s="333"/>
      <c r="T166" s="333"/>
      <c r="U166" s="333"/>
      <c r="V166" s="333"/>
      <c r="W166" s="333"/>
      <c r="X166" s="333"/>
      <c r="Y166" s="33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</row>
    <row r="167" spans="1:66">
      <c r="A167" s="279"/>
      <c r="B167" s="279"/>
      <c r="C167" s="279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33"/>
      <c r="R167" s="333"/>
      <c r="S167" s="333"/>
      <c r="T167" s="333"/>
      <c r="U167" s="333"/>
      <c r="V167" s="333"/>
      <c r="W167" s="333"/>
      <c r="X167" s="333"/>
      <c r="Y167" s="33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</row>
    <row r="168" spans="1:66">
      <c r="A168" s="279"/>
      <c r="B168" s="279"/>
      <c r="C168" s="279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33"/>
      <c r="R168" s="333"/>
      <c r="S168" s="333"/>
      <c r="T168" s="333"/>
      <c r="U168" s="333"/>
      <c r="V168" s="333"/>
      <c r="W168" s="333"/>
      <c r="X168" s="333"/>
      <c r="Y168" s="33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</row>
    <row r="169" spans="1:66">
      <c r="A169" s="279"/>
      <c r="B169" s="279" t="s">
        <v>340</v>
      </c>
      <c r="C169" s="279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>
        <v>232455851.49250793</v>
      </c>
      <c r="Q169" s="333"/>
      <c r="R169" s="333"/>
      <c r="S169" s="333"/>
      <c r="T169" s="333"/>
      <c r="U169" s="333"/>
      <c r="V169" s="333"/>
      <c r="W169" s="333"/>
      <c r="X169" s="333"/>
      <c r="Y169" s="33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</row>
    <row r="170" spans="1:66">
      <c r="A170" s="279"/>
      <c r="B170" s="279" t="s">
        <v>342</v>
      </c>
      <c r="C170" s="262" t="s">
        <v>341</v>
      </c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/>
      <c r="Q170" s="333"/>
      <c r="R170" s="333"/>
      <c r="S170" s="333"/>
      <c r="T170" s="333"/>
      <c r="U170" s="333"/>
      <c r="V170" s="333"/>
      <c r="W170" s="333"/>
      <c r="X170" s="333"/>
      <c r="Y170" s="33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</row>
    <row r="171" spans="1:66">
      <c r="A171" s="279"/>
      <c r="B171" s="279" t="s">
        <v>342</v>
      </c>
      <c r="C171" s="280" t="s">
        <v>339</v>
      </c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33"/>
      <c r="R171" s="333"/>
      <c r="S171" s="333"/>
      <c r="T171" s="333"/>
      <c r="U171" s="333"/>
      <c r="V171" s="333"/>
      <c r="W171" s="333"/>
      <c r="X171" s="333"/>
      <c r="Y171" s="333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</row>
    <row r="172" spans="1:66">
      <c r="A172" s="279"/>
      <c r="B172" s="279" t="s">
        <v>342</v>
      </c>
      <c r="C172" s="280" t="s">
        <v>383</v>
      </c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33"/>
      <c r="R172" s="333"/>
      <c r="S172" s="333"/>
      <c r="T172" s="333"/>
      <c r="U172" s="333"/>
      <c r="V172" s="333"/>
      <c r="W172" s="333"/>
      <c r="X172" s="333"/>
      <c r="Y172" s="333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</row>
    <row r="173" spans="1:66">
      <c r="A173" s="279"/>
      <c r="B173" s="279" t="s">
        <v>342</v>
      </c>
      <c r="C173" s="280" t="s">
        <v>382</v>
      </c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33"/>
      <c r="R173" s="333"/>
      <c r="S173" s="333"/>
      <c r="T173" s="333"/>
      <c r="U173" s="333"/>
      <c r="V173" s="333"/>
      <c r="W173" s="333"/>
      <c r="X173" s="333"/>
      <c r="Y173" s="33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</row>
    <row r="174" spans="1:66">
      <c r="A174" s="279"/>
      <c r="B174" s="279"/>
      <c r="C174" s="279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33"/>
      <c r="R174" s="333"/>
      <c r="S174" s="333"/>
      <c r="T174" s="333"/>
      <c r="U174" s="333"/>
      <c r="V174" s="333"/>
      <c r="W174" s="333"/>
      <c r="X174" s="333"/>
      <c r="Y174" s="33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</row>
    <row r="175" spans="1:66">
      <c r="A175" s="279"/>
      <c r="B175" s="279"/>
      <c r="C175" s="279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33"/>
      <c r="R175" s="333"/>
      <c r="S175" s="333"/>
      <c r="T175" s="333"/>
      <c r="U175" s="333"/>
      <c r="V175" s="333"/>
      <c r="W175" s="333"/>
      <c r="X175" s="333"/>
      <c r="Y175" s="33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</row>
    <row r="176" spans="1:66">
      <c r="A176" s="279"/>
      <c r="B176" s="279"/>
      <c r="C176" s="279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33"/>
      <c r="R176" s="333"/>
      <c r="S176" s="333"/>
      <c r="T176" s="333"/>
      <c r="U176" s="333"/>
      <c r="V176" s="333"/>
      <c r="W176" s="333"/>
      <c r="X176" s="333"/>
      <c r="Y176" s="33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</row>
    <row r="177" spans="1:66">
      <c r="A177" s="279"/>
      <c r="B177" s="279"/>
      <c r="C177" s="279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33"/>
      <c r="R177" s="333"/>
      <c r="S177" s="333"/>
      <c r="T177" s="333"/>
      <c r="U177" s="333"/>
      <c r="V177" s="333"/>
      <c r="W177" s="333"/>
      <c r="X177" s="333"/>
      <c r="Y177" s="33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</row>
    <row r="178" spans="1:66">
      <c r="A178" s="279"/>
      <c r="B178" s="279"/>
      <c r="C178" s="279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33"/>
      <c r="R178" s="333"/>
      <c r="S178" s="333"/>
      <c r="T178" s="333"/>
      <c r="U178" s="333"/>
      <c r="V178" s="333"/>
      <c r="W178" s="333"/>
      <c r="X178" s="333"/>
      <c r="Y178" s="33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</row>
    <row r="179" spans="1:66">
      <c r="A179" s="279"/>
      <c r="B179" s="279"/>
      <c r="C179" s="279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33"/>
      <c r="R179" s="333"/>
      <c r="S179" s="333"/>
      <c r="T179" s="333"/>
      <c r="U179" s="333"/>
      <c r="V179" s="333"/>
      <c r="W179" s="333"/>
      <c r="X179" s="333"/>
      <c r="Y179" s="33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</row>
    <row r="180" spans="1:66">
      <c r="A180" s="279"/>
      <c r="B180" s="279"/>
      <c r="C180" s="279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33"/>
      <c r="R180" s="333"/>
      <c r="S180" s="333"/>
      <c r="T180" s="333"/>
      <c r="U180" s="333"/>
      <c r="V180" s="333"/>
      <c r="W180" s="333"/>
      <c r="X180" s="333"/>
      <c r="Y180" s="33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</row>
    <row r="181" spans="1:66">
      <c r="A181" s="279"/>
      <c r="B181" s="279"/>
      <c r="C181" s="279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33"/>
      <c r="R181" s="333"/>
      <c r="S181" s="333"/>
      <c r="T181" s="333"/>
      <c r="U181" s="333"/>
      <c r="V181" s="333"/>
      <c r="W181" s="333"/>
      <c r="X181" s="333"/>
      <c r="Y181" s="33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</row>
    <row r="182" spans="1:66">
      <c r="A182" s="279"/>
      <c r="B182" s="279"/>
      <c r="C182" s="279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33"/>
      <c r="R182" s="333"/>
      <c r="S182" s="333"/>
      <c r="T182" s="333"/>
      <c r="U182" s="333"/>
      <c r="V182" s="333"/>
      <c r="W182" s="333"/>
      <c r="X182" s="333"/>
      <c r="Y182" s="33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</row>
    <row r="183" spans="1:66">
      <c r="A183" s="279"/>
      <c r="B183" s="279"/>
      <c r="C183" s="279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33"/>
      <c r="R183" s="333"/>
      <c r="S183" s="333"/>
      <c r="T183" s="333"/>
      <c r="U183" s="333"/>
      <c r="V183" s="333"/>
      <c r="W183" s="333"/>
      <c r="X183" s="333"/>
      <c r="Y183" s="33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</row>
    <row r="184" spans="1:66">
      <c r="A184" s="279"/>
      <c r="B184" s="279"/>
      <c r="C184" s="279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33"/>
      <c r="R184" s="333"/>
      <c r="S184" s="333"/>
      <c r="T184" s="333"/>
      <c r="U184" s="333"/>
      <c r="V184" s="333"/>
      <c r="W184" s="333"/>
      <c r="X184" s="333"/>
      <c r="Y184" s="33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</row>
    <row r="185" spans="1:66">
      <c r="A185" s="279"/>
      <c r="B185" s="279"/>
      <c r="C185" s="279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33"/>
      <c r="R185" s="333"/>
      <c r="S185" s="333"/>
      <c r="T185" s="333"/>
      <c r="U185" s="333"/>
      <c r="V185" s="333"/>
      <c r="W185" s="333"/>
      <c r="X185" s="333"/>
      <c r="Y185" s="33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</row>
    <row r="186" spans="1:66">
      <c r="A186" s="279"/>
      <c r="B186" s="279"/>
      <c r="C186" s="279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33"/>
      <c r="R186" s="333"/>
      <c r="S186" s="333"/>
      <c r="T186" s="333"/>
      <c r="U186" s="333"/>
      <c r="V186" s="333"/>
      <c r="W186" s="333"/>
      <c r="X186" s="333"/>
      <c r="Y186" s="33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</row>
    <row r="187" spans="1:66">
      <c r="A187" s="279"/>
      <c r="B187" s="279"/>
      <c r="C187" s="279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33"/>
      <c r="R187" s="333"/>
      <c r="S187" s="333"/>
      <c r="T187" s="333"/>
      <c r="U187" s="333"/>
      <c r="V187" s="333"/>
      <c r="W187" s="333"/>
      <c r="X187" s="333"/>
      <c r="Y187" s="33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</row>
    <row r="188" spans="1:66">
      <c r="A188" s="279"/>
      <c r="B188" s="279"/>
      <c r="C188" s="279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33"/>
      <c r="R188" s="333"/>
      <c r="S188" s="333"/>
      <c r="T188" s="333"/>
      <c r="U188" s="333"/>
      <c r="V188" s="333"/>
      <c r="W188" s="333"/>
      <c r="X188" s="333"/>
      <c r="Y188" s="33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</row>
    <row r="189" spans="1:66">
      <c r="A189" s="279"/>
      <c r="B189" s="279"/>
      <c r="C189" s="279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33"/>
      <c r="R189" s="333"/>
      <c r="S189" s="333"/>
      <c r="T189" s="333"/>
      <c r="U189" s="333"/>
      <c r="V189" s="333"/>
      <c r="W189" s="333"/>
      <c r="X189" s="333"/>
      <c r="Y189" s="33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</row>
    <row r="190" spans="1:66">
      <c r="A190" s="279"/>
      <c r="B190" s="279"/>
      <c r="C190" s="279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33"/>
      <c r="R190" s="333"/>
      <c r="S190" s="333"/>
      <c r="T190" s="333"/>
      <c r="U190" s="333"/>
      <c r="V190" s="333"/>
      <c r="W190" s="333"/>
      <c r="X190" s="333"/>
      <c r="Y190" s="33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</row>
    <row r="191" spans="1:66">
      <c r="A191" s="279"/>
      <c r="B191" s="279"/>
      <c r="C191" s="279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33"/>
      <c r="R191" s="333"/>
      <c r="S191" s="333"/>
      <c r="T191" s="333"/>
      <c r="U191" s="333"/>
      <c r="V191" s="333"/>
      <c r="W191" s="333"/>
      <c r="X191" s="333"/>
      <c r="Y191" s="33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</row>
    <row r="192" spans="1:66">
      <c r="A192" s="279"/>
      <c r="B192" s="279"/>
      <c r="C192" s="279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33"/>
      <c r="R192" s="333"/>
      <c r="S192" s="333"/>
      <c r="T192" s="333"/>
      <c r="U192" s="333"/>
      <c r="V192" s="333"/>
      <c r="W192" s="333"/>
      <c r="X192" s="333"/>
      <c r="Y192" s="33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</row>
    <row r="193" spans="1:66">
      <c r="A193" s="279"/>
      <c r="B193" s="279"/>
      <c r="C193" s="279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33"/>
      <c r="R193" s="333"/>
      <c r="S193" s="333"/>
      <c r="T193" s="333"/>
      <c r="U193" s="333"/>
      <c r="V193" s="333"/>
      <c r="W193" s="333"/>
      <c r="X193" s="333"/>
      <c r="Y193" s="33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</row>
    <row r="194" spans="1:66">
      <c r="A194" s="279"/>
      <c r="B194" s="279"/>
      <c r="C194" s="279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33"/>
      <c r="R194" s="333"/>
      <c r="S194" s="333"/>
      <c r="T194" s="333"/>
      <c r="U194" s="333"/>
      <c r="V194" s="333"/>
      <c r="W194" s="333"/>
      <c r="X194" s="333"/>
      <c r="Y194" s="33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</row>
    <row r="195" spans="1:66">
      <c r="A195" s="279"/>
      <c r="B195" s="279"/>
      <c r="C195" s="279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33"/>
      <c r="R195" s="333"/>
      <c r="S195" s="333"/>
      <c r="T195" s="333"/>
      <c r="U195" s="333"/>
      <c r="V195" s="333"/>
      <c r="W195" s="333"/>
      <c r="X195" s="333"/>
      <c r="Y195" s="33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</row>
    <row r="196" spans="1:66">
      <c r="A196" s="279"/>
      <c r="B196" s="279"/>
      <c r="C196" s="279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33"/>
      <c r="R196" s="333"/>
      <c r="S196" s="333"/>
      <c r="T196" s="333"/>
      <c r="U196" s="333"/>
      <c r="V196" s="333"/>
      <c r="W196" s="333"/>
      <c r="X196" s="333"/>
      <c r="Y196" s="33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</row>
    <row r="197" spans="1:66">
      <c r="A197" s="279"/>
      <c r="B197" s="279"/>
      <c r="C197" s="279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33"/>
      <c r="R197" s="333"/>
      <c r="S197" s="333"/>
      <c r="T197" s="333"/>
      <c r="U197" s="333"/>
      <c r="V197" s="333"/>
      <c r="W197" s="333"/>
      <c r="X197" s="333"/>
      <c r="Y197" s="33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</row>
    <row r="198" spans="1:66">
      <c r="A198" s="279"/>
      <c r="B198" s="279"/>
      <c r="C198" s="279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33"/>
      <c r="R198" s="333"/>
      <c r="S198" s="333"/>
      <c r="T198" s="333"/>
      <c r="U198" s="333"/>
      <c r="V198" s="333"/>
      <c r="W198" s="333"/>
      <c r="X198" s="333"/>
      <c r="Y198" s="33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</row>
    <row r="199" spans="1:66">
      <c r="A199" s="279"/>
      <c r="B199" s="279"/>
      <c r="C199" s="279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33"/>
      <c r="R199" s="333"/>
      <c r="S199" s="333"/>
      <c r="T199" s="333"/>
      <c r="U199" s="333"/>
      <c r="V199" s="333"/>
      <c r="W199" s="333"/>
      <c r="X199" s="333"/>
      <c r="Y199" s="33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</row>
    <row r="200" spans="1:66">
      <c r="A200" s="279"/>
      <c r="B200" s="279"/>
      <c r="C200" s="279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33"/>
      <c r="R200" s="333"/>
      <c r="S200" s="333"/>
      <c r="T200" s="333"/>
      <c r="U200" s="333"/>
      <c r="V200" s="333"/>
      <c r="W200" s="333"/>
      <c r="X200" s="333"/>
      <c r="Y200" s="33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</row>
    <row r="201" spans="1:66">
      <c r="A201" s="279"/>
      <c r="B201" s="279"/>
      <c r="C201" s="279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33"/>
      <c r="R201" s="333"/>
      <c r="S201" s="333"/>
      <c r="T201" s="333"/>
      <c r="U201" s="333"/>
      <c r="V201" s="333"/>
      <c r="W201" s="333"/>
      <c r="X201" s="333"/>
      <c r="Y201" s="33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</row>
    <row r="202" spans="1:66">
      <c r="A202" s="279"/>
      <c r="B202" s="279"/>
      <c r="C202" s="279"/>
      <c r="D202" s="324">
        <f>D29-D106</f>
        <v>6195114845.4807243</v>
      </c>
      <c r="E202" s="324">
        <f t="shared" ref="E202:O202" si="10">E29-E106</f>
        <v>2088697777.9400001</v>
      </c>
      <c r="F202" s="324">
        <f t="shared" si="10"/>
        <v>4161609191.0500002</v>
      </c>
      <c r="G202" s="324">
        <f t="shared" si="10"/>
        <v>4211152989.23</v>
      </c>
      <c r="H202" s="324">
        <f t="shared" si="10"/>
        <v>4469743405.6800003</v>
      </c>
      <c r="I202" s="324">
        <f t="shared" si="10"/>
        <v>4336099888</v>
      </c>
      <c r="J202" s="324">
        <f t="shared" si="10"/>
        <v>4582318450</v>
      </c>
      <c r="K202" s="324">
        <f t="shared" si="10"/>
        <v>4145949963.0595999</v>
      </c>
      <c r="L202" s="324">
        <f t="shared" si="10"/>
        <v>5295982844.7790127</v>
      </c>
      <c r="M202" s="324">
        <f t="shared" si="10"/>
        <v>7355095029.5968161</v>
      </c>
      <c r="N202" s="324">
        <f t="shared" si="10"/>
        <v>8404102137.8427362</v>
      </c>
      <c r="O202" s="324">
        <f t="shared" si="10"/>
        <v>4430600438.3736086</v>
      </c>
      <c r="P202" s="324"/>
      <c r="Q202" s="333"/>
      <c r="R202" s="333"/>
      <c r="S202" s="333"/>
      <c r="T202" s="333"/>
      <c r="U202" s="333"/>
      <c r="V202" s="333"/>
      <c r="W202" s="333"/>
      <c r="X202" s="333"/>
      <c r="Y202" s="33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</row>
    <row r="203" spans="1:66">
      <c r="A203" s="279"/>
      <c r="B203" s="279"/>
      <c r="C203" s="279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33"/>
      <c r="R203" s="333"/>
      <c r="S203" s="333"/>
      <c r="T203" s="333"/>
      <c r="U203" s="333"/>
      <c r="V203" s="333"/>
      <c r="W203" s="333"/>
      <c r="X203" s="333"/>
      <c r="Y203" s="33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</row>
    <row r="204" spans="1:66">
      <c r="A204" s="279"/>
      <c r="B204" s="279"/>
      <c r="C204" s="279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33"/>
      <c r="R204" s="333"/>
      <c r="S204" s="333"/>
      <c r="T204" s="333"/>
      <c r="U204" s="333"/>
      <c r="V204" s="333"/>
      <c r="W204" s="333"/>
      <c r="X204" s="333"/>
      <c r="Y204" s="33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</row>
    <row r="205" spans="1:66">
      <c r="K205" s="283" t="s">
        <v>126</v>
      </c>
    </row>
    <row r="206" spans="1:66">
      <c r="K206" s="283" t="s">
        <v>129</v>
      </c>
      <c r="L206" s="283" t="s">
        <v>142</v>
      </c>
      <c r="M206" s="283" t="s">
        <v>131</v>
      </c>
      <c r="N206" s="283" t="s">
        <v>132</v>
      </c>
      <c r="O206" s="283" t="s">
        <v>133</v>
      </c>
    </row>
    <row r="209" spans="8:15">
      <c r="H209" s="283" t="s">
        <v>13</v>
      </c>
      <c r="K209" s="283">
        <v>1117617929.4244001</v>
      </c>
      <c r="L209" s="283">
        <v>1117841453.0102849</v>
      </c>
      <c r="M209" s="283">
        <v>1129019867.5403876</v>
      </c>
      <c r="N209" s="283">
        <v>1140310066.2157915</v>
      </c>
      <c r="O209" s="283">
        <v>1140310066.2157915</v>
      </c>
    </row>
    <row r="210" spans="8:15">
      <c r="H210" s="283" t="s">
        <v>14</v>
      </c>
      <c r="K210" s="283">
        <v>305728561.52759999</v>
      </c>
      <c r="L210" s="283">
        <v>305789707.23990554</v>
      </c>
      <c r="M210" s="283">
        <v>308847604.31230462</v>
      </c>
      <c r="N210" s="283">
        <v>311936080.35542768</v>
      </c>
      <c r="O210" s="283">
        <v>311936080.35542768</v>
      </c>
    </row>
    <row r="211" spans="8:15">
      <c r="H211" s="283" t="s">
        <v>233</v>
      </c>
      <c r="K211" s="283">
        <v>2305416497.8800001</v>
      </c>
      <c r="L211" s="283">
        <v>2305877581.1795759</v>
      </c>
      <c r="M211" s="283">
        <v>2328936356.9913716</v>
      </c>
      <c r="N211" s="283">
        <v>2352225720.5612855</v>
      </c>
      <c r="O211" s="283">
        <v>2352225720.5612855</v>
      </c>
    </row>
    <row r="212" spans="8:15">
      <c r="H212" s="283" t="s">
        <v>234</v>
      </c>
      <c r="K212" s="283">
        <v>340478906.10759997</v>
      </c>
      <c r="L212" s="283">
        <v>340547001.88882148</v>
      </c>
      <c r="M212" s="283">
        <v>343952471.90770972</v>
      </c>
      <c r="N212" s="283">
        <v>347391996.62678683</v>
      </c>
      <c r="O212" s="283">
        <v>347391996.62678683</v>
      </c>
    </row>
    <row r="281" spans="3:66">
      <c r="I281" s="283">
        <v>560792090.34072685</v>
      </c>
    </row>
    <row r="282" spans="3:66">
      <c r="I282" s="283">
        <f>+'[7]CASH  FLOW (3)'!$P$181</f>
        <v>571720010.48000002</v>
      </c>
      <c r="BN282" s="204">
        <f>SUM(J119:J124)</f>
        <v>0</v>
      </c>
    </row>
    <row r="283" spans="3:66">
      <c r="I283" s="283">
        <f>+I133-I282</f>
        <v>-571720010.48000002</v>
      </c>
      <c r="L283" s="283">
        <f>L106-[6]PENGELUARAN!$J$83</f>
        <v>-3394.30110625</v>
      </c>
    </row>
    <row r="284" spans="3:66">
      <c r="L284" s="283">
        <f>[6]PENGELUARAN!$M$83*1000000</f>
        <v>3408616672.75</v>
      </c>
    </row>
    <row r="285" spans="3:66">
      <c r="L285" s="283">
        <f>L283-L284</f>
        <v>-3408620067.0511065</v>
      </c>
    </row>
    <row r="286" spans="3:66">
      <c r="I286" s="283" t="s">
        <v>128</v>
      </c>
    </row>
    <row r="287" spans="3:66">
      <c r="C287" s="262" t="s">
        <v>135</v>
      </c>
      <c r="J287" s="283">
        <v>95488400</v>
      </c>
    </row>
    <row r="288" spans="3:66">
      <c r="C288" s="262" t="s">
        <v>136</v>
      </c>
      <c r="J288" s="283">
        <f>[3]JULI!$H$112</f>
        <v>136328714</v>
      </c>
    </row>
    <row r="289" spans="3:15">
      <c r="C289" s="262" t="s">
        <v>137</v>
      </c>
      <c r="J289" s="283">
        <f>[8]JULI!$G$312</f>
        <v>156009</v>
      </c>
    </row>
    <row r="290" spans="3:15">
      <c r="C290" s="262" t="s">
        <v>138</v>
      </c>
      <c r="J290" s="283">
        <v>22746010</v>
      </c>
    </row>
    <row r="291" spans="3:15">
      <c r="C291" s="262" t="s">
        <v>139</v>
      </c>
      <c r="J291" s="283">
        <v>53472958.619999997</v>
      </c>
    </row>
    <row r="292" spans="3:15">
      <c r="C292" s="262" t="s">
        <v>140</v>
      </c>
      <c r="J292" s="283">
        <v>101000000</v>
      </c>
    </row>
    <row r="293" spans="3:15">
      <c r="C293" s="262" t="s">
        <v>141</v>
      </c>
      <c r="J293" s="283">
        <v>204641444</v>
      </c>
    </row>
    <row r="294" spans="3:15">
      <c r="C294" s="262" t="s">
        <v>146</v>
      </c>
      <c r="J294" s="283">
        <v>11091584</v>
      </c>
    </row>
    <row r="295" spans="3:15">
      <c r="J295" s="283">
        <f>SUM(J287:J294)</f>
        <v>624925119.62</v>
      </c>
    </row>
    <row r="297" spans="3:15">
      <c r="J297" s="283">
        <f>J133-J295</f>
        <v>-624925119.62</v>
      </c>
    </row>
    <row r="299" spans="3:15">
      <c r="M299" s="283">
        <v>1</v>
      </c>
      <c r="N299" s="283">
        <v>75000000</v>
      </c>
      <c r="O299" s="283" t="s">
        <v>147</v>
      </c>
    </row>
    <row r="300" spans="3:15">
      <c r="M300" s="283">
        <v>2</v>
      </c>
      <c r="N300" s="283">
        <v>75000000</v>
      </c>
      <c r="O300" s="283" t="s">
        <v>148</v>
      </c>
    </row>
    <row r="301" spans="3:15">
      <c r="M301" s="283">
        <v>3</v>
      </c>
      <c r="N301" s="283">
        <v>75000000</v>
      </c>
      <c r="O301" s="283" t="s">
        <v>149</v>
      </c>
    </row>
    <row r="302" spans="3:15">
      <c r="M302" s="283">
        <v>4</v>
      </c>
      <c r="N302" s="283">
        <v>75000000</v>
      </c>
      <c r="O302" s="283" t="s">
        <v>150</v>
      </c>
    </row>
    <row r="303" spans="3:15">
      <c r="M303" s="283">
        <v>5</v>
      </c>
      <c r="N303" s="283">
        <v>75000000</v>
      </c>
      <c r="O303" s="283" t="s">
        <v>151</v>
      </c>
    </row>
    <row r="304" spans="3:15">
      <c r="M304" s="283">
        <v>6</v>
      </c>
      <c r="N304" s="283">
        <v>75000000</v>
      </c>
      <c r="O304" s="283" t="s">
        <v>152</v>
      </c>
    </row>
    <row r="305" spans="13:15">
      <c r="M305" s="283">
        <v>7</v>
      </c>
      <c r="N305" s="283">
        <v>75000000</v>
      </c>
      <c r="O305" s="283" t="s">
        <v>153</v>
      </c>
    </row>
    <row r="306" spans="13:15">
      <c r="M306" s="283">
        <v>8</v>
      </c>
      <c r="N306" s="283">
        <v>75000000</v>
      </c>
      <c r="O306" s="283" t="s">
        <v>154</v>
      </c>
    </row>
    <row r="307" spans="13:15">
      <c r="M307" s="283">
        <v>9</v>
      </c>
      <c r="N307" s="283">
        <v>75000000</v>
      </c>
      <c r="O307" s="283" t="s">
        <v>155</v>
      </c>
    </row>
    <row r="308" spans="13:15">
      <c r="M308" s="283">
        <v>10</v>
      </c>
      <c r="N308" s="283">
        <v>75000000</v>
      </c>
      <c r="O308" s="283" t="s">
        <v>156</v>
      </c>
    </row>
    <row r="309" spans="13:15">
      <c r="M309" s="283">
        <v>11</v>
      </c>
      <c r="N309" s="283">
        <v>75000000</v>
      </c>
      <c r="O309" s="283" t="s">
        <v>157</v>
      </c>
    </row>
    <row r="310" spans="13:15">
      <c r="M310" s="283">
        <v>12</v>
      </c>
      <c r="N310" s="283">
        <v>75000000</v>
      </c>
      <c r="O310" s="283" t="s">
        <v>158</v>
      </c>
    </row>
    <row r="311" spans="13:15">
      <c r="M311" s="283">
        <v>13</v>
      </c>
      <c r="N311" s="283">
        <v>75000000</v>
      </c>
      <c r="O311" s="283" t="s">
        <v>147</v>
      </c>
    </row>
    <row r="312" spans="13:15">
      <c r="M312" s="283">
        <v>14</v>
      </c>
      <c r="N312" s="283">
        <v>75000000</v>
      </c>
      <c r="O312" s="283" t="s">
        <v>148</v>
      </c>
    </row>
    <row r="313" spans="13:15">
      <c r="M313" s="283">
        <v>15</v>
      </c>
      <c r="N313" s="283">
        <v>75000000</v>
      </c>
      <c r="O313" s="283" t="s">
        <v>149</v>
      </c>
    </row>
    <row r="314" spans="13:15">
      <c r="M314" s="283">
        <v>16</v>
      </c>
      <c r="N314" s="283">
        <v>75000000</v>
      </c>
      <c r="O314" s="283" t="s">
        <v>150</v>
      </c>
    </row>
    <row r="315" spans="13:15">
      <c r="M315" s="283">
        <v>17</v>
      </c>
      <c r="N315" s="283">
        <v>75000000</v>
      </c>
      <c r="O315" s="283" t="s">
        <v>151</v>
      </c>
    </row>
    <row r="316" spans="13:15">
      <c r="M316" s="283">
        <v>18</v>
      </c>
      <c r="N316" s="283">
        <v>75000000</v>
      </c>
      <c r="O316" s="283" t="s">
        <v>152</v>
      </c>
    </row>
    <row r="317" spans="13:15">
      <c r="M317" s="283">
        <v>19</v>
      </c>
      <c r="N317" s="283">
        <v>75000000</v>
      </c>
      <c r="O317" s="283" t="s">
        <v>153</v>
      </c>
    </row>
    <row r="318" spans="13:15">
      <c r="M318" s="283">
        <v>20</v>
      </c>
      <c r="N318" s="283">
        <v>75000000</v>
      </c>
      <c r="O318" s="283" t="s">
        <v>154</v>
      </c>
    </row>
    <row r="319" spans="13:15">
      <c r="M319" s="283">
        <v>21</v>
      </c>
      <c r="N319" s="283">
        <v>75000000</v>
      </c>
      <c r="O319" s="283" t="s">
        <v>155</v>
      </c>
    </row>
    <row r="320" spans="13:15">
      <c r="M320" s="283">
        <v>22</v>
      </c>
      <c r="N320" s="283">
        <v>75000000</v>
      </c>
      <c r="O320" s="283" t="s">
        <v>156</v>
      </c>
    </row>
    <row r="321" spans="13:15">
      <c r="M321" s="283">
        <v>23</v>
      </c>
      <c r="N321" s="283">
        <v>75000000</v>
      </c>
      <c r="O321" s="283" t="s">
        <v>157</v>
      </c>
    </row>
    <row r="322" spans="13:15">
      <c r="M322" s="283">
        <v>24</v>
      </c>
      <c r="N322" s="283">
        <v>75000000</v>
      </c>
      <c r="O322" s="283" t="s">
        <v>147</v>
      </c>
    </row>
    <row r="323" spans="13:15">
      <c r="M323" s="283">
        <v>25</v>
      </c>
      <c r="N323" s="283">
        <v>75000000</v>
      </c>
      <c r="O323" s="283" t="s">
        <v>148</v>
      </c>
    </row>
    <row r="324" spans="13:15">
      <c r="M324" s="283">
        <v>26</v>
      </c>
      <c r="N324" s="283">
        <v>75000000</v>
      </c>
      <c r="O324" s="283" t="s">
        <v>149</v>
      </c>
    </row>
    <row r="325" spans="13:15">
      <c r="M325" s="283">
        <v>27</v>
      </c>
      <c r="N325" s="283">
        <v>75000000</v>
      </c>
      <c r="O325" s="283" t="s">
        <v>150</v>
      </c>
    </row>
    <row r="326" spans="13:15">
      <c r="M326" s="283">
        <v>28</v>
      </c>
      <c r="N326" s="283">
        <v>75000000</v>
      </c>
      <c r="O326" s="283" t="s">
        <v>151</v>
      </c>
    </row>
    <row r="327" spans="13:15">
      <c r="M327" s="283">
        <v>29</v>
      </c>
      <c r="N327" s="283">
        <v>75000000</v>
      </c>
      <c r="O327" s="283" t="s">
        <v>152</v>
      </c>
    </row>
    <row r="328" spans="13:15">
      <c r="M328" s="283">
        <v>30</v>
      </c>
      <c r="N328" s="283">
        <v>75000000</v>
      </c>
      <c r="O328" s="283" t="s">
        <v>153</v>
      </c>
    </row>
    <row r="329" spans="13:15">
      <c r="M329" s="283">
        <v>31</v>
      </c>
      <c r="N329" s="283">
        <v>75000000</v>
      </c>
      <c r="O329" s="283" t="s">
        <v>154</v>
      </c>
    </row>
    <row r="330" spans="13:15">
      <c r="M330" s="283">
        <v>32</v>
      </c>
      <c r="N330" s="283">
        <f>SUM(N299:N329)</f>
        <v>2325000000</v>
      </c>
    </row>
    <row r="331" spans="13:15">
      <c r="M331" s="283">
        <v>33</v>
      </c>
    </row>
    <row r="332" spans="13:15">
      <c r="M332" s="283">
        <v>34</v>
      </c>
    </row>
    <row r="333" spans="13:15">
      <c r="M333" s="283">
        <v>35</v>
      </c>
    </row>
    <row r="334" spans="13:15">
      <c r="M334" s="283">
        <v>36</v>
      </c>
    </row>
    <row r="335" spans="13:15">
      <c r="M335" s="283">
        <v>37</v>
      </c>
    </row>
  </sheetData>
  <mergeCells count="29">
    <mergeCell ref="B31:D31"/>
    <mergeCell ref="B106:C106"/>
    <mergeCell ref="A131:C131"/>
    <mergeCell ref="A133:C133"/>
    <mergeCell ref="Q6:Q8"/>
    <mergeCell ref="B23:C23"/>
    <mergeCell ref="B24:C24"/>
    <mergeCell ref="B25:C25"/>
    <mergeCell ref="B26:C26"/>
    <mergeCell ref="B27:C27"/>
    <mergeCell ref="B29:C29"/>
    <mergeCell ref="B17:C17"/>
    <mergeCell ref="B18:C18"/>
    <mergeCell ref="B19:C19"/>
    <mergeCell ref="B20:C20"/>
    <mergeCell ref="B21:C21"/>
    <mergeCell ref="B22:C22"/>
    <mergeCell ref="A10:C10"/>
    <mergeCell ref="B11:C11"/>
    <mergeCell ref="B13:C13"/>
    <mergeCell ref="B14:C14"/>
    <mergeCell ref="B15:C15"/>
    <mergeCell ref="B16:C16"/>
    <mergeCell ref="A9:C9"/>
    <mergeCell ref="A6:C8"/>
    <mergeCell ref="D6:O6"/>
    <mergeCell ref="P6:P8"/>
    <mergeCell ref="AY6:AY8"/>
    <mergeCell ref="D7:O7"/>
  </mergeCells>
  <pageMargins left="0.62992125984251968" right="0.23622047244094491" top="0.74803149606299213" bottom="0.74803149606299213" header="0.31496062992125984" footer="0.31496062992125984"/>
  <pageSetup scale="90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92D050"/>
  </sheetPr>
  <dimension ref="A1:O30"/>
  <sheetViews>
    <sheetView topLeftCell="C1" workbookViewId="0">
      <selection activeCell="G13" sqref="G13"/>
    </sheetView>
  </sheetViews>
  <sheetFormatPr defaultRowHeight="15"/>
  <cols>
    <col min="1" max="1" width="4.28515625" customWidth="1"/>
    <col min="2" max="2" width="42" customWidth="1"/>
    <col min="3" max="3" width="12" style="73" customWidth="1"/>
    <col min="4" max="4" width="10.5703125" style="73" customWidth="1"/>
    <col min="5" max="5" width="10.28515625" customWidth="1"/>
    <col min="6" max="14" width="11.28515625" customWidth="1"/>
    <col min="15" max="15" width="11.7109375" customWidth="1"/>
  </cols>
  <sheetData>
    <row r="1" spans="1:15">
      <c r="B1" s="312" t="s">
        <v>584</v>
      </c>
    </row>
    <row r="2" spans="1:15">
      <c r="B2" s="312" t="s">
        <v>656</v>
      </c>
    </row>
    <row r="3" spans="1:15">
      <c r="B3" s="312" t="s">
        <v>228</v>
      </c>
    </row>
    <row r="6" spans="1:15">
      <c r="A6" s="85" t="s">
        <v>579</v>
      </c>
      <c r="B6" s="86" t="s">
        <v>1</v>
      </c>
      <c r="C6" s="671" t="s">
        <v>3</v>
      </c>
      <c r="D6" s="672"/>
      <c r="E6" s="672"/>
      <c r="F6" s="672"/>
      <c r="G6" s="672"/>
      <c r="H6" s="672"/>
      <c r="I6" s="672"/>
      <c r="J6" s="672"/>
      <c r="K6" s="672"/>
      <c r="L6" s="672"/>
      <c r="M6" s="672"/>
      <c r="N6" s="673"/>
      <c r="O6" s="516" t="s">
        <v>421</v>
      </c>
    </row>
    <row r="7" spans="1:15">
      <c r="A7" s="89"/>
      <c r="B7" s="90"/>
      <c r="C7" s="2" t="s">
        <v>647</v>
      </c>
      <c r="D7" s="2" t="s">
        <v>648</v>
      </c>
      <c r="E7" s="90" t="s">
        <v>649</v>
      </c>
      <c r="F7" s="90" t="s">
        <v>650</v>
      </c>
      <c r="G7" s="90" t="s">
        <v>651</v>
      </c>
      <c r="H7" s="90" t="s">
        <v>652</v>
      </c>
      <c r="I7" s="90" t="s">
        <v>601</v>
      </c>
      <c r="J7" s="90" t="s">
        <v>602</v>
      </c>
      <c r="K7" s="90" t="s">
        <v>653</v>
      </c>
      <c r="L7" s="90" t="s">
        <v>663</v>
      </c>
      <c r="M7" s="90" t="s">
        <v>654</v>
      </c>
      <c r="N7" s="90" t="s">
        <v>655</v>
      </c>
      <c r="O7" s="517"/>
    </row>
    <row r="8" spans="1:15" ht="30">
      <c r="A8" s="89">
        <v>1</v>
      </c>
      <c r="B8" s="474" t="s">
        <v>658</v>
      </c>
      <c r="C8" s="468">
        <v>157500</v>
      </c>
      <c r="D8" s="468"/>
      <c r="E8" s="468"/>
      <c r="F8" s="468"/>
      <c r="G8" s="468"/>
      <c r="H8" s="468">
        <f>+C8</f>
        <v>157500</v>
      </c>
      <c r="I8" s="468"/>
      <c r="J8" s="468"/>
      <c r="K8" s="468"/>
      <c r="L8" s="468"/>
      <c r="M8" s="468"/>
      <c r="N8" s="468">
        <v>157500</v>
      </c>
      <c r="O8" s="469">
        <f>SUM(C8:N8)</f>
        <v>472500</v>
      </c>
    </row>
    <row r="9" spans="1:15" ht="30">
      <c r="A9" s="89">
        <v>2</v>
      </c>
      <c r="B9" s="474" t="s">
        <v>659</v>
      </c>
      <c r="C9" s="468">
        <v>315000</v>
      </c>
      <c r="D9" s="468"/>
      <c r="E9" s="468"/>
      <c r="F9" s="468"/>
      <c r="G9" s="468"/>
      <c r="H9" s="468">
        <f t="shared" ref="H9:H11" si="0">+C9</f>
        <v>315000</v>
      </c>
      <c r="I9" s="468"/>
      <c r="J9" s="468"/>
      <c r="K9" s="468"/>
      <c r="L9" s="468"/>
      <c r="M9" s="468"/>
      <c r="N9" s="468">
        <v>315000</v>
      </c>
      <c r="O9" s="469">
        <f t="shared" ref="O9:O13" si="1">SUM(C9:N9)</f>
        <v>945000</v>
      </c>
    </row>
    <row r="10" spans="1:15" ht="30">
      <c r="A10" s="89">
        <v>3</v>
      </c>
      <c r="B10" s="474" t="s">
        <v>660</v>
      </c>
      <c r="C10" s="468">
        <v>45000</v>
      </c>
      <c r="D10" s="468"/>
      <c r="E10" s="468"/>
      <c r="F10" s="468"/>
      <c r="G10" s="468"/>
      <c r="H10" s="468">
        <f t="shared" si="0"/>
        <v>45000</v>
      </c>
      <c r="I10" s="468"/>
      <c r="J10" s="468"/>
      <c r="K10" s="468"/>
      <c r="L10" s="468"/>
      <c r="M10" s="468"/>
      <c r="N10" s="468">
        <v>45000</v>
      </c>
      <c r="O10" s="469">
        <f t="shared" si="1"/>
        <v>135000</v>
      </c>
    </row>
    <row r="11" spans="1:15" ht="30">
      <c r="A11" s="89">
        <v>4</v>
      </c>
      <c r="B11" s="474" t="s">
        <v>661</v>
      </c>
      <c r="C11" s="468">
        <v>450000</v>
      </c>
      <c r="D11" s="468"/>
      <c r="E11" s="468"/>
      <c r="F11" s="468"/>
      <c r="G11" s="468"/>
      <c r="H11" s="468">
        <f t="shared" si="0"/>
        <v>450000</v>
      </c>
      <c r="I11" s="468"/>
      <c r="J11" s="468"/>
      <c r="K11" s="468"/>
      <c r="L11" s="468"/>
      <c r="M11" s="468"/>
      <c r="N11" s="468">
        <v>450000</v>
      </c>
      <c r="O11" s="469">
        <f t="shared" si="1"/>
        <v>1350000</v>
      </c>
    </row>
    <row r="12" spans="1:15" ht="30">
      <c r="A12" s="89">
        <v>5</v>
      </c>
      <c r="B12" s="474" t="s">
        <v>662</v>
      </c>
      <c r="C12" s="468">
        <f>1000*3000</f>
        <v>3000000</v>
      </c>
      <c r="D12" s="468">
        <f>+C12</f>
        <v>3000000</v>
      </c>
      <c r="E12" s="468">
        <f>+D12</f>
        <v>3000000</v>
      </c>
      <c r="F12" s="468">
        <f>+E12</f>
        <v>3000000</v>
      </c>
      <c r="G12" s="468">
        <f>+F12</f>
        <v>3000000</v>
      </c>
      <c r="H12" s="468">
        <f>+C12</f>
        <v>3000000</v>
      </c>
      <c r="I12" s="468">
        <f>+H12</f>
        <v>3000000</v>
      </c>
      <c r="J12" s="468">
        <f t="shared" ref="J12:N12" si="2">+I12</f>
        <v>3000000</v>
      </c>
      <c r="K12" s="468">
        <f t="shared" si="2"/>
        <v>3000000</v>
      </c>
      <c r="L12" s="468">
        <f t="shared" si="2"/>
        <v>3000000</v>
      </c>
      <c r="M12" s="468">
        <f t="shared" si="2"/>
        <v>3000000</v>
      </c>
      <c r="N12" s="468">
        <f t="shared" si="2"/>
        <v>3000000</v>
      </c>
      <c r="O12" s="469">
        <f t="shared" si="1"/>
        <v>36000000</v>
      </c>
    </row>
    <row r="13" spans="1:15" ht="44.25" customHeight="1">
      <c r="A13" s="89">
        <v>6</v>
      </c>
      <c r="B13" s="474" t="s">
        <v>666</v>
      </c>
      <c r="C13" s="468"/>
      <c r="D13" s="468"/>
      <c r="E13" s="468"/>
      <c r="F13" s="468"/>
      <c r="G13" s="468"/>
      <c r="H13" s="468"/>
      <c r="I13" s="468"/>
      <c r="J13" s="468">
        <v>5000000</v>
      </c>
      <c r="K13" s="468"/>
      <c r="L13" s="468"/>
      <c r="M13" s="468"/>
      <c r="N13" s="468"/>
      <c r="O13" s="469">
        <f t="shared" si="1"/>
        <v>5000000</v>
      </c>
    </row>
    <row r="14" spans="1:15">
      <c r="A14" s="89"/>
      <c r="B14" s="90" t="s">
        <v>235</v>
      </c>
      <c r="C14" s="468">
        <f t="shared" ref="C14:N14" si="3">SUM(C8:C13)</f>
        <v>3967500</v>
      </c>
      <c r="D14" s="468">
        <f t="shared" si="3"/>
        <v>3000000</v>
      </c>
      <c r="E14" s="468">
        <f t="shared" si="3"/>
        <v>3000000</v>
      </c>
      <c r="F14" s="468">
        <f t="shared" si="3"/>
        <v>3000000</v>
      </c>
      <c r="G14" s="468">
        <f t="shared" si="3"/>
        <v>3000000</v>
      </c>
      <c r="H14" s="468">
        <f t="shared" si="3"/>
        <v>3967500</v>
      </c>
      <c r="I14" s="468">
        <f t="shared" si="3"/>
        <v>3000000</v>
      </c>
      <c r="J14" s="468">
        <f t="shared" si="3"/>
        <v>8000000</v>
      </c>
      <c r="K14" s="468">
        <f t="shared" si="3"/>
        <v>3000000</v>
      </c>
      <c r="L14" s="468">
        <f t="shared" si="3"/>
        <v>3000000</v>
      </c>
      <c r="M14" s="468">
        <f t="shared" si="3"/>
        <v>3000000</v>
      </c>
      <c r="N14" s="468">
        <f t="shared" si="3"/>
        <v>3967500</v>
      </c>
      <c r="O14" s="469">
        <f>SUM(O8:O13)</f>
        <v>43902500</v>
      </c>
    </row>
    <row r="15" spans="1:15">
      <c r="A15" s="98"/>
      <c r="B15" s="99"/>
      <c r="C15" s="471"/>
      <c r="D15" s="471"/>
      <c r="E15" s="471"/>
      <c r="F15" s="471"/>
      <c r="G15" s="471"/>
      <c r="H15" s="471"/>
      <c r="I15" s="471"/>
      <c r="J15" s="471"/>
      <c r="K15" s="471"/>
      <c r="L15" s="471"/>
      <c r="M15" s="471"/>
      <c r="N15" s="471"/>
      <c r="O15" s="472"/>
    </row>
    <row r="17" spans="1:4" ht="45">
      <c r="B17" s="474" t="s">
        <v>657</v>
      </c>
    </row>
    <row r="23" spans="1:4">
      <c r="A23" s="85" t="s">
        <v>579</v>
      </c>
      <c r="B23" s="86" t="s">
        <v>1</v>
      </c>
      <c r="C23" s="456" t="s">
        <v>597</v>
      </c>
      <c r="D23" s="455" t="s">
        <v>421</v>
      </c>
    </row>
    <row r="24" spans="1:4">
      <c r="A24" s="89"/>
      <c r="B24" s="90"/>
      <c r="C24" s="2"/>
      <c r="D24" s="423"/>
    </row>
    <row r="25" spans="1:4">
      <c r="A25" s="89">
        <v>1</v>
      </c>
      <c r="B25" s="90" t="s">
        <v>593</v>
      </c>
      <c r="C25" s="2">
        <v>1500</v>
      </c>
      <c r="D25" s="423">
        <v>157500</v>
      </c>
    </row>
    <row r="26" spans="1:4">
      <c r="A26" s="89">
        <v>2</v>
      </c>
      <c r="B26" s="90" t="s">
        <v>594</v>
      </c>
      <c r="C26" s="2">
        <v>1500</v>
      </c>
      <c r="D26" s="423">
        <v>315000</v>
      </c>
    </row>
    <row r="27" spans="1:4">
      <c r="A27" s="89">
        <v>3</v>
      </c>
      <c r="B27" s="90" t="s">
        <v>595</v>
      </c>
      <c r="C27" s="2">
        <v>1500</v>
      </c>
      <c r="D27" s="423">
        <v>45000</v>
      </c>
    </row>
    <row r="28" spans="1:4">
      <c r="A28" s="89">
        <v>4</v>
      </c>
      <c r="B28" s="90" t="s">
        <v>596</v>
      </c>
      <c r="C28" s="2">
        <v>30000</v>
      </c>
      <c r="D28" s="423">
        <v>450000</v>
      </c>
    </row>
    <row r="29" spans="1:4">
      <c r="A29" s="89">
        <v>5</v>
      </c>
      <c r="B29" s="90" t="s">
        <v>645</v>
      </c>
      <c r="C29" s="2"/>
      <c r="D29" s="423"/>
    </row>
    <row r="30" spans="1:4">
      <c r="A30" s="98">
        <v>6</v>
      </c>
      <c r="B30" s="99" t="s">
        <v>646</v>
      </c>
      <c r="C30" s="100"/>
      <c r="D30" s="424">
        <v>5000000</v>
      </c>
    </row>
  </sheetData>
  <mergeCells count="2">
    <mergeCell ref="O6:O7"/>
    <mergeCell ref="C6:N6"/>
  </mergeCells>
  <pageMargins left="0.31496062992125984" right="0.11811023622047245" top="0.74803149606299213" bottom="0.74803149606299213" header="0.31496062992125984" footer="0.31496062992125984"/>
  <pageSetup paperSize="5" scale="80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92D050"/>
  </sheetPr>
  <dimension ref="A1:S32"/>
  <sheetViews>
    <sheetView topLeftCell="A3" workbookViewId="0">
      <selection activeCell="B22" sqref="B22:F22"/>
    </sheetView>
  </sheetViews>
  <sheetFormatPr defaultRowHeight="15"/>
  <cols>
    <col min="1" max="1" width="3.7109375" customWidth="1"/>
    <col min="4" max="4" width="38" customWidth="1"/>
    <col min="5" max="5" width="2.140625" customWidth="1"/>
    <col min="6" max="6" width="0" hidden="1" customWidth="1"/>
    <col min="7" max="18" width="12.5703125" customWidth="1"/>
    <col min="19" max="19" width="13.85546875" customWidth="1"/>
  </cols>
  <sheetData>
    <row r="1" spans="1:19">
      <c r="A1" s="674" t="s">
        <v>104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674"/>
      <c r="Q1" s="674"/>
      <c r="R1" s="674"/>
      <c r="S1" s="674"/>
    </row>
    <row r="2" spans="1:19">
      <c r="A2" s="674" t="s">
        <v>537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674"/>
      <c r="P2" s="674"/>
      <c r="Q2" s="674"/>
      <c r="R2" s="674"/>
      <c r="S2" s="674"/>
    </row>
    <row r="3" spans="1:19">
      <c r="A3" s="674" t="s">
        <v>598</v>
      </c>
      <c r="B3" s="674"/>
      <c r="C3" s="674"/>
      <c r="D3" s="674"/>
      <c r="E3" s="674"/>
      <c r="F3" s="674"/>
      <c r="G3" s="674"/>
      <c r="H3" s="674"/>
      <c r="I3" s="674"/>
      <c r="J3" s="674"/>
      <c r="K3" s="674"/>
      <c r="L3" s="674"/>
      <c r="M3" s="674"/>
      <c r="N3" s="674"/>
      <c r="O3" s="674"/>
      <c r="P3" s="674"/>
      <c r="Q3" s="674"/>
      <c r="R3" s="674"/>
      <c r="S3" s="674"/>
    </row>
    <row r="4" spans="1:19">
      <c r="A4" s="674" t="s">
        <v>228</v>
      </c>
      <c r="B4" s="674"/>
      <c r="C4" s="674"/>
      <c r="D4" s="674"/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4"/>
      <c r="R4" s="674"/>
      <c r="S4" s="674"/>
    </row>
    <row r="5" spans="1:19">
      <c r="A5" s="263"/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</row>
    <row r="6" spans="1:19">
      <c r="A6" s="675" t="s">
        <v>599</v>
      </c>
      <c r="B6" s="677" t="s">
        <v>600</v>
      </c>
      <c r="C6" s="677"/>
      <c r="D6" s="677"/>
      <c r="E6" s="677"/>
      <c r="F6" s="677"/>
      <c r="G6" s="684" t="s">
        <v>580</v>
      </c>
      <c r="H6" s="685"/>
      <c r="I6" s="685"/>
      <c r="J6" s="685"/>
      <c r="K6" s="685"/>
      <c r="L6" s="685"/>
      <c r="M6" s="685"/>
      <c r="N6" s="685"/>
      <c r="O6" s="685"/>
      <c r="P6" s="685"/>
      <c r="Q6" s="685"/>
      <c r="R6" s="686"/>
      <c r="S6" s="679" t="s">
        <v>421</v>
      </c>
    </row>
    <row r="7" spans="1:19">
      <c r="A7" s="676"/>
      <c r="B7" s="678"/>
      <c r="C7" s="678"/>
      <c r="D7" s="678"/>
      <c r="E7" s="678"/>
      <c r="F7" s="678"/>
      <c r="G7" s="682" t="str">
        <f>+PKRS!C8</f>
        <v>Januari</v>
      </c>
      <c r="H7" s="682" t="str">
        <f>+PKRS!D8</f>
        <v>Februari</v>
      </c>
      <c r="I7" s="682" t="str">
        <f>+PKRS!E8</f>
        <v>Maret</v>
      </c>
      <c r="J7" s="682" t="str">
        <f>+PKRS!F8</f>
        <v>April</v>
      </c>
      <c r="K7" s="682" t="str">
        <f>+PKRS!G8</f>
        <v>Mei</v>
      </c>
      <c r="L7" s="682" t="str">
        <f>+PKRS!H8</f>
        <v>Juni</v>
      </c>
      <c r="M7" s="682" t="str">
        <f>+PKRS!I8</f>
        <v>Juli</v>
      </c>
      <c r="N7" s="682" t="str">
        <f>+PKRS!J8</f>
        <v>Agustus</v>
      </c>
      <c r="O7" s="682" t="str">
        <f>+PKRS!K8</f>
        <v>September</v>
      </c>
      <c r="P7" s="682" t="str">
        <f>+PKRS!L8</f>
        <v>Oktober</v>
      </c>
      <c r="Q7" s="682" t="str">
        <f>+PKRS!M8</f>
        <v>November</v>
      </c>
      <c r="R7" s="682" t="str">
        <f>+PKRS!N8</f>
        <v>Desember</v>
      </c>
      <c r="S7" s="680"/>
    </row>
    <row r="8" spans="1:19">
      <c r="A8" s="676"/>
      <c r="B8" s="678"/>
      <c r="C8" s="678"/>
      <c r="D8" s="678"/>
      <c r="E8" s="678"/>
      <c r="F8" s="678"/>
      <c r="G8" s="683"/>
      <c r="H8" s="683"/>
      <c r="I8" s="683"/>
      <c r="J8" s="683"/>
      <c r="K8" s="683"/>
      <c r="L8" s="683"/>
      <c r="M8" s="683"/>
      <c r="N8" s="683"/>
      <c r="O8" s="683"/>
      <c r="P8" s="683"/>
      <c r="Q8" s="683"/>
      <c r="R8" s="683"/>
      <c r="S8" s="681"/>
    </row>
    <row r="9" spans="1:19">
      <c r="A9" s="463">
        <v>1</v>
      </c>
      <c r="B9" s="687" t="s">
        <v>625</v>
      </c>
      <c r="C9" s="687"/>
      <c r="D9" s="687"/>
      <c r="E9" s="687"/>
      <c r="F9" s="687"/>
      <c r="G9" s="506">
        <v>4266000</v>
      </c>
      <c r="H9" s="506">
        <v>4266000</v>
      </c>
      <c r="I9" s="506">
        <v>4266000</v>
      </c>
      <c r="J9" s="506">
        <v>4266000</v>
      </c>
      <c r="K9" s="506">
        <v>4266000</v>
      </c>
      <c r="L9" s="506">
        <v>4266000</v>
      </c>
      <c r="M9" s="506">
        <v>4266000</v>
      </c>
      <c r="N9" s="506">
        <v>4266000</v>
      </c>
      <c r="O9" s="506">
        <v>4266000</v>
      </c>
      <c r="P9" s="506">
        <v>4266000</v>
      </c>
      <c r="Q9" s="506">
        <v>4266000</v>
      </c>
      <c r="R9" s="506">
        <v>4266000</v>
      </c>
      <c r="S9" s="457">
        <f>SUM(G9:R9)</f>
        <v>51192000</v>
      </c>
    </row>
    <row r="10" spans="1:19">
      <c r="A10" s="463">
        <v>2</v>
      </c>
      <c r="B10" s="687" t="s">
        <v>634</v>
      </c>
      <c r="C10" s="687"/>
      <c r="D10" s="687"/>
      <c r="E10" s="687"/>
      <c r="F10" s="687"/>
      <c r="G10" s="506">
        <v>0</v>
      </c>
      <c r="H10" s="506">
        <v>0</v>
      </c>
      <c r="I10" s="506">
        <v>0</v>
      </c>
      <c r="J10" s="506">
        <v>0</v>
      </c>
      <c r="K10" s="506">
        <v>0</v>
      </c>
      <c r="L10" s="506">
        <v>0</v>
      </c>
      <c r="M10" s="506">
        <v>0</v>
      </c>
      <c r="N10" s="506">
        <v>0</v>
      </c>
      <c r="O10" s="506">
        <v>0</v>
      </c>
      <c r="P10" s="506">
        <v>0</v>
      </c>
      <c r="Q10" s="506">
        <v>0</v>
      </c>
      <c r="R10" s="506">
        <v>0</v>
      </c>
      <c r="S10" s="457">
        <f t="shared" ref="S10:S24" si="0">SUM(G10:R10)</f>
        <v>0</v>
      </c>
    </row>
    <row r="11" spans="1:19">
      <c r="A11" s="466">
        <v>3</v>
      </c>
      <c r="B11" s="687" t="s">
        <v>626</v>
      </c>
      <c r="C11" s="687"/>
      <c r="D11" s="687"/>
      <c r="E11" s="687"/>
      <c r="F11" s="687"/>
      <c r="G11" s="506">
        <v>85794000</v>
      </c>
      <c r="H11" s="506">
        <v>85794000</v>
      </c>
      <c r="I11" s="506">
        <v>85794000</v>
      </c>
      <c r="J11" s="506">
        <v>85794000</v>
      </c>
      <c r="K11" s="506">
        <v>85794000</v>
      </c>
      <c r="L11" s="506">
        <v>85794000</v>
      </c>
      <c r="M11" s="506">
        <v>85794000</v>
      </c>
      <c r="N11" s="506">
        <v>85794000</v>
      </c>
      <c r="O11" s="506">
        <v>85794000</v>
      </c>
      <c r="P11" s="506">
        <v>85794000</v>
      </c>
      <c r="Q11" s="506">
        <v>85794000</v>
      </c>
      <c r="R11" s="506">
        <v>85794000</v>
      </c>
      <c r="S11" s="457">
        <f t="shared" si="0"/>
        <v>1029528000</v>
      </c>
    </row>
    <row r="12" spans="1:19">
      <c r="A12" s="466">
        <v>4</v>
      </c>
      <c r="B12" s="687" t="s">
        <v>635</v>
      </c>
      <c r="C12" s="687"/>
      <c r="D12" s="687"/>
      <c r="E12" s="687"/>
      <c r="F12" s="687"/>
      <c r="G12" s="506">
        <v>28440000</v>
      </c>
      <c r="H12" s="506">
        <v>28440000</v>
      </c>
      <c r="I12" s="506">
        <v>28440000</v>
      </c>
      <c r="J12" s="506">
        <v>28440000</v>
      </c>
      <c r="K12" s="506">
        <v>28440000</v>
      </c>
      <c r="L12" s="506">
        <v>28440000</v>
      </c>
      <c r="M12" s="506">
        <v>28440000</v>
      </c>
      <c r="N12" s="506">
        <v>28440000</v>
      </c>
      <c r="O12" s="506">
        <v>28440000</v>
      </c>
      <c r="P12" s="506">
        <v>28440000</v>
      </c>
      <c r="Q12" s="506">
        <v>28440000</v>
      </c>
      <c r="R12" s="506">
        <v>28440000</v>
      </c>
      <c r="S12" s="457">
        <f t="shared" si="0"/>
        <v>341280000</v>
      </c>
    </row>
    <row r="13" spans="1:19">
      <c r="A13" s="466">
        <v>5</v>
      </c>
      <c r="B13" s="687" t="s">
        <v>627</v>
      </c>
      <c r="C13" s="687"/>
      <c r="D13" s="687"/>
      <c r="E13" s="687"/>
      <c r="F13" s="687"/>
      <c r="G13" s="506">
        <v>7963200</v>
      </c>
      <c r="H13" s="506">
        <v>7963200</v>
      </c>
      <c r="I13" s="506">
        <v>7963200</v>
      </c>
      <c r="J13" s="506">
        <v>7963200</v>
      </c>
      <c r="K13" s="506">
        <v>7963200</v>
      </c>
      <c r="L13" s="506">
        <v>7963200</v>
      </c>
      <c r="M13" s="506">
        <v>7963200</v>
      </c>
      <c r="N13" s="506">
        <v>7963200</v>
      </c>
      <c r="O13" s="506">
        <v>7963200</v>
      </c>
      <c r="P13" s="506">
        <v>7963200</v>
      </c>
      <c r="Q13" s="506">
        <v>7963200</v>
      </c>
      <c r="R13" s="506">
        <v>7963200</v>
      </c>
      <c r="S13" s="457">
        <f t="shared" si="0"/>
        <v>95558400</v>
      </c>
    </row>
    <row r="14" spans="1:19">
      <c r="A14" s="466">
        <v>6</v>
      </c>
      <c r="B14" s="687" t="s">
        <v>628</v>
      </c>
      <c r="C14" s="687"/>
      <c r="D14" s="687"/>
      <c r="E14" s="687"/>
      <c r="F14" s="687"/>
      <c r="G14" s="506">
        <v>78210000</v>
      </c>
      <c r="H14" s="506">
        <v>78210000</v>
      </c>
      <c r="I14" s="506">
        <v>78210000</v>
      </c>
      <c r="J14" s="506">
        <v>78210000</v>
      </c>
      <c r="K14" s="506">
        <v>78210000</v>
      </c>
      <c r="L14" s="506">
        <v>78210000</v>
      </c>
      <c r="M14" s="506">
        <v>78210000</v>
      </c>
      <c r="N14" s="506">
        <v>78210000</v>
      </c>
      <c r="O14" s="506">
        <v>78210000</v>
      </c>
      <c r="P14" s="506">
        <v>78210000</v>
      </c>
      <c r="Q14" s="506">
        <v>78210000</v>
      </c>
      <c r="R14" s="506">
        <v>78210000</v>
      </c>
      <c r="S14" s="457">
        <f t="shared" si="0"/>
        <v>938520000</v>
      </c>
    </row>
    <row r="15" spans="1:19">
      <c r="A15" s="466">
        <v>7</v>
      </c>
      <c r="B15" s="687" t="s">
        <v>629</v>
      </c>
      <c r="C15" s="687"/>
      <c r="D15" s="687"/>
      <c r="E15" s="687"/>
      <c r="F15" s="687"/>
      <c r="G15" s="506">
        <v>162000</v>
      </c>
      <c r="H15" s="506">
        <v>162000</v>
      </c>
      <c r="I15" s="506">
        <v>162000</v>
      </c>
      <c r="J15" s="506">
        <v>162000</v>
      </c>
      <c r="K15" s="506">
        <v>162000</v>
      </c>
      <c r="L15" s="506">
        <v>162000</v>
      </c>
      <c r="M15" s="506">
        <v>162000</v>
      </c>
      <c r="N15" s="506">
        <v>162000</v>
      </c>
      <c r="O15" s="506">
        <v>162000</v>
      </c>
      <c r="P15" s="506">
        <v>162000</v>
      </c>
      <c r="Q15" s="506">
        <v>162000</v>
      </c>
      <c r="R15" s="506">
        <v>162000</v>
      </c>
      <c r="S15" s="457">
        <f t="shared" si="0"/>
        <v>1944000</v>
      </c>
    </row>
    <row r="16" spans="1:19">
      <c r="A16" s="466">
        <v>8</v>
      </c>
      <c r="B16" s="687" t="s">
        <v>630</v>
      </c>
      <c r="C16" s="687"/>
      <c r="D16" s="687"/>
      <c r="E16" s="687"/>
      <c r="F16" s="687"/>
      <c r="G16" s="506">
        <v>6256800</v>
      </c>
      <c r="H16" s="506">
        <v>6256800</v>
      </c>
      <c r="I16" s="506">
        <v>6256800</v>
      </c>
      <c r="J16" s="506">
        <v>6256800</v>
      </c>
      <c r="K16" s="506">
        <v>6256800</v>
      </c>
      <c r="L16" s="506">
        <v>6256800</v>
      </c>
      <c r="M16" s="506">
        <v>6256800</v>
      </c>
      <c r="N16" s="506">
        <v>6256800</v>
      </c>
      <c r="O16" s="506">
        <v>6256800</v>
      </c>
      <c r="P16" s="506">
        <v>6256800</v>
      </c>
      <c r="Q16" s="506">
        <v>6256800</v>
      </c>
      <c r="R16" s="506">
        <v>6256800</v>
      </c>
      <c r="S16" s="457">
        <f t="shared" si="0"/>
        <v>75081600</v>
      </c>
    </row>
    <row r="17" spans="1:19">
      <c r="A17" s="466">
        <v>9</v>
      </c>
      <c r="B17" s="687" t="s">
        <v>631</v>
      </c>
      <c r="C17" s="687"/>
      <c r="D17" s="687"/>
      <c r="E17" s="687"/>
      <c r="F17" s="687"/>
      <c r="G17" s="506">
        <v>1620000</v>
      </c>
      <c r="H17" s="506">
        <v>1620000</v>
      </c>
      <c r="I17" s="506">
        <v>1620000</v>
      </c>
      <c r="J17" s="506">
        <v>1620000</v>
      </c>
      <c r="K17" s="506">
        <v>1620000</v>
      </c>
      <c r="L17" s="506">
        <v>1620000</v>
      </c>
      <c r="M17" s="506">
        <v>1620000</v>
      </c>
      <c r="N17" s="506">
        <v>1620000</v>
      </c>
      <c r="O17" s="506">
        <v>1620000</v>
      </c>
      <c r="P17" s="506">
        <v>1620000</v>
      </c>
      <c r="Q17" s="506">
        <v>1620000</v>
      </c>
      <c r="R17" s="506">
        <v>1620000</v>
      </c>
      <c r="S17" s="457">
        <f t="shared" si="0"/>
        <v>19440000</v>
      </c>
    </row>
    <row r="18" spans="1:19">
      <c r="A18" s="466">
        <v>10</v>
      </c>
      <c r="B18" s="687" t="s">
        <v>639</v>
      </c>
      <c r="C18" s="687"/>
      <c r="D18" s="687"/>
      <c r="E18" s="687"/>
      <c r="F18" s="687"/>
      <c r="G18" s="506">
        <v>810000</v>
      </c>
      <c r="H18" s="506">
        <v>810000</v>
      </c>
      <c r="I18" s="506">
        <v>810000</v>
      </c>
      <c r="J18" s="506">
        <v>810000</v>
      </c>
      <c r="K18" s="506">
        <v>810000</v>
      </c>
      <c r="L18" s="506">
        <v>810000</v>
      </c>
      <c r="M18" s="506">
        <v>810000</v>
      </c>
      <c r="N18" s="506">
        <v>810000</v>
      </c>
      <c r="O18" s="506">
        <v>810000</v>
      </c>
      <c r="P18" s="506">
        <v>810000</v>
      </c>
      <c r="Q18" s="506">
        <v>810000</v>
      </c>
      <c r="R18" s="506">
        <v>810000</v>
      </c>
      <c r="S18" s="457">
        <f t="shared" si="0"/>
        <v>9720000</v>
      </c>
    </row>
    <row r="19" spans="1:19">
      <c r="A19" s="466">
        <v>11</v>
      </c>
      <c r="B19" s="687" t="s">
        <v>638</v>
      </c>
      <c r="C19" s="687"/>
      <c r="D19" s="687"/>
      <c r="E19" s="687"/>
      <c r="F19" s="687"/>
      <c r="G19" s="506">
        <v>13500000</v>
      </c>
      <c r="H19" s="506">
        <v>13500000</v>
      </c>
      <c r="I19" s="506">
        <v>13500000</v>
      </c>
      <c r="J19" s="506">
        <v>13500000</v>
      </c>
      <c r="K19" s="506">
        <v>13500000</v>
      </c>
      <c r="L19" s="506">
        <v>13500000</v>
      </c>
      <c r="M19" s="506">
        <v>13500000</v>
      </c>
      <c r="N19" s="506">
        <v>13500000</v>
      </c>
      <c r="O19" s="506">
        <v>13500000</v>
      </c>
      <c r="P19" s="506">
        <v>13500000</v>
      </c>
      <c r="Q19" s="506">
        <v>13500000</v>
      </c>
      <c r="R19" s="506">
        <v>13500000</v>
      </c>
      <c r="S19" s="457">
        <f t="shared" si="0"/>
        <v>162000000</v>
      </c>
    </row>
    <row r="20" spans="1:19">
      <c r="A20" s="466">
        <v>12</v>
      </c>
      <c r="B20" s="687" t="s">
        <v>636</v>
      </c>
      <c r="C20" s="687"/>
      <c r="D20" s="687"/>
      <c r="E20" s="687"/>
      <c r="F20" s="687"/>
      <c r="G20" s="506">
        <v>5265000</v>
      </c>
      <c r="H20" s="506">
        <v>5265000</v>
      </c>
      <c r="I20" s="506">
        <v>5265000</v>
      </c>
      <c r="J20" s="506">
        <v>5265000</v>
      </c>
      <c r="K20" s="506">
        <v>5265000</v>
      </c>
      <c r="L20" s="506">
        <v>5265000</v>
      </c>
      <c r="M20" s="506">
        <v>5265000</v>
      </c>
      <c r="N20" s="506">
        <v>5265000</v>
      </c>
      <c r="O20" s="506">
        <v>5265000</v>
      </c>
      <c r="P20" s="506">
        <v>5265000</v>
      </c>
      <c r="Q20" s="506">
        <v>5265000</v>
      </c>
      <c r="R20" s="506">
        <v>5265000</v>
      </c>
      <c r="S20" s="457">
        <f t="shared" si="0"/>
        <v>63180000</v>
      </c>
    </row>
    <row r="21" spans="1:19">
      <c r="A21" s="466">
        <v>13</v>
      </c>
      <c r="B21" s="687" t="s">
        <v>637</v>
      </c>
      <c r="C21" s="687"/>
      <c r="D21" s="687"/>
      <c r="E21" s="687"/>
      <c r="F21" s="687"/>
      <c r="G21" s="506">
        <v>5265000</v>
      </c>
      <c r="H21" s="506">
        <v>5265000</v>
      </c>
      <c r="I21" s="506">
        <v>5265000</v>
      </c>
      <c r="J21" s="506">
        <v>5265000</v>
      </c>
      <c r="K21" s="506">
        <v>5265000</v>
      </c>
      <c r="L21" s="506">
        <v>5265000</v>
      </c>
      <c r="M21" s="506">
        <v>5265000</v>
      </c>
      <c r="N21" s="506">
        <v>5265000</v>
      </c>
      <c r="O21" s="506">
        <v>5265000</v>
      </c>
      <c r="P21" s="506">
        <v>5265000</v>
      </c>
      <c r="Q21" s="506">
        <v>5265000</v>
      </c>
      <c r="R21" s="506">
        <v>5265000</v>
      </c>
      <c r="S21" s="457">
        <f t="shared" si="0"/>
        <v>63180000</v>
      </c>
    </row>
    <row r="22" spans="1:19">
      <c r="A22" s="466">
        <v>14</v>
      </c>
      <c r="B22" s="687" t="s">
        <v>632</v>
      </c>
      <c r="C22" s="687"/>
      <c r="D22" s="687"/>
      <c r="E22" s="687"/>
      <c r="F22" s="687"/>
      <c r="G22" s="506">
        <v>2622000</v>
      </c>
      <c r="H22" s="506">
        <v>2622000</v>
      </c>
      <c r="I22" s="506">
        <v>2622000</v>
      </c>
      <c r="J22" s="506">
        <v>2622000</v>
      </c>
      <c r="K22" s="506">
        <v>2622000</v>
      </c>
      <c r="L22" s="506">
        <v>2622000</v>
      </c>
      <c r="M22" s="506">
        <v>2622000</v>
      </c>
      <c r="N22" s="506">
        <v>2622000</v>
      </c>
      <c r="O22" s="506">
        <v>2622000</v>
      </c>
      <c r="P22" s="506">
        <v>2622000</v>
      </c>
      <c r="Q22" s="506">
        <v>2622000</v>
      </c>
      <c r="R22" s="506">
        <v>2622000</v>
      </c>
      <c r="S22" s="457">
        <f t="shared" si="0"/>
        <v>31464000</v>
      </c>
    </row>
    <row r="23" spans="1:19">
      <c r="A23" s="466">
        <v>15</v>
      </c>
      <c r="B23" s="687" t="s">
        <v>633</v>
      </c>
      <c r="C23" s="687"/>
      <c r="D23" s="687"/>
      <c r="E23" s="687"/>
      <c r="F23" s="687"/>
      <c r="G23" s="506">
        <v>11143500</v>
      </c>
      <c r="H23" s="506">
        <v>11143500</v>
      </c>
      <c r="I23" s="506">
        <v>11143500</v>
      </c>
      <c r="J23" s="506">
        <v>11143500</v>
      </c>
      <c r="K23" s="506">
        <v>11143500</v>
      </c>
      <c r="L23" s="506">
        <v>11143500</v>
      </c>
      <c r="M23" s="506">
        <v>11143500</v>
      </c>
      <c r="N23" s="506">
        <v>11143500</v>
      </c>
      <c r="O23" s="506">
        <v>11143500</v>
      </c>
      <c r="P23" s="506">
        <v>11143500</v>
      </c>
      <c r="Q23" s="506">
        <v>11143500</v>
      </c>
      <c r="R23" s="506">
        <v>11143500</v>
      </c>
      <c r="S23" s="457">
        <f t="shared" si="0"/>
        <v>133722000</v>
      </c>
    </row>
    <row r="24" spans="1:19">
      <c r="A24" s="688" t="s">
        <v>622</v>
      </c>
      <c r="B24" s="689"/>
      <c r="C24" s="689"/>
      <c r="D24" s="689"/>
      <c r="E24" s="689"/>
      <c r="F24" s="690"/>
      <c r="G24" s="458">
        <f t="shared" ref="G24:Q24" si="1">SUM(G9:G23)</f>
        <v>251317500</v>
      </c>
      <c r="H24" s="458">
        <f t="shared" si="1"/>
        <v>251317500</v>
      </c>
      <c r="I24" s="458">
        <f t="shared" si="1"/>
        <v>251317500</v>
      </c>
      <c r="J24" s="458">
        <f t="shared" si="1"/>
        <v>251317500</v>
      </c>
      <c r="K24" s="458">
        <f t="shared" si="1"/>
        <v>251317500</v>
      </c>
      <c r="L24" s="458">
        <f t="shared" si="1"/>
        <v>251317500</v>
      </c>
      <c r="M24" s="458">
        <f t="shared" si="1"/>
        <v>251317500</v>
      </c>
      <c r="N24" s="458">
        <f t="shared" si="1"/>
        <v>251317500</v>
      </c>
      <c r="O24" s="458">
        <f t="shared" si="1"/>
        <v>251317500</v>
      </c>
      <c r="P24" s="458">
        <f t="shared" si="1"/>
        <v>251317500</v>
      </c>
      <c r="Q24" s="458">
        <f t="shared" si="1"/>
        <v>251317500</v>
      </c>
      <c r="R24" s="458">
        <f>SUM(R9:R23)</f>
        <v>251317500</v>
      </c>
      <c r="S24" s="457">
        <f t="shared" si="0"/>
        <v>3015810000</v>
      </c>
    </row>
    <row r="25" spans="1:19">
      <c r="A25" s="263"/>
      <c r="B25" s="263"/>
      <c r="C25" s="263"/>
      <c r="D25" s="263"/>
      <c r="E25" s="263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</row>
    <row r="26" spans="1:19">
      <c r="A26" s="263"/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 t="s">
        <v>603</v>
      </c>
      <c r="R26" s="263"/>
      <c r="S26" s="263"/>
    </row>
    <row r="27" spans="1:19">
      <c r="A27" s="263"/>
      <c r="B27" s="263"/>
      <c r="C27" s="263" t="s">
        <v>604</v>
      </c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3"/>
      <c r="Q27" s="263" t="s">
        <v>605</v>
      </c>
      <c r="R27" s="263"/>
      <c r="S27" s="263"/>
    </row>
    <row r="28" spans="1:19">
      <c r="A28" s="263"/>
      <c r="B28" s="263"/>
      <c r="C28" s="263" t="s">
        <v>606</v>
      </c>
      <c r="D28" s="263"/>
      <c r="E28" s="263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</row>
    <row r="29" spans="1:19">
      <c r="A29" s="263"/>
      <c r="B29" s="263"/>
      <c r="C29" s="263"/>
      <c r="D29" s="263"/>
      <c r="E29" s="263"/>
      <c r="F29" s="263"/>
      <c r="G29" s="263"/>
      <c r="H29" s="263"/>
      <c r="I29" s="263"/>
      <c r="J29" s="263"/>
      <c r="K29" s="263"/>
      <c r="L29" s="263"/>
      <c r="M29" s="263"/>
      <c r="N29" s="263"/>
      <c r="O29" s="263"/>
      <c r="P29" s="263"/>
      <c r="Q29" s="263"/>
      <c r="R29" s="263"/>
      <c r="S29" s="263"/>
    </row>
    <row r="30" spans="1:19">
      <c r="A30" s="263"/>
      <c r="B30" s="263"/>
      <c r="C30" s="263"/>
      <c r="D30" s="263"/>
      <c r="E30" s="263"/>
      <c r="F30" s="263"/>
      <c r="G30" s="263"/>
      <c r="H30" s="263"/>
      <c r="I30" s="263"/>
      <c r="J30" s="263"/>
      <c r="K30" s="263"/>
      <c r="L30" s="263"/>
      <c r="M30" s="263"/>
      <c r="N30" s="263"/>
      <c r="O30" s="263"/>
      <c r="P30" s="263"/>
      <c r="Q30" s="263"/>
      <c r="R30" s="263"/>
      <c r="S30" s="263"/>
    </row>
    <row r="31" spans="1:19">
      <c r="A31" s="263"/>
      <c r="B31" s="263"/>
      <c r="C31" s="263"/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P31" s="263"/>
      <c r="Q31" s="263"/>
      <c r="R31" s="263"/>
      <c r="S31" s="263"/>
    </row>
    <row r="32" spans="1:19">
      <c r="A32" s="263"/>
      <c r="B32" s="263"/>
      <c r="C32" s="263" t="s">
        <v>607</v>
      </c>
      <c r="D32" s="263"/>
      <c r="E32" s="263"/>
      <c r="F32" s="263"/>
      <c r="G32" s="263"/>
      <c r="H32" s="263"/>
      <c r="I32" s="263"/>
      <c r="J32" s="263"/>
      <c r="K32" s="263"/>
      <c r="L32" s="263"/>
      <c r="M32" s="263"/>
      <c r="N32" s="263"/>
      <c r="O32" s="263"/>
      <c r="P32" s="263"/>
      <c r="Q32" s="263" t="s">
        <v>608</v>
      </c>
      <c r="R32" s="263"/>
      <c r="S32" s="263"/>
    </row>
  </sheetData>
  <mergeCells count="36">
    <mergeCell ref="A24:F24"/>
    <mergeCell ref="B17:F17"/>
    <mergeCell ref="B18:F18"/>
    <mergeCell ref="B19:F19"/>
    <mergeCell ref="B20:F20"/>
    <mergeCell ref="B21:F21"/>
    <mergeCell ref="B22:F22"/>
    <mergeCell ref="B23:F23"/>
    <mergeCell ref="B16:F16"/>
    <mergeCell ref="O7:O8"/>
    <mergeCell ref="P7:P8"/>
    <mergeCell ref="Q7:Q8"/>
    <mergeCell ref="R7:R8"/>
    <mergeCell ref="B9:F9"/>
    <mergeCell ref="B10:F10"/>
    <mergeCell ref="B11:F11"/>
    <mergeCell ref="B12:F12"/>
    <mergeCell ref="B13:F13"/>
    <mergeCell ref="B14:F14"/>
    <mergeCell ref="B15:F15"/>
    <mergeCell ref="G7:G8"/>
    <mergeCell ref="A1:S1"/>
    <mergeCell ref="A2:S2"/>
    <mergeCell ref="A3:S3"/>
    <mergeCell ref="A4:S4"/>
    <mergeCell ref="A6:A8"/>
    <mergeCell ref="B6:F8"/>
    <mergeCell ref="S6:S8"/>
    <mergeCell ref="M7:M8"/>
    <mergeCell ref="N7:N8"/>
    <mergeCell ref="G6:R6"/>
    <mergeCell ref="L7:L8"/>
    <mergeCell ref="K7:K8"/>
    <mergeCell ref="J7:J8"/>
    <mergeCell ref="I7:I8"/>
    <mergeCell ref="H7:H8"/>
  </mergeCells>
  <printOptions horizontalCentered="1"/>
  <pageMargins left="0" right="0.23622047244094491" top="0.74803149606299213" bottom="0.74803149606299213" header="0.31496062992125984" footer="0.31496062992125984"/>
  <pageSetup paperSize="5" scale="6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workbookViewId="0">
      <selection activeCell="F37" sqref="F37"/>
    </sheetView>
  </sheetViews>
  <sheetFormatPr defaultRowHeight="1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"/>
  <sheetViews>
    <sheetView workbookViewId="0">
      <selection activeCell="J10" sqref="J10"/>
    </sheetView>
  </sheetViews>
  <sheetFormatPr defaultRowHeight="15"/>
  <sheetData>
    <row r="2" spans="2:2">
      <c r="B2" t="s">
        <v>609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92D050"/>
  </sheetPr>
  <dimension ref="B1:O28"/>
  <sheetViews>
    <sheetView workbookViewId="0">
      <selection activeCell="D18" sqref="D18"/>
    </sheetView>
  </sheetViews>
  <sheetFormatPr defaultRowHeight="15"/>
  <cols>
    <col min="2" max="2" width="40.7109375" customWidth="1"/>
    <col min="3" max="4" width="11.42578125" customWidth="1"/>
    <col min="5" max="5" width="11.42578125" style="464" customWidth="1"/>
    <col min="6" max="7" width="10.7109375" customWidth="1"/>
    <col min="8" max="8" width="11.42578125" customWidth="1"/>
    <col min="9" max="9" width="11.42578125" style="464" customWidth="1"/>
    <col min="10" max="10" width="10.28515625" customWidth="1"/>
    <col min="11" max="11" width="10.5703125" customWidth="1"/>
    <col min="12" max="14" width="11.42578125" customWidth="1"/>
    <col min="15" max="15" width="12.85546875" style="464" customWidth="1"/>
  </cols>
  <sheetData>
    <row r="1" spans="2:15">
      <c r="B1" s="376" t="s">
        <v>584</v>
      </c>
    </row>
    <row r="2" spans="2:15">
      <c r="B2" s="376" t="s">
        <v>764</v>
      </c>
    </row>
    <row r="3" spans="2:15">
      <c r="B3" s="376" t="s">
        <v>228</v>
      </c>
    </row>
    <row r="6" spans="2:15">
      <c r="B6" s="312"/>
    </row>
    <row r="7" spans="2:15">
      <c r="B7" s="691" t="s">
        <v>623</v>
      </c>
      <c r="C7" s="693" t="s">
        <v>624</v>
      </c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O7" s="694" t="s">
        <v>621</v>
      </c>
    </row>
    <row r="8" spans="2:15">
      <c r="B8" s="692"/>
      <c r="C8" s="90" t="s">
        <v>4</v>
      </c>
      <c r="D8" s="90" t="s">
        <v>5</v>
      </c>
      <c r="E8" s="468" t="s">
        <v>6</v>
      </c>
      <c r="F8" s="90" t="s">
        <v>7</v>
      </c>
      <c r="G8" s="90" t="s">
        <v>8</v>
      </c>
      <c r="H8" s="90" t="s">
        <v>9</v>
      </c>
      <c r="I8" s="468" t="s">
        <v>127</v>
      </c>
      <c r="J8" s="90" t="s">
        <v>129</v>
      </c>
      <c r="K8" s="90" t="s">
        <v>142</v>
      </c>
      <c r="L8" s="90" t="s">
        <v>131</v>
      </c>
      <c r="M8" s="90" t="s">
        <v>132</v>
      </c>
      <c r="N8" s="90" t="s">
        <v>133</v>
      </c>
      <c r="O8" s="695"/>
    </row>
    <row r="9" spans="2:15">
      <c r="B9" s="467"/>
      <c r="C9" s="468"/>
      <c r="D9" s="468"/>
      <c r="E9" s="468">
        <v>2595000</v>
      </c>
      <c r="F9" s="468">
        <v>3695000</v>
      </c>
      <c r="G9" s="468">
        <v>3695000</v>
      </c>
      <c r="H9" s="468">
        <v>32544987</v>
      </c>
      <c r="I9" s="468">
        <v>18212000</v>
      </c>
      <c r="J9" s="468">
        <v>3695000</v>
      </c>
      <c r="K9" s="468">
        <v>3845000</v>
      </c>
      <c r="L9" s="468">
        <v>21695000</v>
      </c>
      <c r="M9" s="468">
        <v>23695000</v>
      </c>
      <c r="N9" s="468">
        <v>3695000</v>
      </c>
      <c r="O9" s="469">
        <v>117366987</v>
      </c>
    </row>
    <row r="10" spans="2:15">
      <c r="B10" s="89"/>
      <c r="C10" s="90"/>
      <c r="D10" s="90"/>
      <c r="E10" s="468"/>
      <c r="F10" s="90"/>
      <c r="G10" s="90"/>
      <c r="H10" s="90"/>
      <c r="I10" s="468"/>
      <c r="J10" s="90"/>
      <c r="K10" s="90"/>
      <c r="L10" s="90"/>
      <c r="M10" s="90"/>
      <c r="N10" s="90"/>
      <c r="O10" s="469"/>
    </row>
    <row r="11" spans="2:15">
      <c r="B11" s="89" t="s">
        <v>610</v>
      </c>
      <c r="C11" s="90"/>
      <c r="D11" s="90"/>
      <c r="E11" s="468"/>
      <c r="F11" s="90"/>
      <c r="G11" s="90"/>
      <c r="H11" s="468">
        <v>28849987</v>
      </c>
      <c r="I11" s="468">
        <v>14517000</v>
      </c>
      <c r="J11" s="90"/>
      <c r="K11" s="90"/>
      <c r="L11" s="90"/>
      <c r="M11" s="90"/>
      <c r="N11" s="90"/>
      <c r="O11" s="469">
        <f>SUM(C11:N11)</f>
        <v>43366987</v>
      </c>
    </row>
    <row r="12" spans="2:15">
      <c r="B12" s="89" t="s">
        <v>611</v>
      </c>
      <c r="C12" s="90"/>
      <c r="D12" s="90"/>
      <c r="E12" s="468"/>
      <c r="F12" s="90"/>
      <c r="G12" s="90"/>
      <c r="H12" s="90"/>
      <c r="I12" s="468"/>
      <c r="J12" s="90"/>
      <c r="K12" s="90"/>
      <c r="L12" s="90"/>
      <c r="M12" s="90"/>
      <c r="N12" s="90"/>
      <c r="O12" s="469">
        <f t="shared" ref="O12:O22" si="0">SUM(C12:N12)</f>
        <v>0</v>
      </c>
    </row>
    <row r="13" spans="2:15">
      <c r="B13" s="89"/>
      <c r="C13" s="90"/>
      <c r="D13" s="90"/>
      <c r="E13" s="468"/>
      <c r="F13" s="90"/>
      <c r="G13" s="90"/>
      <c r="H13" s="90"/>
      <c r="I13" s="468"/>
      <c r="J13" s="90"/>
      <c r="K13" s="90"/>
      <c r="L13" s="90"/>
      <c r="M13" s="90"/>
      <c r="N13" s="90"/>
      <c r="O13" s="469">
        <f t="shared" si="0"/>
        <v>0</v>
      </c>
    </row>
    <row r="14" spans="2:15">
      <c r="B14" s="89" t="s">
        <v>612</v>
      </c>
      <c r="C14" s="90"/>
      <c r="D14" s="90"/>
      <c r="E14" s="468"/>
      <c r="F14" s="468"/>
      <c r="G14" s="468"/>
      <c r="H14" s="468"/>
      <c r="I14" s="468"/>
      <c r="J14" s="90"/>
      <c r="K14" s="90"/>
      <c r="L14" s="90"/>
      <c r="M14" s="90"/>
      <c r="N14" s="90"/>
      <c r="O14" s="469">
        <f t="shared" si="0"/>
        <v>0</v>
      </c>
    </row>
    <row r="15" spans="2:15">
      <c r="B15" s="89" t="s">
        <v>613</v>
      </c>
      <c r="C15" s="468">
        <v>45000</v>
      </c>
      <c r="D15" s="468">
        <v>45000</v>
      </c>
      <c r="E15" s="468">
        <v>45000</v>
      </c>
      <c r="F15" s="468">
        <v>45000</v>
      </c>
      <c r="G15" s="468">
        <f>+F15</f>
        <v>45000</v>
      </c>
      <c r="H15" s="468">
        <v>45000</v>
      </c>
      <c r="I15" s="468">
        <v>45000</v>
      </c>
      <c r="J15" s="470">
        <f>+I15</f>
        <v>45000</v>
      </c>
      <c r="K15" s="470">
        <f t="shared" ref="K15:N15" si="1">+J15</f>
        <v>45000</v>
      </c>
      <c r="L15" s="470">
        <f t="shared" si="1"/>
        <v>45000</v>
      </c>
      <c r="M15" s="470">
        <f t="shared" si="1"/>
        <v>45000</v>
      </c>
      <c r="N15" s="470">
        <f t="shared" si="1"/>
        <v>45000</v>
      </c>
      <c r="O15" s="469">
        <f t="shared" si="0"/>
        <v>540000</v>
      </c>
    </row>
    <row r="16" spans="2:15">
      <c r="B16" s="89" t="s">
        <v>614</v>
      </c>
      <c r="C16" s="468"/>
      <c r="D16" s="468"/>
      <c r="E16" s="468"/>
      <c r="F16" s="468">
        <v>1000000</v>
      </c>
      <c r="G16" s="468">
        <f t="shared" ref="G16:G18" si="2">+F16</f>
        <v>1000000</v>
      </c>
      <c r="H16" s="468">
        <v>1000000</v>
      </c>
      <c r="I16" s="468">
        <v>1000000</v>
      </c>
      <c r="J16" s="470">
        <f>+I16</f>
        <v>1000000</v>
      </c>
      <c r="K16" s="470">
        <f t="shared" ref="K16:N16" si="3">+J16</f>
        <v>1000000</v>
      </c>
      <c r="L16" s="470">
        <f t="shared" si="3"/>
        <v>1000000</v>
      </c>
      <c r="M16" s="470">
        <f t="shared" si="3"/>
        <v>1000000</v>
      </c>
      <c r="N16" s="470">
        <f t="shared" si="3"/>
        <v>1000000</v>
      </c>
      <c r="O16" s="469">
        <f t="shared" si="0"/>
        <v>9000000</v>
      </c>
    </row>
    <row r="17" spans="2:15">
      <c r="B17" s="89" t="s">
        <v>615</v>
      </c>
      <c r="C17" s="468">
        <v>150000</v>
      </c>
      <c r="D17" s="468">
        <v>150000</v>
      </c>
      <c r="E17" s="468">
        <v>150000</v>
      </c>
      <c r="F17" s="468"/>
      <c r="G17" s="468">
        <f t="shared" si="2"/>
        <v>0</v>
      </c>
      <c r="H17" s="468"/>
      <c r="I17" s="468"/>
      <c r="J17" s="90"/>
      <c r="K17" s="468">
        <v>150000</v>
      </c>
      <c r="L17" s="90"/>
      <c r="M17" s="90"/>
      <c r="N17" s="90"/>
      <c r="O17" s="469">
        <f t="shared" si="0"/>
        <v>600000</v>
      </c>
    </row>
    <row r="18" spans="2:15">
      <c r="B18" s="89" t="s">
        <v>616</v>
      </c>
      <c r="C18" s="468"/>
      <c r="D18" s="468"/>
      <c r="E18" s="468"/>
      <c r="F18" s="468">
        <v>250000</v>
      </c>
      <c r="G18" s="468">
        <f t="shared" si="2"/>
        <v>250000</v>
      </c>
      <c r="H18" s="468">
        <v>250000</v>
      </c>
      <c r="I18" s="468">
        <v>250000</v>
      </c>
      <c r="J18" s="470">
        <f>+I18</f>
        <v>250000</v>
      </c>
      <c r="K18" s="470">
        <f t="shared" ref="K18:N18" si="4">+J18</f>
        <v>250000</v>
      </c>
      <c r="L18" s="470">
        <f t="shared" si="4"/>
        <v>250000</v>
      </c>
      <c r="M18" s="468">
        <f t="shared" si="4"/>
        <v>250000</v>
      </c>
      <c r="N18" s="470">
        <f t="shared" si="4"/>
        <v>250000</v>
      </c>
      <c r="O18" s="469">
        <f t="shared" si="0"/>
        <v>2250000</v>
      </c>
    </row>
    <row r="19" spans="2:15">
      <c r="B19" s="89" t="s">
        <v>617</v>
      </c>
      <c r="C19" s="468">
        <v>2400000</v>
      </c>
      <c r="D19" s="468">
        <v>2400000</v>
      </c>
      <c r="E19" s="468">
        <v>2400000</v>
      </c>
      <c r="F19" s="468">
        <v>2400000</v>
      </c>
      <c r="G19" s="468">
        <v>2400000</v>
      </c>
      <c r="H19" s="468">
        <v>2400000</v>
      </c>
      <c r="I19" s="468">
        <v>2400000</v>
      </c>
      <c r="J19" s="468">
        <v>2400000</v>
      </c>
      <c r="K19" s="468">
        <v>2400000</v>
      </c>
      <c r="L19" s="468">
        <v>2400000</v>
      </c>
      <c r="M19" s="468">
        <v>2400000</v>
      </c>
      <c r="N19" s="468">
        <v>2400000</v>
      </c>
      <c r="O19" s="469">
        <f t="shared" si="0"/>
        <v>28800000</v>
      </c>
    </row>
    <row r="20" spans="2:15">
      <c r="B20" s="89" t="s">
        <v>618</v>
      </c>
      <c r="C20" s="90"/>
      <c r="D20" s="90"/>
      <c r="E20" s="468"/>
      <c r="F20" s="468"/>
      <c r="G20" s="468"/>
      <c r="H20" s="468"/>
      <c r="I20" s="468"/>
      <c r="J20" s="90"/>
      <c r="K20" s="90"/>
      <c r="L20" s="468">
        <v>18000000</v>
      </c>
      <c r="M20" s="468"/>
      <c r="N20" s="90"/>
      <c r="O20" s="469">
        <f t="shared" si="0"/>
        <v>18000000</v>
      </c>
    </row>
    <row r="21" spans="2:15">
      <c r="B21" s="89" t="s">
        <v>619</v>
      </c>
      <c r="C21" s="90"/>
      <c r="D21" s="90"/>
      <c r="E21" s="468"/>
      <c r="F21" s="468"/>
      <c r="G21" s="468"/>
      <c r="H21" s="468"/>
      <c r="I21" s="468"/>
      <c r="J21" s="90"/>
      <c r="K21" s="90"/>
      <c r="L21" s="90"/>
      <c r="M21" s="468">
        <v>20000000</v>
      </c>
      <c r="N21" s="90"/>
      <c r="O21" s="469">
        <f t="shared" si="0"/>
        <v>20000000</v>
      </c>
    </row>
    <row r="22" spans="2:15">
      <c r="B22" s="89" t="s">
        <v>622</v>
      </c>
      <c r="C22" s="468">
        <f t="shared" ref="C22:D22" si="5">SUM(C11:C21)</f>
        <v>2595000</v>
      </c>
      <c r="D22" s="468">
        <f t="shared" si="5"/>
        <v>2595000</v>
      </c>
      <c r="E22" s="468">
        <f>SUM(E11:E21)</f>
        <v>2595000</v>
      </c>
      <c r="F22" s="468">
        <f>SUM(F11:F21)</f>
        <v>3695000</v>
      </c>
      <c r="G22" s="468">
        <f t="shared" ref="G22:N22" si="6">SUM(G11:G21)</f>
        <v>3695000</v>
      </c>
      <c r="H22" s="468">
        <f t="shared" si="6"/>
        <v>32544987</v>
      </c>
      <c r="I22" s="468">
        <f t="shared" si="6"/>
        <v>18212000</v>
      </c>
      <c r="J22" s="468">
        <f t="shared" si="6"/>
        <v>3695000</v>
      </c>
      <c r="K22" s="468">
        <f t="shared" si="6"/>
        <v>3845000</v>
      </c>
      <c r="L22" s="468">
        <f t="shared" si="6"/>
        <v>21695000</v>
      </c>
      <c r="M22" s="468">
        <f t="shared" si="6"/>
        <v>23695000</v>
      </c>
      <c r="N22" s="468">
        <f t="shared" si="6"/>
        <v>3695000</v>
      </c>
      <c r="O22" s="469">
        <f t="shared" si="0"/>
        <v>122556987</v>
      </c>
    </row>
    <row r="23" spans="2:15">
      <c r="B23" s="98"/>
      <c r="C23" s="99"/>
      <c r="D23" s="99"/>
      <c r="E23" s="471"/>
      <c r="F23" s="99"/>
      <c r="G23" s="99"/>
      <c r="H23" s="471"/>
      <c r="I23" s="471"/>
      <c r="J23" s="99"/>
      <c r="K23" s="99"/>
      <c r="L23" s="99"/>
      <c r="M23" s="99"/>
      <c r="N23" s="99"/>
      <c r="O23" s="472"/>
    </row>
    <row r="25" spans="2:15">
      <c r="K25" s="465">
        <f>+K9-K22</f>
        <v>0</v>
      </c>
      <c r="L25" s="465">
        <f>+L22-L9</f>
        <v>0</v>
      </c>
      <c r="M25" s="465">
        <f>+M22-M9</f>
        <v>0</v>
      </c>
    </row>
    <row r="28" spans="2:15">
      <c r="H28" t="s">
        <v>620</v>
      </c>
    </row>
  </sheetData>
  <mergeCells count="3">
    <mergeCell ref="B7:B8"/>
    <mergeCell ref="C7:N7"/>
    <mergeCell ref="O7:O8"/>
  </mergeCells>
  <printOptions horizontalCentered="1"/>
  <pageMargins left="0.31496062992125984" right="0.31496062992125984" top="0.74803149606299213" bottom="0.74803149606299213" header="0.31496062992125984" footer="0.31496062992125984"/>
  <pageSetup paperSize="5" scale="80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92D050"/>
  </sheetPr>
  <dimension ref="A1:N25"/>
  <sheetViews>
    <sheetView workbookViewId="0">
      <selection activeCell="E19" sqref="E19"/>
    </sheetView>
  </sheetViews>
  <sheetFormatPr defaultRowHeight="15"/>
  <cols>
    <col min="1" max="1" width="27.28515625" style="263" customWidth="1"/>
    <col min="2" max="13" width="14.5703125" style="263" customWidth="1"/>
    <col min="14" max="14" width="15.5703125" style="263" customWidth="1"/>
  </cols>
  <sheetData>
    <row r="1" spans="1:14">
      <c r="A1" s="376" t="s">
        <v>584</v>
      </c>
    </row>
    <row r="2" spans="1:14">
      <c r="A2" s="376" t="s">
        <v>667</v>
      </c>
    </row>
    <row r="3" spans="1:14">
      <c r="A3" s="376" t="s">
        <v>228</v>
      </c>
    </row>
    <row r="5" spans="1:14">
      <c r="A5" s="603" t="s">
        <v>1</v>
      </c>
      <c r="B5" s="656" t="s">
        <v>3</v>
      </c>
      <c r="C5" s="656"/>
      <c r="D5" s="656"/>
      <c r="E5" s="656"/>
      <c r="F5" s="656"/>
      <c r="G5" s="656"/>
      <c r="H5" s="656"/>
      <c r="I5" s="656"/>
      <c r="J5" s="656"/>
      <c r="K5" s="656"/>
      <c r="L5" s="656"/>
      <c r="M5" s="656"/>
      <c r="N5" s="696" t="s">
        <v>421</v>
      </c>
    </row>
    <row r="6" spans="1:14">
      <c r="A6" s="605"/>
      <c r="B6" s="657" t="s">
        <v>126</v>
      </c>
      <c r="C6" s="657"/>
      <c r="D6" s="657"/>
      <c r="E6" s="657"/>
      <c r="F6" s="657"/>
      <c r="G6" s="657"/>
      <c r="H6" s="657"/>
      <c r="I6" s="657"/>
      <c r="J6" s="657"/>
      <c r="K6" s="657"/>
      <c r="L6" s="657"/>
      <c r="M6" s="657"/>
      <c r="N6" s="697"/>
    </row>
    <row r="7" spans="1:14">
      <c r="A7" s="605"/>
      <c r="B7" s="264" t="s">
        <v>4</v>
      </c>
      <c r="C7" s="264" t="s">
        <v>5</v>
      </c>
      <c r="D7" s="264" t="s">
        <v>6</v>
      </c>
      <c r="E7" s="264" t="s">
        <v>7</v>
      </c>
      <c r="F7" s="264" t="s">
        <v>8</v>
      </c>
      <c r="G7" s="264" t="s">
        <v>9</v>
      </c>
      <c r="H7" s="264" t="s">
        <v>127</v>
      </c>
      <c r="I7" s="264" t="s">
        <v>129</v>
      </c>
      <c r="J7" s="264" t="s">
        <v>142</v>
      </c>
      <c r="K7" s="264" t="s">
        <v>131</v>
      </c>
      <c r="L7" s="264" t="s">
        <v>132</v>
      </c>
      <c r="M7" s="264" t="s">
        <v>133</v>
      </c>
      <c r="N7" s="698"/>
    </row>
    <row r="8" spans="1:14">
      <c r="A8" s="476"/>
      <c r="B8" s="476"/>
      <c r="C8" s="476"/>
      <c r="D8" s="476"/>
      <c r="E8" s="476"/>
      <c r="F8" s="476"/>
      <c r="G8" s="476"/>
      <c r="H8" s="476"/>
      <c r="I8" s="476"/>
      <c r="J8" s="476"/>
      <c r="K8" s="476"/>
      <c r="L8" s="476"/>
      <c r="M8" s="476"/>
      <c r="N8" s="477"/>
    </row>
    <row r="9" spans="1:14">
      <c r="A9" s="270" t="s">
        <v>668</v>
      </c>
      <c r="B9" s="264">
        <f>+'CF 2017'!D91</f>
        <v>1155000000</v>
      </c>
      <c r="C9" s="264">
        <f>+'CF 2017'!E91</f>
        <v>1173711000</v>
      </c>
      <c r="D9" s="264">
        <f>+'CF 2017'!F91</f>
        <v>1218781502.3999999</v>
      </c>
      <c r="E9" s="264">
        <f>+'CF 2017'!G91</f>
        <v>1213175107.48896</v>
      </c>
      <c r="F9" s="264">
        <f>+'CF 2017'!H91</f>
        <v>1201043356.4140704</v>
      </c>
      <c r="G9" s="264">
        <f>+'CF 2017'!I91</f>
        <v>1028033489.64438</v>
      </c>
      <c r="H9" s="264">
        <f>+'CF 2017'!J91</f>
        <v>1042366475.64438</v>
      </c>
      <c r="I9" s="264">
        <f>+'CF 2017'!K91</f>
        <v>1152335539.4723799</v>
      </c>
      <c r="J9" s="264">
        <f>+'CF 2017'!L91</f>
        <v>1013461873.97569</v>
      </c>
      <c r="K9" s="264">
        <f>+'CF 2017'!M91</f>
        <v>995611874.97569001</v>
      </c>
      <c r="L9" s="264">
        <f>+'CF 2017'!N91</f>
        <v>1110169492.6335001</v>
      </c>
      <c r="M9" s="264">
        <f>+'CF 2017'!O91</f>
        <v>1194157502.6335001</v>
      </c>
      <c r="N9" s="321">
        <f>SUM(B9:M9)</f>
        <v>13497847215.282551</v>
      </c>
    </row>
    <row r="10" spans="1:14" ht="30">
      <c r="A10" s="271" t="s">
        <v>669</v>
      </c>
      <c r="B10" s="264">
        <f>+'CF 2017'!D92</f>
        <v>94500000</v>
      </c>
      <c r="C10" s="264">
        <f>+'CF 2017'!E92</f>
        <v>96030900</v>
      </c>
      <c r="D10" s="264">
        <f>+'CF 2017'!F92</f>
        <v>99718486.559999987</v>
      </c>
      <c r="E10" s="264">
        <f>+'CF 2017'!G92</f>
        <v>99259781.521823987</v>
      </c>
      <c r="F10" s="264">
        <f>+'CF 2017'!H92</f>
        <v>98267183.706605747</v>
      </c>
      <c r="G10" s="264">
        <f>+'CF 2017'!I92</f>
        <v>86475121.661813051</v>
      </c>
      <c r="H10" s="264">
        <f>+'CF 2017'!J92</f>
        <v>86475121.661813051</v>
      </c>
      <c r="I10" s="264">
        <f>+'CF 2017'!K92</f>
        <v>94257882.611376226</v>
      </c>
      <c r="J10" s="264">
        <f>+'CF 2017'!L92</f>
        <v>82946936.698011085</v>
      </c>
      <c r="K10" s="264">
        <f>+'CF 2017'!M92</f>
        <v>82946936.698011085</v>
      </c>
      <c r="L10" s="264">
        <f>+'CF 2017'!N92</f>
        <v>90412161.000832081</v>
      </c>
      <c r="M10" s="264">
        <f>+'CF 2017'!O92</f>
        <v>90412161.000832081</v>
      </c>
      <c r="N10" s="321">
        <f>SUM(B10:M10)</f>
        <v>1101702673.1211183</v>
      </c>
    </row>
    <row r="11" spans="1:14">
      <c r="A11" s="270"/>
      <c r="B11" s="264"/>
      <c r="C11" s="264"/>
      <c r="D11" s="264"/>
      <c r="E11" s="264"/>
      <c r="F11" s="264"/>
      <c r="G11" s="264"/>
      <c r="H11" s="264"/>
      <c r="I11" s="264"/>
      <c r="J11" s="264"/>
      <c r="K11" s="264"/>
      <c r="L11" s="264"/>
      <c r="M11" s="264"/>
      <c r="N11" s="321"/>
    </row>
    <row r="12" spans="1:14">
      <c r="A12" s="478" t="s">
        <v>235</v>
      </c>
      <c r="B12" s="458">
        <f>SUM(B9:B11)</f>
        <v>1249500000</v>
      </c>
      <c r="C12" s="458">
        <f t="shared" ref="C12:M12" si="0">SUM(C9:C11)</f>
        <v>1269741900</v>
      </c>
      <c r="D12" s="458">
        <f t="shared" si="0"/>
        <v>1318499988.9599998</v>
      </c>
      <c r="E12" s="458">
        <f t="shared" si="0"/>
        <v>1312434889.0107839</v>
      </c>
      <c r="F12" s="458">
        <f t="shared" si="0"/>
        <v>1299310540.120676</v>
      </c>
      <c r="G12" s="458">
        <f t="shared" si="0"/>
        <v>1114508611.3061931</v>
      </c>
      <c r="H12" s="458">
        <f t="shared" si="0"/>
        <v>1128841597.3061931</v>
      </c>
      <c r="I12" s="458">
        <f t="shared" si="0"/>
        <v>1246593422.0837562</v>
      </c>
      <c r="J12" s="458">
        <f t="shared" si="0"/>
        <v>1096408810.673701</v>
      </c>
      <c r="K12" s="458">
        <f t="shared" si="0"/>
        <v>1078558811.673701</v>
      </c>
      <c r="L12" s="458">
        <f t="shared" si="0"/>
        <v>1200581653.6343322</v>
      </c>
      <c r="M12" s="458">
        <f t="shared" si="0"/>
        <v>1284569663.6343322</v>
      </c>
      <c r="N12" s="459">
        <f>SUM(N9:N11)</f>
        <v>14599549888.403669</v>
      </c>
    </row>
    <row r="13" spans="1:14">
      <c r="N13" s="479"/>
    </row>
    <row r="16" spans="1:14">
      <c r="N16" s="479"/>
    </row>
    <row r="22" spans="2:14">
      <c r="B22" s="480">
        <f t="shared" ref="B22:L22" si="1">+B12</f>
        <v>1249500000</v>
      </c>
      <c r="C22" s="480">
        <f t="shared" si="1"/>
        <v>1269741900</v>
      </c>
      <c r="D22" s="480">
        <f t="shared" si="1"/>
        <v>1318499988.9599998</v>
      </c>
      <c r="E22" s="480">
        <f t="shared" si="1"/>
        <v>1312434889.0107839</v>
      </c>
      <c r="F22" s="480">
        <f t="shared" si="1"/>
        <v>1299310540.120676</v>
      </c>
      <c r="G22" s="480">
        <f t="shared" si="1"/>
        <v>1114508611.3061931</v>
      </c>
      <c r="H22" s="480">
        <f t="shared" si="1"/>
        <v>1128841597.3061931</v>
      </c>
      <c r="I22" s="480">
        <f t="shared" si="1"/>
        <v>1246593422.0837562</v>
      </c>
      <c r="J22" s="480">
        <f t="shared" si="1"/>
        <v>1096408810.673701</v>
      </c>
      <c r="K22" s="480">
        <f t="shared" si="1"/>
        <v>1078558811.673701</v>
      </c>
      <c r="L22" s="480">
        <f t="shared" si="1"/>
        <v>1200581653.6343322</v>
      </c>
      <c r="M22" s="480">
        <f>+M12</f>
        <v>1284569663.6343322</v>
      </c>
    </row>
    <row r="25" spans="2:14">
      <c r="N25" s="480">
        <f>SUM(A22:M22)</f>
        <v>14599549888.403667</v>
      </c>
    </row>
  </sheetData>
  <mergeCells count="4">
    <mergeCell ref="A5:A7"/>
    <mergeCell ref="B5:M5"/>
    <mergeCell ref="B6:M6"/>
    <mergeCell ref="N5:N7"/>
  </mergeCells>
  <pageMargins left="0.11811023622047245" right="0.31496062992125984" top="0.74803149606299213" bottom="0.74803149606299213" header="0.31496062992125984" footer="0.31496062992125984"/>
  <pageSetup paperSize="5" scale="75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92D050"/>
  </sheetPr>
  <dimension ref="A1:P51"/>
  <sheetViews>
    <sheetView workbookViewId="0">
      <selection activeCell="O48" sqref="O48"/>
    </sheetView>
  </sheetViews>
  <sheetFormatPr defaultRowHeight="15.75"/>
  <cols>
    <col min="1" max="1" width="4" style="484" customWidth="1"/>
    <col min="2" max="2" width="37.28515625" style="484" customWidth="1"/>
    <col min="3" max="11" width="13.85546875" style="484" customWidth="1"/>
    <col min="12" max="15" width="16.140625" style="484" customWidth="1"/>
  </cols>
  <sheetData>
    <row r="1" spans="1:15">
      <c r="A1" s="410" t="s">
        <v>584</v>
      </c>
      <c r="B1" s="341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95"/>
      <c r="N1" s="295"/>
      <c r="O1" s="295"/>
    </row>
    <row r="2" spans="1:15">
      <c r="A2" s="410" t="s">
        <v>672</v>
      </c>
      <c r="B2" s="341"/>
      <c r="C2" s="227"/>
      <c r="D2" s="227"/>
      <c r="E2" s="227"/>
      <c r="F2" s="343"/>
      <c r="G2" s="343"/>
      <c r="H2" s="343">
        <v>2139828425</v>
      </c>
      <c r="I2" s="227"/>
      <c r="J2" s="227"/>
      <c r="K2" s="227"/>
      <c r="L2" s="227"/>
      <c r="M2" s="295"/>
      <c r="N2" s="295"/>
      <c r="O2" s="295"/>
    </row>
    <row r="3" spans="1:15">
      <c r="A3" s="410" t="s">
        <v>228</v>
      </c>
      <c r="B3" s="341"/>
      <c r="C3" s="330"/>
      <c r="D3" s="330"/>
      <c r="E3" s="330"/>
      <c r="F3" s="344"/>
      <c r="G3" s="343">
        <v>339448122</v>
      </c>
      <c r="H3" s="343"/>
      <c r="I3" s="227"/>
      <c r="J3" s="227"/>
      <c r="K3" s="227"/>
      <c r="L3" s="227"/>
      <c r="M3" s="295"/>
      <c r="N3" s="295"/>
      <c r="O3" s="295"/>
    </row>
    <row r="4" spans="1:15">
      <c r="A4" s="342"/>
      <c r="B4" s="342"/>
      <c r="C4" s="227"/>
      <c r="D4" s="227"/>
      <c r="E4" s="227"/>
      <c r="F4" s="343"/>
      <c r="G4" s="343"/>
      <c r="H4" s="343">
        <v>113149374</v>
      </c>
      <c r="I4" s="227"/>
      <c r="J4" s="227"/>
      <c r="K4" s="227"/>
      <c r="L4" s="227"/>
      <c r="M4" s="295"/>
      <c r="N4" s="295"/>
      <c r="O4" s="295"/>
    </row>
    <row r="5" spans="1:15">
      <c r="A5" s="342"/>
      <c r="B5" s="342"/>
      <c r="C5" s="227"/>
      <c r="D5" s="227"/>
      <c r="E5" s="227"/>
      <c r="F5" s="227"/>
      <c r="G5" s="227"/>
      <c r="H5" s="227"/>
      <c r="I5" s="227"/>
      <c r="J5" s="227"/>
      <c r="K5" s="227"/>
      <c r="L5" s="292"/>
      <c r="M5" s="295"/>
      <c r="N5" s="295"/>
      <c r="O5" s="295"/>
    </row>
    <row r="6" spans="1:15">
      <c r="A6" s="543" t="s">
        <v>1</v>
      </c>
      <c r="B6" s="544"/>
      <c r="C6" s="553" t="s">
        <v>3</v>
      </c>
      <c r="D6" s="553"/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6" t="s">
        <v>235</v>
      </c>
    </row>
    <row r="7" spans="1:15">
      <c r="A7" s="545"/>
      <c r="B7" s="546"/>
      <c r="C7" s="554" t="s">
        <v>126</v>
      </c>
      <c r="D7" s="554"/>
      <c r="E7" s="554"/>
      <c r="F7" s="554"/>
      <c r="G7" s="554"/>
      <c r="H7" s="554"/>
      <c r="I7" s="554"/>
      <c r="J7" s="554"/>
      <c r="K7" s="554"/>
      <c r="L7" s="554"/>
      <c r="M7" s="554"/>
      <c r="N7" s="554"/>
      <c r="O7" s="557"/>
    </row>
    <row r="8" spans="1:15">
      <c r="A8" s="545"/>
      <c r="B8" s="546"/>
      <c r="C8" s="241" t="s">
        <v>4</v>
      </c>
      <c r="D8" s="241" t="s">
        <v>5</v>
      </c>
      <c r="E8" s="241" t="s">
        <v>6</v>
      </c>
      <c r="F8" s="241" t="s">
        <v>7</v>
      </c>
      <c r="G8" s="241" t="s">
        <v>8</v>
      </c>
      <c r="H8" s="241" t="s">
        <v>9</v>
      </c>
      <c r="I8" s="241" t="s">
        <v>127</v>
      </c>
      <c r="J8" s="241" t="s">
        <v>129</v>
      </c>
      <c r="K8" s="241" t="s">
        <v>142</v>
      </c>
      <c r="L8" s="241" t="s">
        <v>131</v>
      </c>
      <c r="M8" s="241" t="s">
        <v>132</v>
      </c>
      <c r="N8" s="241" t="s">
        <v>133</v>
      </c>
      <c r="O8" s="557"/>
    </row>
    <row r="9" spans="1:15" hidden="1">
      <c r="A9" s="545" t="s">
        <v>236</v>
      </c>
      <c r="B9" s="546"/>
      <c r="C9" s="241"/>
      <c r="D9" s="241">
        <v>5.0300000000000011</v>
      </c>
      <c r="E9" s="241">
        <v>3.8399999999999892</v>
      </c>
      <c r="F9" s="241">
        <v>-1.0599999999999881</v>
      </c>
      <c r="G9" s="241">
        <v>-3.1400000000000006</v>
      </c>
      <c r="H9" s="241">
        <v>-10.969999999999999</v>
      </c>
      <c r="I9" s="241">
        <v>1.6699999999999875</v>
      </c>
      <c r="J9" s="239">
        <v>0.04</v>
      </c>
      <c r="K9" s="239">
        <v>0.02</v>
      </c>
      <c r="L9" s="335">
        <v>2</v>
      </c>
      <c r="M9" s="335">
        <v>0</v>
      </c>
      <c r="N9" s="239">
        <v>0</v>
      </c>
      <c r="O9" s="329"/>
    </row>
    <row r="10" spans="1:15" hidden="1">
      <c r="A10" s="547" t="s">
        <v>134</v>
      </c>
      <c r="B10" s="548"/>
      <c r="C10" s="253">
        <v>80.59</v>
      </c>
      <c r="D10" s="253">
        <v>85.62</v>
      </c>
      <c r="E10" s="253">
        <v>89.46</v>
      </c>
      <c r="F10" s="253">
        <v>88.4</v>
      </c>
      <c r="G10" s="253">
        <v>85.26</v>
      </c>
      <c r="H10" s="253">
        <v>74.290000000000006</v>
      </c>
      <c r="I10" s="253">
        <v>75.959999999999994</v>
      </c>
      <c r="J10" s="241">
        <v>84</v>
      </c>
      <c r="K10" s="241">
        <v>84</v>
      </c>
      <c r="L10" s="241">
        <v>86</v>
      </c>
      <c r="M10" s="241">
        <v>86</v>
      </c>
      <c r="N10" s="241">
        <v>86</v>
      </c>
      <c r="O10" s="331">
        <v>83.798333333333332</v>
      </c>
    </row>
    <row r="11" spans="1:15" ht="15.75" hidden="1" customHeight="1">
      <c r="A11" s="243" t="s">
        <v>10</v>
      </c>
      <c r="B11" s="498"/>
      <c r="C11" s="241">
        <v>509102793.48072398</v>
      </c>
      <c r="D11" s="241">
        <v>2295156009.4807243</v>
      </c>
      <c r="E11" s="241">
        <v>989117143.42072487</v>
      </c>
      <c r="F11" s="241">
        <v>852499989.90072536</v>
      </c>
      <c r="G11" s="241">
        <v>1021078314.5707259</v>
      </c>
      <c r="H11" s="241">
        <v>1052833937.2507267</v>
      </c>
      <c r="I11" s="241">
        <v>558040010.34072685</v>
      </c>
      <c r="J11" s="241">
        <v>703371846.34072685</v>
      </c>
      <c r="K11" s="241">
        <v>494023502.40032673</v>
      </c>
      <c r="L11" s="241">
        <v>1254418576.6793394</v>
      </c>
      <c r="M11" s="241">
        <v>1382442602.2761555</v>
      </c>
      <c r="N11" s="241">
        <v>2359253736.1188927</v>
      </c>
      <c r="O11" s="331"/>
    </row>
    <row r="12" spans="1:15" hidden="1">
      <c r="A12" s="243"/>
      <c r="B12" s="500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331"/>
    </row>
    <row r="13" spans="1:15" ht="15.75" hidden="1" customHeight="1">
      <c r="A13" s="243" t="s">
        <v>12</v>
      </c>
      <c r="B13" s="498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331"/>
    </row>
    <row r="14" spans="1:15" ht="15.75" hidden="1" customHeight="1">
      <c r="A14" s="243"/>
      <c r="B14" s="499"/>
      <c r="C14" s="241">
        <v>1226236460</v>
      </c>
      <c r="D14" s="241">
        <v>1245072187</v>
      </c>
      <c r="E14" s="241">
        <v>1490172832</v>
      </c>
      <c r="F14" s="241">
        <v>1448111058</v>
      </c>
      <c r="G14" s="241">
        <v>1373836626.6800001</v>
      </c>
      <c r="H14" s="241">
        <v>1105448034</v>
      </c>
      <c r="I14" s="241">
        <v>1117171061</v>
      </c>
      <c r="J14" s="241">
        <v>1117617929.4244001</v>
      </c>
      <c r="K14" s="241">
        <v>1117841453.0102849</v>
      </c>
      <c r="L14" s="241">
        <v>1140198282.0704906</v>
      </c>
      <c r="M14" s="241">
        <v>1140198282.0704906</v>
      </c>
      <c r="N14" s="241">
        <v>1140198282.0704906</v>
      </c>
      <c r="O14" s="331">
        <v>14662102487.326155</v>
      </c>
    </row>
    <row r="15" spans="1:15" ht="15.75" hidden="1" customHeight="1">
      <c r="A15" s="243"/>
      <c r="B15" s="499"/>
      <c r="C15" s="241">
        <v>271454599</v>
      </c>
      <c r="D15" s="241">
        <v>325014189</v>
      </c>
      <c r="E15" s="241">
        <v>386263938</v>
      </c>
      <c r="F15" s="241">
        <v>348048968</v>
      </c>
      <c r="G15" s="241">
        <v>305974766</v>
      </c>
      <c r="H15" s="241">
        <v>308201859</v>
      </c>
      <c r="I15" s="241">
        <v>305606319</v>
      </c>
      <c r="J15" s="241">
        <v>305728561.52759999</v>
      </c>
      <c r="K15" s="241">
        <v>305789707.23990554</v>
      </c>
      <c r="L15" s="241">
        <v>311905501.38470364</v>
      </c>
      <c r="M15" s="241">
        <v>311905501.38470364</v>
      </c>
      <c r="N15" s="241">
        <v>311905501.38470364</v>
      </c>
      <c r="O15" s="331">
        <v>3797799410.9216161</v>
      </c>
    </row>
    <row r="16" spans="1:15" ht="15.75" hidden="1" customHeight="1">
      <c r="A16" s="243"/>
      <c r="B16" s="499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>
        <v>40000000</v>
      </c>
      <c r="N16" s="241">
        <v>40000000</v>
      </c>
      <c r="O16" s="331">
        <v>80000000</v>
      </c>
    </row>
    <row r="17" spans="1:15" ht="15.75" hidden="1" customHeight="1">
      <c r="A17" s="243"/>
      <c r="B17" s="499"/>
      <c r="C17" s="241">
        <v>3448323712</v>
      </c>
      <c r="D17" s="241"/>
      <c r="E17" s="241">
        <v>1810047921</v>
      </c>
      <c r="F17" s="241">
        <v>1894759925</v>
      </c>
      <c r="G17" s="241">
        <v>2143179750</v>
      </c>
      <c r="H17" s="241">
        <v>2253989465</v>
      </c>
      <c r="I17" s="241">
        <v>2304494700</v>
      </c>
      <c r="J17" s="241">
        <v>2139828425</v>
      </c>
      <c r="K17" s="241">
        <v>2279816696</v>
      </c>
      <c r="L17" s="241">
        <v>2305416497.8800001</v>
      </c>
      <c r="M17" s="241">
        <v>2305877581.1795759</v>
      </c>
      <c r="N17" s="241">
        <v>2328936356.9913716</v>
      </c>
      <c r="O17" s="331">
        <v>25214671030.050949</v>
      </c>
    </row>
    <row r="18" spans="1:15" ht="15.75" hidden="1" customHeight="1">
      <c r="A18" s="243"/>
      <c r="B18" s="499"/>
      <c r="C18" s="241">
        <v>567782648.1500001</v>
      </c>
      <c r="D18" s="241">
        <v>403859135.04000002</v>
      </c>
      <c r="E18" s="241">
        <v>322250999.04999995</v>
      </c>
      <c r="F18" s="241">
        <v>287926935.23000002</v>
      </c>
      <c r="G18" s="241">
        <v>354449738</v>
      </c>
      <c r="H18" s="241">
        <v>340342769</v>
      </c>
      <c r="I18" s="241">
        <v>551867426</v>
      </c>
      <c r="J18" s="241">
        <v>340478906.10759997</v>
      </c>
      <c r="K18" s="241">
        <v>340547001.88882148</v>
      </c>
      <c r="L18" s="241">
        <v>340547001.88882148</v>
      </c>
      <c r="M18" s="241">
        <v>343952471.90770972</v>
      </c>
      <c r="N18" s="241">
        <v>347391996.62678683</v>
      </c>
      <c r="O18" s="331">
        <v>4541397028.88974</v>
      </c>
    </row>
    <row r="19" spans="1:15" ht="15.75" hidden="1" customHeight="1">
      <c r="A19" s="243"/>
      <c r="B19" s="499"/>
      <c r="C19" s="241"/>
      <c r="D19" s="241"/>
      <c r="E19" s="241"/>
      <c r="F19" s="241"/>
      <c r="G19" s="241"/>
      <c r="H19" s="241"/>
      <c r="I19" s="241"/>
      <c r="J19" s="241"/>
      <c r="K19" s="241">
        <v>1000000000</v>
      </c>
      <c r="L19" s="241">
        <v>3000000000</v>
      </c>
      <c r="M19" s="241">
        <v>4000000000</v>
      </c>
      <c r="N19" s="241"/>
      <c r="O19" s="331">
        <v>8000000000</v>
      </c>
    </row>
    <row r="20" spans="1:15" ht="15.75" hidden="1" customHeight="1">
      <c r="A20" s="243"/>
      <c r="B20" s="499"/>
      <c r="C20" s="241"/>
      <c r="D20" s="241"/>
      <c r="E20" s="241"/>
      <c r="F20" s="241">
        <v>10000000</v>
      </c>
      <c r="G20" s="241"/>
      <c r="H20" s="241"/>
      <c r="I20" s="241"/>
      <c r="J20" s="241"/>
      <c r="K20" s="241"/>
      <c r="L20" s="241"/>
      <c r="M20" s="241"/>
      <c r="N20" s="241"/>
      <c r="O20" s="331">
        <v>10000000</v>
      </c>
    </row>
    <row r="21" spans="1:15" ht="15.75" hidden="1" customHeight="1">
      <c r="A21" s="243"/>
      <c r="B21" s="499"/>
      <c r="C21" s="241"/>
      <c r="D21" s="241"/>
      <c r="E21" s="241"/>
      <c r="F21" s="241"/>
      <c r="G21" s="241">
        <v>20250000</v>
      </c>
      <c r="H21" s="241"/>
      <c r="I21" s="241"/>
      <c r="J21" s="241"/>
      <c r="K21" s="241"/>
      <c r="L21" s="241"/>
      <c r="M21" s="241"/>
      <c r="N21" s="241"/>
      <c r="O21" s="331">
        <v>20250000</v>
      </c>
    </row>
    <row r="22" spans="1:15" ht="15.75" hidden="1" customHeight="1">
      <c r="A22" s="243"/>
      <c r="B22" s="499"/>
      <c r="C22" s="241">
        <v>25313806</v>
      </c>
      <c r="D22" s="241"/>
      <c r="E22" s="241">
        <v>8335066</v>
      </c>
      <c r="F22" s="241"/>
      <c r="G22" s="241"/>
      <c r="H22" s="241">
        <v>35674833</v>
      </c>
      <c r="I22" s="241"/>
      <c r="J22" s="241"/>
      <c r="K22" s="241"/>
      <c r="L22" s="241"/>
      <c r="M22" s="241"/>
      <c r="N22" s="241"/>
      <c r="O22" s="331">
        <v>69323705</v>
      </c>
    </row>
    <row r="23" spans="1:15" ht="15.75" hidden="1" customHeight="1">
      <c r="A23" s="243"/>
      <c r="B23" s="499"/>
      <c r="C23" s="241"/>
      <c r="D23" s="241"/>
      <c r="E23" s="241"/>
      <c r="F23" s="241"/>
      <c r="G23" s="241"/>
      <c r="H23" s="241">
        <v>5000000</v>
      </c>
      <c r="I23" s="241">
        <v>12000000</v>
      </c>
      <c r="J23" s="241"/>
      <c r="K23" s="241"/>
      <c r="L23" s="241"/>
      <c r="M23" s="241"/>
      <c r="N23" s="241"/>
      <c r="O23" s="331">
        <v>17000000</v>
      </c>
    </row>
    <row r="24" spans="1:15" ht="15.75" hidden="1" customHeight="1">
      <c r="A24" s="243"/>
      <c r="B24" s="499"/>
      <c r="C24" s="241">
        <v>26000000</v>
      </c>
      <c r="D24" s="241"/>
      <c r="E24" s="241">
        <v>12000000</v>
      </c>
      <c r="F24" s="241"/>
      <c r="G24" s="241"/>
      <c r="H24" s="241"/>
      <c r="I24" s="241"/>
      <c r="J24" s="241"/>
      <c r="K24" s="241"/>
      <c r="L24" s="241"/>
      <c r="M24" s="241"/>
      <c r="N24" s="241"/>
      <c r="O24" s="331">
        <v>38000000</v>
      </c>
    </row>
    <row r="25" spans="1:15" ht="15.75" hidden="1" customHeight="1">
      <c r="A25" s="243"/>
      <c r="B25" s="499"/>
      <c r="C25" s="241">
        <v>119817100</v>
      </c>
      <c r="D25" s="241">
        <v>113985608</v>
      </c>
      <c r="E25" s="241">
        <v>131553548</v>
      </c>
      <c r="F25" s="241">
        <v>221390411</v>
      </c>
      <c r="G25" s="241">
        <v>272052525</v>
      </c>
      <c r="H25" s="241">
        <v>287442928</v>
      </c>
      <c r="I25" s="241">
        <v>291178944</v>
      </c>
      <c r="J25" s="241">
        <v>242296141</v>
      </c>
      <c r="K25" s="241">
        <v>251987986.63999999</v>
      </c>
      <c r="L25" s="241">
        <v>257027746.37279999</v>
      </c>
      <c r="M25" s="241">
        <v>262168301.30025598</v>
      </c>
      <c r="N25" s="241">
        <v>262168301.30025598</v>
      </c>
      <c r="O25" s="331">
        <v>2713069540.6133113</v>
      </c>
    </row>
    <row r="26" spans="1:15" ht="15.75" hidden="1" customHeight="1">
      <c r="A26" s="243"/>
      <c r="B26" s="499"/>
      <c r="C26" s="241">
        <v>1083726.8500000001</v>
      </c>
      <c r="D26" s="241">
        <v>766658.9</v>
      </c>
      <c r="E26" s="241">
        <v>984887</v>
      </c>
      <c r="F26" s="241">
        <v>915692</v>
      </c>
      <c r="G26" s="241"/>
      <c r="H26" s="241"/>
      <c r="I26" s="241"/>
      <c r="J26" s="241"/>
      <c r="K26" s="241"/>
      <c r="L26" s="241"/>
      <c r="M26" s="241"/>
      <c r="N26" s="241"/>
      <c r="O26" s="331">
        <v>3750964.75</v>
      </c>
    </row>
    <row r="27" spans="1:15" ht="15.75" hidden="1" customHeight="1">
      <c r="A27" s="243"/>
      <c r="B27" s="498"/>
      <c r="C27" s="245">
        <v>5686012052</v>
      </c>
      <c r="D27" s="245">
        <v>2088697777.9400001</v>
      </c>
      <c r="E27" s="245">
        <v>4161609191.0500002</v>
      </c>
      <c r="F27" s="245">
        <v>4211152989.23</v>
      </c>
      <c r="G27" s="245">
        <v>4469743405.6800003</v>
      </c>
      <c r="H27" s="245">
        <v>4336099888</v>
      </c>
      <c r="I27" s="245">
        <v>4582318450</v>
      </c>
      <c r="J27" s="245">
        <v>4145949963.0595999</v>
      </c>
      <c r="K27" s="245">
        <v>5295982844.7790127</v>
      </c>
      <c r="L27" s="245">
        <v>7355095029.5968161</v>
      </c>
      <c r="M27" s="245">
        <v>8404102137.8427362</v>
      </c>
      <c r="N27" s="245">
        <v>4430600438.3736086</v>
      </c>
      <c r="O27" s="332">
        <v>59167364167.551781</v>
      </c>
    </row>
    <row r="28" spans="1:15" hidden="1">
      <c r="A28" s="243"/>
      <c r="B28" s="498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332">
        <v>0</v>
      </c>
    </row>
    <row r="29" spans="1:15" ht="15.75" hidden="1" customHeight="1">
      <c r="A29" s="243" t="s">
        <v>19</v>
      </c>
      <c r="B29" s="498"/>
      <c r="C29" s="245">
        <v>6195114845.4807243</v>
      </c>
      <c r="D29" s="245">
        <v>4383853787.4207249</v>
      </c>
      <c r="E29" s="245">
        <v>5150726334.4707251</v>
      </c>
      <c r="F29" s="245">
        <v>5063652979.1307259</v>
      </c>
      <c r="G29" s="245">
        <v>5490821720.2507267</v>
      </c>
      <c r="H29" s="245">
        <v>5388933825.2507267</v>
      </c>
      <c r="I29" s="245">
        <v>5140358460.3407269</v>
      </c>
      <c r="J29" s="245">
        <v>4849321809.4003267</v>
      </c>
      <c r="K29" s="245">
        <v>5790006347.1793394</v>
      </c>
      <c r="L29" s="245">
        <v>8609513606.2761555</v>
      </c>
      <c r="M29" s="245">
        <v>9786544740.1188927</v>
      </c>
      <c r="N29" s="245">
        <v>6789854174.4925013</v>
      </c>
      <c r="O29" s="332">
        <v>59676466961.032501</v>
      </c>
    </row>
    <row r="30" spans="1:15">
      <c r="A30" s="243"/>
      <c r="B30" s="498"/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331">
        <v>0</v>
      </c>
    </row>
    <row r="31" spans="1:15">
      <c r="A31" s="243"/>
      <c r="B31" s="541"/>
      <c r="C31" s="5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331">
        <v>0</v>
      </c>
    </row>
    <row r="32" spans="1:15">
      <c r="A32" s="243">
        <v>1</v>
      </c>
      <c r="B32" s="248" t="s">
        <v>713</v>
      </c>
      <c r="C32" s="241">
        <v>9450000</v>
      </c>
      <c r="D32" s="241">
        <v>9603090</v>
      </c>
      <c r="E32" s="241">
        <v>9971848.6559999995</v>
      </c>
      <c r="F32" s="241">
        <v>9925978.1521824002</v>
      </c>
      <c r="G32" s="241">
        <v>9826718.370660577</v>
      </c>
      <c r="H32" s="241">
        <v>8647512.1661813073</v>
      </c>
      <c r="I32" s="241">
        <v>8647512.1661813073</v>
      </c>
      <c r="J32" s="241">
        <v>9425788.2611376252</v>
      </c>
      <c r="K32" s="241">
        <v>8294693.6698011104</v>
      </c>
      <c r="L32" s="241">
        <v>8294693.6698011104</v>
      </c>
      <c r="M32" s="241">
        <v>9041216.1000832096</v>
      </c>
      <c r="N32" s="241">
        <v>9041216.1000832096</v>
      </c>
      <c r="O32" s="331">
        <f>SUM(C32:N32)</f>
        <v>110170267.31211185</v>
      </c>
    </row>
    <row r="33" spans="1:15">
      <c r="A33" s="243">
        <v>2</v>
      </c>
      <c r="B33" s="248" t="s">
        <v>544</v>
      </c>
      <c r="C33" s="241">
        <v>4200000</v>
      </c>
      <c r="D33" s="241">
        <v>4268040</v>
      </c>
      <c r="E33" s="241">
        <v>4431932.7359999996</v>
      </c>
      <c r="F33" s="241">
        <v>4411545.8454144001</v>
      </c>
      <c r="G33" s="241">
        <v>4367430.3869602559</v>
      </c>
      <c r="H33" s="241">
        <v>3843338.7405250254</v>
      </c>
      <c r="I33" s="241">
        <v>3843338.7405250254</v>
      </c>
      <c r="J33" s="241">
        <v>4189239.2271722779</v>
      </c>
      <c r="K33" s="241">
        <v>3686530.5199116045</v>
      </c>
      <c r="L33" s="241">
        <v>3686530.5199116045</v>
      </c>
      <c r="M33" s="241">
        <v>4018318.266703649</v>
      </c>
      <c r="N33" s="241">
        <v>4018318.266703649</v>
      </c>
      <c r="O33" s="331">
        <f t="shared" ref="O33:O42" si="0">SUM(C33:N33)</f>
        <v>48964563.249827489</v>
      </c>
    </row>
    <row r="34" spans="1:15">
      <c r="A34" s="243">
        <v>3</v>
      </c>
      <c r="B34" s="248" t="s">
        <v>545</v>
      </c>
      <c r="C34" s="241">
        <v>1575000</v>
      </c>
      <c r="D34" s="241">
        <v>1600515</v>
      </c>
      <c r="E34" s="241">
        <v>1661974.7759999998</v>
      </c>
      <c r="F34" s="241">
        <v>1654329.6920304</v>
      </c>
      <c r="G34" s="241">
        <v>1637786.3951100961</v>
      </c>
      <c r="H34" s="241">
        <v>1441252.0276968845</v>
      </c>
      <c r="I34" s="241">
        <v>1441252.0276968845</v>
      </c>
      <c r="J34" s="241">
        <v>1570964.710189604</v>
      </c>
      <c r="K34" s="241">
        <v>1382448.9449668515</v>
      </c>
      <c r="L34" s="241">
        <v>1382448.9449668515</v>
      </c>
      <c r="M34" s="241">
        <v>1506869.3500138682</v>
      </c>
      <c r="N34" s="241">
        <v>1506869.3500138682</v>
      </c>
      <c r="O34" s="331">
        <f t="shared" si="0"/>
        <v>18361711.218685307</v>
      </c>
    </row>
    <row r="35" spans="1:15">
      <c r="A35" s="243">
        <v>4</v>
      </c>
      <c r="B35" s="248" t="s">
        <v>546</v>
      </c>
      <c r="C35" s="241">
        <v>525000</v>
      </c>
      <c r="D35" s="241">
        <v>533505</v>
      </c>
      <c r="E35" s="241">
        <v>553991.59199999995</v>
      </c>
      <c r="F35" s="241">
        <v>551443.23067680001</v>
      </c>
      <c r="G35" s="241">
        <v>545928.79837003199</v>
      </c>
      <c r="H35" s="241">
        <v>480417.34256562818</v>
      </c>
      <c r="I35" s="241">
        <v>480417.34256562818</v>
      </c>
      <c r="J35" s="241">
        <v>523654.90339653473</v>
      </c>
      <c r="K35" s="241">
        <v>460816.31498895056</v>
      </c>
      <c r="L35" s="241">
        <v>460816.31498895056</v>
      </c>
      <c r="M35" s="241">
        <v>502289.78333795612</v>
      </c>
      <c r="N35" s="241">
        <v>502289.78333795612</v>
      </c>
      <c r="O35" s="331">
        <f t="shared" si="0"/>
        <v>6120570.4062284362</v>
      </c>
    </row>
    <row r="36" spans="1:15">
      <c r="A36" s="243">
        <v>5</v>
      </c>
      <c r="B36" s="248" t="s">
        <v>547</v>
      </c>
      <c r="C36" s="241">
        <v>1050000</v>
      </c>
      <c r="D36" s="241">
        <v>1067010</v>
      </c>
      <c r="E36" s="241">
        <v>1107983.1839999999</v>
      </c>
      <c r="F36" s="241">
        <v>1102886.4613536</v>
      </c>
      <c r="G36" s="241">
        <v>1091857.596740064</v>
      </c>
      <c r="H36" s="241">
        <v>960834.68513125635</v>
      </c>
      <c r="I36" s="241">
        <v>960834.68513125635</v>
      </c>
      <c r="J36" s="241">
        <v>1047309.8067930695</v>
      </c>
      <c r="K36" s="241">
        <v>921632.62997790112</v>
      </c>
      <c r="L36" s="241">
        <v>921632.62997790112</v>
      </c>
      <c r="M36" s="241">
        <v>1004579.5666759122</v>
      </c>
      <c r="N36" s="241">
        <v>1004579.5666759122</v>
      </c>
      <c r="O36" s="331">
        <f t="shared" si="0"/>
        <v>12241140.812456872</v>
      </c>
    </row>
    <row r="37" spans="1:15">
      <c r="A37" s="243">
        <v>6</v>
      </c>
      <c r="B37" s="248" t="s">
        <v>548</v>
      </c>
      <c r="C37" s="241">
        <v>525000</v>
      </c>
      <c r="D37" s="241">
        <v>533505</v>
      </c>
      <c r="E37" s="241">
        <v>553991.59199999995</v>
      </c>
      <c r="F37" s="241">
        <v>551443.23067680001</v>
      </c>
      <c r="G37" s="241">
        <v>545928.79837003199</v>
      </c>
      <c r="H37" s="241">
        <v>480417.34256562818</v>
      </c>
      <c r="I37" s="241">
        <v>480417.34256562818</v>
      </c>
      <c r="J37" s="241">
        <v>523654.90339653473</v>
      </c>
      <c r="K37" s="241">
        <v>460816.31498895056</v>
      </c>
      <c r="L37" s="241">
        <v>460816.31498895056</v>
      </c>
      <c r="M37" s="241">
        <v>502289.78333795612</v>
      </c>
      <c r="N37" s="241">
        <v>502289.78333795612</v>
      </c>
      <c r="O37" s="331">
        <f t="shared" si="0"/>
        <v>6120570.4062284362</v>
      </c>
    </row>
    <row r="38" spans="1:15">
      <c r="A38" s="243">
        <v>7</v>
      </c>
      <c r="B38" s="248" t="s">
        <v>549</v>
      </c>
      <c r="C38" s="241">
        <v>4725000</v>
      </c>
      <c r="D38" s="241">
        <v>4801545</v>
      </c>
      <c r="E38" s="241">
        <v>4985924.3279999997</v>
      </c>
      <c r="F38" s="241">
        <v>4962989.0760912001</v>
      </c>
      <c r="G38" s="241">
        <v>4913359.1853302885</v>
      </c>
      <c r="H38" s="241">
        <v>4323756.0830906536</v>
      </c>
      <c r="I38" s="241">
        <v>4323756.0830906536</v>
      </c>
      <c r="J38" s="241">
        <v>4712894.1305688126</v>
      </c>
      <c r="K38" s="241">
        <v>4147346.8349005552</v>
      </c>
      <c r="L38" s="241">
        <v>4147346.8349005552</v>
      </c>
      <c r="M38" s="241">
        <v>4520608.0500416048</v>
      </c>
      <c r="N38" s="241">
        <v>4520608.0500416048</v>
      </c>
      <c r="O38" s="331">
        <f t="shared" si="0"/>
        <v>55085133.656055927</v>
      </c>
    </row>
    <row r="39" spans="1:15">
      <c r="A39" s="243">
        <v>8</v>
      </c>
      <c r="B39" s="248" t="s">
        <v>550</v>
      </c>
      <c r="C39" s="241">
        <v>2100000</v>
      </c>
      <c r="D39" s="241">
        <v>2134020</v>
      </c>
      <c r="E39" s="241">
        <v>2215966.3679999998</v>
      </c>
      <c r="F39" s="241">
        <v>2205772.9227072001</v>
      </c>
      <c r="G39" s="241">
        <v>2183715.193480128</v>
      </c>
      <c r="H39" s="241">
        <v>1921669.3702625127</v>
      </c>
      <c r="I39" s="241">
        <v>1921669.3702625127</v>
      </c>
      <c r="J39" s="241">
        <v>2094619.6135861389</v>
      </c>
      <c r="K39" s="241">
        <v>1843265.2599558022</v>
      </c>
      <c r="L39" s="241">
        <v>1843265.2599558022</v>
      </c>
      <c r="M39" s="241">
        <v>2009159.1333518245</v>
      </c>
      <c r="N39" s="241">
        <v>2009159.1333518245</v>
      </c>
      <c r="O39" s="331">
        <f t="shared" si="0"/>
        <v>24482281.624913745</v>
      </c>
    </row>
    <row r="40" spans="1:15" ht="31.5">
      <c r="A40" s="243">
        <v>9</v>
      </c>
      <c r="B40" s="250" t="s">
        <v>585</v>
      </c>
      <c r="C40" s="241">
        <v>200000000</v>
      </c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331">
        <f t="shared" si="0"/>
        <v>200000000</v>
      </c>
    </row>
    <row r="41" spans="1:15">
      <c r="A41" s="243">
        <v>10</v>
      </c>
      <c r="B41" s="248" t="s">
        <v>714</v>
      </c>
      <c r="C41" s="241"/>
      <c r="D41" s="241"/>
      <c r="E41" s="241"/>
      <c r="F41" s="241"/>
      <c r="G41" s="241"/>
      <c r="H41" s="241"/>
      <c r="I41" s="241"/>
      <c r="J41" s="241">
        <v>0</v>
      </c>
      <c r="K41" s="241">
        <v>350000000</v>
      </c>
      <c r="L41" s="241">
        <v>350000000</v>
      </c>
      <c r="M41" s="241">
        <v>250000000</v>
      </c>
      <c r="N41" s="241">
        <v>250000000</v>
      </c>
      <c r="O41" s="331">
        <f t="shared" si="0"/>
        <v>1200000000</v>
      </c>
    </row>
    <row r="42" spans="1:15">
      <c r="A42" s="243"/>
      <c r="B42" s="499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331">
        <f t="shared" si="0"/>
        <v>0</v>
      </c>
    </row>
    <row r="43" spans="1:15">
      <c r="A43" s="481"/>
      <c r="B43" s="482" t="s">
        <v>235</v>
      </c>
      <c r="C43" s="483">
        <f>SUM(C32:C42)</f>
        <v>224150000</v>
      </c>
      <c r="D43" s="483">
        <f>SUM(D32:D42)</f>
        <v>24541230</v>
      </c>
      <c r="E43" s="483">
        <f>SUM(E32:E42)</f>
        <v>25483613.232000001</v>
      </c>
      <c r="F43" s="483">
        <f>SUM(F32:F42)</f>
        <v>25366388.611132801</v>
      </c>
      <c r="G43" s="483">
        <f>SUM(G32:G42)</f>
        <v>25112724.725021474</v>
      </c>
      <c r="H43" s="483">
        <f>SUM(H32:H42)</f>
        <v>22099197.758018896</v>
      </c>
      <c r="I43" s="483">
        <f>SUM(I32:I42)</f>
        <v>22099197.758018896</v>
      </c>
      <c r="J43" s="483">
        <f>SUM(J32:J42)</f>
        <v>24088125.556240596</v>
      </c>
      <c r="K43" s="483">
        <f>SUM(K32:K42)</f>
        <v>371197550.4894917</v>
      </c>
      <c r="L43" s="483">
        <f>SUM(L32:L42)</f>
        <v>371197550.4894917</v>
      </c>
      <c r="M43" s="483">
        <f>SUM(M32:M42)</f>
        <v>273105330.03354597</v>
      </c>
      <c r="N43" s="483">
        <f>SUM(N32:N42)</f>
        <v>273105330.03354597</v>
      </c>
      <c r="O43" s="485">
        <f>SUM(O32:O42)</f>
        <v>1681546238.6865082</v>
      </c>
    </row>
    <row r="51" spans="16:16">
      <c r="P51" t="s">
        <v>715</v>
      </c>
    </row>
  </sheetData>
  <mergeCells count="7">
    <mergeCell ref="B31:C31"/>
    <mergeCell ref="A6:B8"/>
    <mergeCell ref="C6:N6"/>
    <mergeCell ref="O6:O8"/>
    <mergeCell ref="C7:N7"/>
    <mergeCell ref="A9:B9"/>
    <mergeCell ref="A10:B10"/>
  </mergeCells>
  <pageMargins left="0.31496062992125984" right="0.31496062992125984" top="0.74803149606299213" bottom="0.74803149606299213" header="0.31496062992125984" footer="0.31496062992125984"/>
  <pageSetup paperSize="5" scale="7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92D050"/>
  </sheetPr>
  <dimension ref="A1:O21"/>
  <sheetViews>
    <sheetView workbookViewId="0">
      <selection activeCell="I16" sqref="I16"/>
    </sheetView>
  </sheetViews>
  <sheetFormatPr defaultRowHeight="15"/>
  <cols>
    <col min="1" max="1" width="2" customWidth="1"/>
    <col min="2" max="2" width="25.42578125" customWidth="1"/>
    <col min="3" max="14" width="13" customWidth="1"/>
    <col min="15" max="15" width="14.28515625" customWidth="1"/>
  </cols>
  <sheetData>
    <row r="1" spans="1:15" ht="15.75">
      <c r="A1" s="376" t="s">
        <v>584</v>
      </c>
      <c r="B1" s="342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95"/>
      <c r="N1" s="295"/>
      <c r="O1" s="295"/>
    </row>
    <row r="2" spans="1:15" ht="15.75">
      <c r="A2" s="376" t="s">
        <v>671</v>
      </c>
      <c r="B2" s="342"/>
      <c r="C2" s="227"/>
      <c r="D2" s="227"/>
      <c r="E2" s="227"/>
      <c r="F2" s="343"/>
      <c r="G2" s="343"/>
      <c r="H2" s="343">
        <v>2139828425</v>
      </c>
      <c r="I2" s="227"/>
      <c r="J2" s="227"/>
      <c r="K2" s="227"/>
      <c r="L2" s="227"/>
      <c r="M2" s="295"/>
      <c r="N2" s="295"/>
      <c r="O2" s="295"/>
    </row>
    <row r="3" spans="1:15" ht="15.75">
      <c r="A3" s="376" t="s">
        <v>228</v>
      </c>
      <c r="B3" s="342"/>
      <c r="C3" s="330"/>
      <c r="D3" s="330"/>
      <c r="E3" s="330"/>
      <c r="F3" s="344"/>
      <c r="G3" s="343">
        <v>339448122</v>
      </c>
      <c r="H3" s="343"/>
      <c r="I3" s="227"/>
      <c r="J3" s="227"/>
      <c r="K3" s="227"/>
      <c r="L3" s="227"/>
      <c r="M3" s="295"/>
      <c r="N3" s="295"/>
      <c r="O3" s="295"/>
    </row>
    <row r="4" spans="1:15" ht="15.75">
      <c r="A4" s="342"/>
      <c r="B4" s="342"/>
      <c r="C4" s="227"/>
      <c r="D4" s="227"/>
      <c r="E4" s="227"/>
      <c r="F4" s="343"/>
      <c r="G4" s="343"/>
      <c r="H4" s="343">
        <v>113149374</v>
      </c>
      <c r="I4" s="227"/>
      <c r="J4" s="227"/>
      <c r="K4" s="227"/>
      <c r="L4" s="227"/>
      <c r="M4" s="295"/>
      <c r="N4" s="295"/>
      <c r="O4" s="295"/>
    </row>
    <row r="5" spans="1:15" ht="15.75">
      <c r="A5" s="342"/>
      <c r="B5" s="342"/>
      <c r="C5" s="227"/>
      <c r="D5" s="227"/>
      <c r="E5" s="227"/>
      <c r="F5" s="227"/>
      <c r="G5" s="227"/>
      <c r="H5" s="227"/>
      <c r="I5" s="227"/>
      <c r="J5" s="227"/>
      <c r="K5" s="227"/>
      <c r="L5" s="292"/>
      <c r="M5" s="295"/>
      <c r="N5" s="295"/>
      <c r="O5" s="295"/>
    </row>
    <row r="6" spans="1:15" ht="15.75">
      <c r="A6" s="543" t="s">
        <v>1</v>
      </c>
      <c r="B6" s="544"/>
      <c r="C6" s="559" t="s">
        <v>3</v>
      </c>
      <c r="D6" s="560"/>
      <c r="E6" s="560"/>
      <c r="F6" s="560"/>
      <c r="G6" s="560"/>
      <c r="H6" s="560"/>
      <c r="I6" s="560"/>
      <c r="J6" s="560"/>
      <c r="K6" s="560"/>
      <c r="L6" s="560"/>
      <c r="M6" s="560"/>
      <c r="N6" s="561"/>
      <c r="O6" s="556" t="s">
        <v>235</v>
      </c>
    </row>
    <row r="7" spans="1:15" ht="15.75">
      <c r="A7" s="545"/>
      <c r="B7" s="546"/>
      <c r="C7" s="562" t="s">
        <v>126</v>
      </c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4"/>
      <c r="O7" s="557"/>
    </row>
    <row r="8" spans="1:15" ht="15.75">
      <c r="A8" s="545"/>
      <c r="B8" s="546"/>
      <c r="C8" s="241" t="s">
        <v>4</v>
      </c>
      <c r="D8" s="241" t="s">
        <v>5</v>
      </c>
      <c r="E8" s="241" t="s">
        <v>6</v>
      </c>
      <c r="F8" s="241" t="s">
        <v>7</v>
      </c>
      <c r="G8" s="241" t="s">
        <v>8</v>
      </c>
      <c r="H8" s="241" t="s">
        <v>9</v>
      </c>
      <c r="I8" s="241" t="s">
        <v>127</v>
      </c>
      <c r="J8" s="241" t="s">
        <v>129</v>
      </c>
      <c r="K8" s="337" t="s">
        <v>142</v>
      </c>
      <c r="L8" s="241" t="s">
        <v>131</v>
      </c>
      <c r="M8" s="337" t="s">
        <v>132</v>
      </c>
      <c r="N8" s="337" t="s">
        <v>133</v>
      </c>
      <c r="O8" s="557"/>
    </row>
    <row r="9" spans="1:15" ht="15.75">
      <c r="A9" s="243"/>
      <c r="B9" s="460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337"/>
      <c r="N9" s="241"/>
      <c r="O9" s="331">
        <v>0</v>
      </c>
    </row>
    <row r="10" spans="1:15" ht="15.75">
      <c r="A10" s="243"/>
      <c r="B10" s="248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337"/>
      <c r="N10" s="241"/>
      <c r="O10" s="331"/>
    </row>
    <row r="11" spans="1:15" ht="15.75">
      <c r="A11" s="243"/>
      <c r="B11" s="248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337"/>
      <c r="N11" s="241"/>
      <c r="O11" s="331">
        <v>0</v>
      </c>
    </row>
    <row r="12" spans="1:15" s="124" customFormat="1" ht="47.25">
      <c r="A12" s="243"/>
      <c r="B12" s="250" t="s">
        <v>712</v>
      </c>
      <c r="C12" s="241">
        <f>+'CF 2017'!D42</f>
        <v>17850000</v>
      </c>
      <c r="D12" s="241">
        <f>+'CF 2017'!E42</f>
        <v>18139170</v>
      </c>
      <c r="E12" s="241">
        <f>+'CF 2017'!F42</f>
        <v>18835714.127999999</v>
      </c>
      <c r="F12" s="241">
        <f>+'CF 2017'!G42</f>
        <v>18749069.8430112</v>
      </c>
      <c r="G12" s="241">
        <f>+'CF 2017'!H42</f>
        <v>18561579.144581087</v>
      </c>
      <c r="H12" s="241">
        <f>+'CF 2017'!I42</f>
        <v>16334189.647231357</v>
      </c>
      <c r="I12" s="241">
        <f>+'CF 2017'!J42</f>
        <v>16334189.647231357</v>
      </c>
      <c r="J12" s="241">
        <f>+'CF 2017'!K42</f>
        <v>17804266.715482179</v>
      </c>
      <c r="K12" s="241">
        <f>+'CF 2017'!L42</f>
        <v>15667754.709624317</v>
      </c>
      <c r="L12" s="241">
        <f>+'CF 2017'!M42</f>
        <v>15667754.709624317</v>
      </c>
      <c r="M12" s="241">
        <f>+'CF 2017'!N42</f>
        <v>17077852.633490507</v>
      </c>
      <c r="N12" s="241">
        <f>+'CF 2017'!O42</f>
        <v>17077852.633490507</v>
      </c>
      <c r="O12" s="331">
        <f>SUM(C12:N12)</f>
        <v>208099393.8117668</v>
      </c>
    </row>
    <row r="18" spans="2:2">
      <c r="B18" t="s">
        <v>707</v>
      </c>
    </row>
    <row r="19" spans="2:2">
      <c r="B19" t="s">
        <v>708</v>
      </c>
    </row>
    <row r="20" spans="2:2">
      <c r="B20" t="s">
        <v>709</v>
      </c>
    </row>
    <row r="21" spans="2:2">
      <c r="B21" t="s">
        <v>710</v>
      </c>
    </row>
  </sheetData>
  <mergeCells count="4">
    <mergeCell ref="A6:B8"/>
    <mergeCell ref="C6:N6"/>
    <mergeCell ref="O6:O8"/>
    <mergeCell ref="C7:N7"/>
  </mergeCells>
  <pageMargins left="0.31496062992125984" right="0.31496062992125984" top="0.74803149606299213" bottom="0.74803149606299213" header="0.31496062992125984" footer="0.31496062992125984"/>
  <pageSetup paperSize="5" scale="8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I2"/>
  <sheetViews>
    <sheetView workbookViewId="0">
      <selection activeCell="J23" sqref="J23"/>
    </sheetView>
  </sheetViews>
  <sheetFormatPr defaultRowHeight="15"/>
  <cols>
    <col min="8" max="8" width="6.85546875" customWidth="1"/>
    <col min="9" max="9" width="13" customWidth="1"/>
    <col min="10" max="10" width="6.7109375" customWidth="1"/>
  </cols>
  <sheetData>
    <row r="2" spans="9:9">
      <c r="I2" t="s">
        <v>690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J21"/>
  <sheetViews>
    <sheetView workbookViewId="0">
      <selection activeCell="J23" sqref="J23"/>
    </sheetView>
  </sheetViews>
  <sheetFormatPr defaultRowHeight="15"/>
  <sheetData>
    <row r="21" spans="10:10">
      <c r="J21" t="s">
        <v>691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2" sqref="K22"/>
    </sheetView>
  </sheetViews>
  <sheetFormatPr defaultRowHeight="1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0" sqref="K20"/>
    </sheetView>
  </sheetViews>
  <sheetFormatPr defaultRowHeight="1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G10"/>
  <sheetViews>
    <sheetView workbookViewId="0">
      <selection activeCell="J20" sqref="J20"/>
    </sheetView>
  </sheetViews>
  <sheetFormatPr defaultRowHeight="15"/>
  <sheetData>
    <row r="10" spans="7:7">
      <c r="G10" t="s">
        <v>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D29:AE48"/>
  <sheetViews>
    <sheetView topLeftCell="A16" zoomScale="70" zoomScaleNormal="70" workbookViewId="0">
      <selection activeCell="N13" sqref="N13"/>
    </sheetView>
  </sheetViews>
  <sheetFormatPr defaultRowHeight="15"/>
  <cols>
    <col min="13" max="13" width="8.140625" customWidth="1"/>
    <col min="30" max="30" width="17.42578125" bestFit="1" customWidth="1"/>
    <col min="31" max="31" width="20.7109375" style="73" bestFit="1" customWidth="1"/>
  </cols>
  <sheetData>
    <row r="29" spans="30:31">
      <c r="AD29" t="str">
        <f>+AD48</f>
        <v>PER 31 DES 2015</v>
      </c>
      <c r="AE29" s="73">
        <f>+AE48</f>
        <v>4224229720.1053386</v>
      </c>
    </row>
    <row r="30" spans="30:31">
      <c r="AD30" t="str">
        <f>+AD47</f>
        <v>PER 31 DES 2014</v>
      </c>
      <c r="AE30" s="73">
        <f>+AE47</f>
        <v>5605703431.0657272</v>
      </c>
    </row>
    <row r="31" spans="30:31">
      <c r="AD31" t="str">
        <f>+AD46</f>
        <v>PER 31 DES 2013</v>
      </c>
      <c r="AE31" s="73">
        <f>+AE46</f>
        <v>-334907165.02000099</v>
      </c>
    </row>
    <row r="32" spans="30:31">
      <c r="AD32" t="str">
        <f>+AD45</f>
        <v>PER 31 DES 2012</v>
      </c>
      <c r="AE32" s="73">
        <f>+AE45</f>
        <v>477098274.85999948</v>
      </c>
    </row>
    <row r="33" spans="30:31">
      <c r="AD33" t="str">
        <f>+AD44</f>
        <v>PER 31 DES 2011</v>
      </c>
      <c r="AE33" s="73">
        <f>+AE44</f>
        <v>722134739.21999931</v>
      </c>
    </row>
    <row r="34" spans="30:31">
      <c r="AE34" s="73">
        <f>SUM(AE29:AE33)</f>
        <v>10694259000.231064</v>
      </c>
    </row>
    <row r="44" spans="30:31">
      <c r="AD44" t="s">
        <v>444</v>
      </c>
      <c r="AE44" s="73">
        <f>+'LABA RUGI'!P42</f>
        <v>722134739.21999931</v>
      </c>
    </row>
    <row r="45" spans="30:31">
      <c r="AD45" t="s">
        <v>443</v>
      </c>
      <c r="AE45" s="73">
        <v>477098274.85999948</v>
      </c>
    </row>
    <row r="46" spans="30:31">
      <c r="AD46" t="s">
        <v>442</v>
      </c>
      <c r="AE46" s="73">
        <v>-334907165.02000099</v>
      </c>
    </row>
    <row r="47" spans="30:31">
      <c r="AD47" t="s">
        <v>441</v>
      </c>
      <c r="AE47" s="73">
        <v>5605703431.0657272</v>
      </c>
    </row>
    <row r="48" spans="30:31">
      <c r="AD48" t="s">
        <v>440</v>
      </c>
      <c r="AE48" s="73">
        <v>4224229720.1053386</v>
      </c>
    </row>
  </sheetData>
  <printOptions horizontalCentered="1"/>
  <pageMargins left="0.75" right="0" top="0.74803149606299202" bottom="0.74803149606299202" header="0.31496062992126" footer="0.31496062992126"/>
  <pageSetup paperSize="256" scale="80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3" sqref="C23"/>
    </sheetView>
  </sheetViews>
  <sheetFormatPr defaultRowHeight="1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pane xSplit="3" ySplit="8" topLeftCell="D18" activePane="bottomRight" state="frozen"/>
      <selection pane="topRight" activeCell="D1" sqref="D1"/>
      <selection pane="bottomLeft" activeCell="A9" sqref="A9"/>
      <selection pane="bottomRight" activeCell="L3" sqref="L3"/>
    </sheetView>
  </sheetViews>
  <sheetFormatPr defaultRowHeight="15"/>
  <cols>
    <col min="1" max="1" width="3.140625" customWidth="1"/>
    <col min="2" max="2" width="5.7109375" customWidth="1"/>
    <col min="3" max="3" width="38.5703125" customWidth="1"/>
    <col min="4" max="8" width="10.7109375" customWidth="1"/>
    <col min="9" max="9" width="10.7109375" style="464" customWidth="1"/>
    <col min="10" max="10" width="10.7109375" customWidth="1"/>
    <col min="11" max="13" width="10.7109375" style="464" customWidth="1"/>
    <col min="14" max="15" width="10.7109375" customWidth="1"/>
    <col min="16" max="16" width="12.28515625" customWidth="1"/>
  </cols>
  <sheetData>
    <row r="1" spans="1:16" ht="15.75">
      <c r="A1" s="376" t="s">
        <v>584</v>
      </c>
      <c r="B1" s="341"/>
      <c r="C1" s="342"/>
      <c r="D1" s="227"/>
      <c r="E1" s="227"/>
      <c r="F1" s="227"/>
      <c r="G1" s="227"/>
      <c r="H1" s="227"/>
      <c r="I1" s="487"/>
      <c r="J1" s="227"/>
      <c r="K1" s="487"/>
      <c r="L1" s="487"/>
      <c r="M1" s="487"/>
      <c r="N1" s="295"/>
      <c r="O1" s="295"/>
      <c r="P1" s="295"/>
    </row>
    <row r="2" spans="1:16" ht="15.75">
      <c r="A2" s="376" t="s">
        <v>693</v>
      </c>
      <c r="B2" s="341"/>
      <c r="C2" s="342"/>
      <c r="D2" s="227"/>
      <c r="E2" s="227"/>
      <c r="F2" s="227"/>
      <c r="G2" s="343"/>
      <c r="H2" s="343"/>
      <c r="I2" s="490">
        <v>2139828425</v>
      </c>
      <c r="J2" s="227"/>
      <c r="K2" s="487"/>
      <c r="L2" s="487"/>
      <c r="M2" s="487"/>
      <c r="N2" s="295"/>
      <c r="O2" s="295"/>
      <c r="P2" s="295"/>
    </row>
    <row r="3" spans="1:16" ht="15.75">
      <c r="A3" s="376" t="s">
        <v>228</v>
      </c>
      <c r="B3" s="341"/>
      <c r="C3" s="342"/>
      <c r="D3" s="330"/>
      <c r="E3" s="330"/>
      <c r="F3" s="330"/>
      <c r="G3" s="344"/>
      <c r="H3" s="343">
        <v>339448122</v>
      </c>
      <c r="I3" s="490"/>
      <c r="J3" s="227"/>
      <c r="K3" s="487"/>
      <c r="L3" s="487"/>
      <c r="M3" s="487"/>
      <c r="N3" s="295"/>
      <c r="O3" s="295"/>
      <c r="P3" s="295"/>
    </row>
    <row r="4" spans="1:16" ht="15.75">
      <c r="A4" s="342"/>
      <c r="B4" s="342"/>
      <c r="C4" s="342"/>
      <c r="D4" s="227"/>
      <c r="E4" s="227"/>
      <c r="F4" s="227"/>
      <c r="G4" s="343"/>
      <c r="H4" s="343"/>
      <c r="I4" s="490">
        <v>113149374</v>
      </c>
      <c r="J4" s="227"/>
      <c r="K4" s="487"/>
      <c r="L4" s="487"/>
      <c r="M4" s="487"/>
      <c r="N4" s="295"/>
      <c r="O4" s="295"/>
      <c r="P4" s="295"/>
    </row>
    <row r="5" spans="1:16" ht="15.75">
      <c r="A5" s="342"/>
      <c r="B5" s="342"/>
      <c r="C5" s="342"/>
      <c r="D5" s="227"/>
      <c r="E5" s="227"/>
      <c r="F5" s="227"/>
      <c r="G5" s="227"/>
      <c r="H5" s="227"/>
      <c r="I5" s="487"/>
      <c r="J5" s="227"/>
      <c r="K5" s="487"/>
      <c r="L5" s="487"/>
      <c r="M5" s="489"/>
      <c r="N5" s="295"/>
      <c r="O5" s="295"/>
      <c r="P5" s="295"/>
    </row>
    <row r="6" spans="1:16" ht="15.75">
      <c r="A6" s="543" t="s">
        <v>1</v>
      </c>
      <c r="B6" s="544"/>
      <c r="C6" s="544"/>
      <c r="D6" s="553" t="s">
        <v>3</v>
      </c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6" t="s">
        <v>235</v>
      </c>
    </row>
    <row r="7" spans="1:16" ht="15.75">
      <c r="A7" s="545"/>
      <c r="B7" s="546"/>
      <c r="C7" s="546"/>
      <c r="D7" s="554" t="s">
        <v>126</v>
      </c>
      <c r="E7" s="554"/>
      <c r="F7" s="554"/>
      <c r="G7" s="554"/>
      <c r="H7" s="554"/>
      <c r="I7" s="554"/>
      <c r="J7" s="554"/>
      <c r="K7" s="554"/>
      <c r="L7" s="554"/>
      <c r="M7" s="554"/>
      <c r="N7" s="554"/>
      <c r="O7" s="554"/>
      <c r="P7" s="557"/>
    </row>
    <row r="8" spans="1:16" ht="15.75">
      <c r="A8" s="545"/>
      <c r="B8" s="546"/>
      <c r="C8" s="546"/>
      <c r="D8" s="241" t="s">
        <v>4</v>
      </c>
      <c r="E8" s="241" t="s">
        <v>5</v>
      </c>
      <c r="F8" s="241" t="s">
        <v>6</v>
      </c>
      <c r="G8" s="241" t="s">
        <v>7</v>
      </c>
      <c r="H8" s="241" t="s">
        <v>8</v>
      </c>
      <c r="I8" s="488" t="s">
        <v>9</v>
      </c>
      <c r="J8" s="241" t="s">
        <v>127</v>
      </c>
      <c r="K8" s="488" t="s">
        <v>129</v>
      </c>
      <c r="L8" s="488" t="s">
        <v>142</v>
      </c>
      <c r="M8" s="488" t="s">
        <v>131</v>
      </c>
      <c r="N8" s="241" t="s">
        <v>132</v>
      </c>
      <c r="O8" s="241" t="s">
        <v>133</v>
      </c>
      <c r="P8" s="557"/>
    </row>
    <row r="9" spans="1:16">
      <c r="A9" s="447"/>
      <c r="B9" s="232"/>
      <c r="C9" s="232"/>
      <c r="D9" s="232"/>
      <c r="E9" s="232"/>
      <c r="F9" s="232"/>
      <c r="G9" s="232"/>
      <c r="H9" s="491"/>
      <c r="I9" s="491"/>
      <c r="J9" s="491"/>
      <c r="K9" s="491"/>
      <c r="L9" s="491"/>
      <c r="M9" s="491"/>
      <c r="N9" s="491"/>
      <c r="O9" s="491"/>
      <c r="P9" s="475"/>
    </row>
    <row r="10" spans="1:16">
      <c r="A10" s="447">
        <v>1</v>
      </c>
      <c r="B10" s="232" t="s">
        <v>694</v>
      </c>
      <c r="C10" s="232"/>
      <c r="D10" s="491"/>
      <c r="E10" s="491"/>
      <c r="F10" s="491"/>
      <c r="G10" s="491"/>
      <c r="H10" s="491"/>
      <c r="I10" s="491"/>
      <c r="J10" s="491"/>
      <c r="K10" s="491">
        <v>6000000</v>
      </c>
      <c r="L10" s="491"/>
      <c r="M10" s="491"/>
      <c r="N10" s="491"/>
      <c r="O10" s="491"/>
      <c r="P10" s="492">
        <f>SUM(D10:O10)</f>
        <v>6000000</v>
      </c>
    </row>
    <row r="11" spans="1:16">
      <c r="A11" s="447">
        <v>2</v>
      </c>
      <c r="B11" s="232" t="s">
        <v>695</v>
      </c>
      <c r="C11" s="232"/>
      <c r="D11" s="232"/>
      <c r="E11" s="232"/>
      <c r="F11" s="232"/>
      <c r="G11" s="232"/>
      <c r="H11" s="491">
        <v>300000</v>
      </c>
      <c r="I11" s="491">
        <v>300000</v>
      </c>
      <c r="J11" s="491">
        <v>300000</v>
      </c>
      <c r="K11" s="491">
        <v>300000</v>
      </c>
      <c r="L11" s="491">
        <v>200000</v>
      </c>
      <c r="M11" s="491">
        <v>200000</v>
      </c>
      <c r="N11" s="491">
        <v>200000</v>
      </c>
      <c r="O11" s="491">
        <v>200000</v>
      </c>
      <c r="P11" s="492">
        <f t="shared" ref="P11:P19" si="0">SUM(D11:O11)</f>
        <v>2000000</v>
      </c>
    </row>
    <row r="12" spans="1:16">
      <c r="A12" s="447">
        <v>3</v>
      </c>
      <c r="B12" s="232" t="s">
        <v>696</v>
      </c>
      <c r="C12" s="232"/>
      <c r="D12" s="232"/>
      <c r="E12" s="232"/>
      <c r="F12" s="232"/>
      <c r="G12" s="232"/>
      <c r="H12" s="491">
        <v>200000</v>
      </c>
      <c r="I12" s="491">
        <v>200000</v>
      </c>
      <c r="J12" s="491">
        <v>200000</v>
      </c>
      <c r="K12" s="491">
        <v>200000</v>
      </c>
      <c r="L12" s="491">
        <v>200000</v>
      </c>
      <c r="M12" s="491">
        <v>200000</v>
      </c>
      <c r="N12" s="491">
        <v>200000</v>
      </c>
      <c r="O12" s="491">
        <v>100000</v>
      </c>
      <c r="P12" s="492">
        <f t="shared" si="0"/>
        <v>1500000</v>
      </c>
    </row>
    <row r="13" spans="1:16">
      <c r="A13" s="447">
        <v>4</v>
      </c>
      <c r="B13" s="232" t="s">
        <v>697</v>
      </c>
      <c r="C13" s="232"/>
      <c r="D13" s="232"/>
      <c r="E13" s="232"/>
      <c r="F13" s="232"/>
      <c r="G13" s="232"/>
      <c r="H13" s="491"/>
      <c r="I13" s="491"/>
      <c r="J13" s="491">
        <v>100000</v>
      </c>
      <c r="K13" s="491">
        <v>100000</v>
      </c>
      <c r="L13" s="491">
        <v>100000</v>
      </c>
      <c r="M13" s="491">
        <v>100000</v>
      </c>
      <c r="N13" s="491">
        <v>100000</v>
      </c>
      <c r="O13" s="491"/>
      <c r="P13" s="492">
        <f t="shared" si="0"/>
        <v>500000</v>
      </c>
    </row>
    <row r="14" spans="1:16">
      <c r="A14" s="447">
        <v>5</v>
      </c>
      <c r="B14" s="232" t="s">
        <v>698</v>
      </c>
      <c r="C14" s="232"/>
      <c r="D14" s="491">
        <v>50000</v>
      </c>
      <c r="E14" s="491">
        <v>50000</v>
      </c>
      <c r="F14" s="491">
        <v>50000</v>
      </c>
      <c r="G14" s="491">
        <v>50000</v>
      </c>
      <c r="H14" s="491">
        <v>50000</v>
      </c>
      <c r="I14" s="491">
        <v>50000</v>
      </c>
      <c r="J14" s="491">
        <v>50000</v>
      </c>
      <c r="K14" s="491">
        <v>50000</v>
      </c>
      <c r="L14" s="491">
        <v>50000</v>
      </c>
      <c r="M14" s="491">
        <v>50000</v>
      </c>
      <c r="N14" s="491"/>
      <c r="O14" s="491"/>
      <c r="P14" s="492">
        <f t="shared" si="0"/>
        <v>500000</v>
      </c>
    </row>
    <row r="15" spans="1:16" ht="27" customHeight="1">
      <c r="A15" s="447">
        <v>6</v>
      </c>
      <c r="B15" s="702" t="s">
        <v>699</v>
      </c>
      <c r="C15" s="703"/>
      <c r="D15" s="491">
        <v>50000</v>
      </c>
      <c r="E15" s="491">
        <v>50000</v>
      </c>
      <c r="F15" s="491">
        <v>50000</v>
      </c>
      <c r="G15" s="491">
        <v>50000</v>
      </c>
      <c r="H15" s="491">
        <v>50000</v>
      </c>
      <c r="I15" s="491">
        <v>50000</v>
      </c>
      <c r="J15" s="491">
        <v>50000</v>
      </c>
      <c r="K15" s="491">
        <v>50000</v>
      </c>
      <c r="L15" s="491">
        <v>50000</v>
      </c>
      <c r="M15" s="491">
        <v>50000</v>
      </c>
      <c r="N15" s="232"/>
      <c r="O15" s="232"/>
      <c r="P15" s="492">
        <f t="shared" si="0"/>
        <v>500000</v>
      </c>
    </row>
    <row r="16" spans="1:16">
      <c r="A16" s="447">
        <v>7</v>
      </c>
      <c r="B16" s="232" t="s">
        <v>700</v>
      </c>
      <c r="C16" s="232"/>
      <c r="D16" s="491">
        <v>250000</v>
      </c>
      <c r="E16" s="491">
        <v>250000</v>
      </c>
      <c r="F16" s="491">
        <v>250000</v>
      </c>
      <c r="G16" s="491">
        <v>250000</v>
      </c>
      <c r="H16" s="491">
        <v>250000</v>
      </c>
      <c r="I16" s="491">
        <v>250000</v>
      </c>
      <c r="J16" s="232"/>
      <c r="K16" s="232"/>
      <c r="L16" s="232"/>
      <c r="M16" s="232"/>
      <c r="N16" s="232"/>
      <c r="O16" s="232"/>
      <c r="P16" s="492">
        <f t="shared" si="0"/>
        <v>1500000</v>
      </c>
    </row>
    <row r="17" spans="1:16">
      <c r="A17" s="447">
        <v>8</v>
      </c>
      <c r="B17" s="232" t="s">
        <v>701</v>
      </c>
      <c r="C17" s="232"/>
      <c r="D17" s="232"/>
      <c r="E17" s="232"/>
      <c r="F17" s="232"/>
      <c r="G17" s="232"/>
      <c r="H17" s="232"/>
      <c r="I17" s="491">
        <v>4500000</v>
      </c>
      <c r="J17" s="232"/>
      <c r="K17" s="491"/>
      <c r="L17" s="491"/>
      <c r="M17" s="491"/>
      <c r="N17" s="232"/>
      <c r="O17" s="232"/>
      <c r="P17" s="492">
        <f t="shared" si="0"/>
        <v>4500000</v>
      </c>
    </row>
    <row r="18" spans="1:16">
      <c r="A18" s="447">
        <v>9</v>
      </c>
      <c r="B18" s="232" t="s">
        <v>702</v>
      </c>
      <c r="C18" s="232"/>
      <c r="D18" s="491">
        <v>50000</v>
      </c>
      <c r="E18" s="491">
        <v>50000</v>
      </c>
      <c r="F18" s="491">
        <v>50000</v>
      </c>
      <c r="G18" s="491">
        <v>50000</v>
      </c>
      <c r="H18" s="491">
        <v>50000</v>
      </c>
      <c r="I18" s="491">
        <v>50000</v>
      </c>
      <c r="J18" s="491">
        <v>50000</v>
      </c>
      <c r="K18" s="491">
        <v>50000</v>
      </c>
      <c r="L18" s="491">
        <v>50000</v>
      </c>
      <c r="M18" s="491">
        <v>50000</v>
      </c>
      <c r="N18" s="491">
        <v>50000</v>
      </c>
      <c r="O18" s="491">
        <v>50000</v>
      </c>
      <c r="P18" s="492">
        <f t="shared" si="0"/>
        <v>600000</v>
      </c>
    </row>
    <row r="19" spans="1:16">
      <c r="A19" s="447">
        <v>10</v>
      </c>
      <c r="B19" s="232" t="s">
        <v>703</v>
      </c>
      <c r="C19" s="232"/>
      <c r="D19" s="491">
        <v>50000</v>
      </c>
      <c r="E19" s="491">
        <v>50000</v>
      </c>
      <c r="F19" s="491">
        <v>50000</v>
      </c>
      <c r="G19" s="491">
        <v>50000</v>
      </c>
      <c r="H19" s="491">
        <v>50000</v>
      </c>
      <c r="I19" s="491">
        <v>50000</v>
      </c>
      <c r="J19" s="491">
        <v>50000</v>
      </c>
      <c r="K19" s="491">
        <v>50000</v>
      </c>
      <c r="L19" s="491">
        <v>50000</v>
      </c>
      <c r="M19" s="491">
        <v>50000</v>
      </c>
      <c r="N19" s="491">
        <v>50000</v>
      </c>
      <c r="O19" s="491">
        <v>50000</v>
      </c>
      <c r="P19" s="492">
        <f t="shared" si="0"/>
        <v>600000</v>
      </c>
    </row>
    <row r="20" spans="1:16">
      <c r="A20" s="699" t="s">
        <v>235</v>
      </c>
      <c r="B20" s="700"/>
      <c r="C20" s="701"/>
      <c r="D20" s="491">
        <f t="shared" ref="D20:O20" si="1">SUM(D10:D19)</f>
        <v>450000</v>
      </c>
      <c r="E20" s="491">
        <f t="shared" si="1"/>
        <v>450000</v>
      </c>
      <c r="F20" s="491">
        <f t="shared" si="1"/>
        <v>450000</v>
      </c>
      <c r="G20" s="491">
        <f t="shared" si="1"/>
        <v>450000</v>
      </c>
      <c r="H20" s="491">
        <f t="shared" si="1"/>
        <v>950000</v>
      </c>
      <c r="I20" s="491">
        <f t="shared" si="1"/>
        <v>5450000</v>
      </c>
      <c r="J20" s="491">
        <f t="shared" si="1"/>
        <v>800000</v>
      </c>
      <c r="K20" s="491">
        <f t="shared" si="1"/>
        <v>6800000</v>
      </c>
      <c r="L20" s="491">
        <f t="shared" si="1"/>
        <v>700000</v>
      </c>
      <c r="M20" s="491">
        <f t="shared" si="1"/>
        <v>700000</v>
      </c>
      <c r="N20" s="491">
        <f t="shared" si="1"/>
        <v>600000</v>
      </c>
      <c r="O20" s="491">
        <f t="shared" si="1"/>
        <v>400000</v>
      </c>
      <c r="P20" s="492">
        <f>SUM(P10:P19)</f>
        <v>18200000</v>
      </c>
    </row>
    <row r="21" spans="1:16">
      <c r="A21" s="447"/>
      <c r="B21" s="232"/>
      <c r="C21" s="232"/>
      <c r="D21" s="232"/>
      <c r="E21" s="232"/>
      <c r="F21" s="232"/>
      <c r="G21" s="232"/>
      <c r="H21" s="232"/>
      <c r="I21" s="491"/>
      <c r="J21" s="232"/>
      <c r="K21" s="491"/>
      <c r="L21" s="491"/>
      <c r="M21" s="491"/>
      <c r="N21" s="232"/>
      <c r="O21" s="232"/>
      <c r="P21" s="475"/>
    </row>
    <row r="22" spans="1:16">
      <c r="A22" s="124"/>
      <c r="B22" s="124"/>
      <c r="C22" s="124"/>
      <c r="D22" s="124"/>
      <c r="E22" s="124"/>
      <c r="F22" s="124"/>
      <c r="G22" s="124"/>
      <c r="H22" s="124"/>
      <c r="I22" s="493"/>
      <c r="J22" s="124"/>
      <c r="K22" s="493"/>
      <c r="L22" s="493"/>
      <c r="M22" s="493"/>
      <c r="N22" s="124"/>
      <c r="O22" s="124"/>
      <c r="P22" s="124"/>
    </row>
    <row r="23" spans="1:16">
      <c r="A23" s="124"/>
      <c r="B23" s="124" t="s">
        <v>765</v>
      </c>
      <c r="C23" s="124"/>
      <c r="D23" s="124"/>
      <c r="E23" s="124"/>
      <c r="F23" s="124"/>
      <c r="G23" s="124"/>
      <c r="H23" s="124"/>
      <c r="I23" s="493"/>
      <c r="J23" s="124"/>
      <c r="K23" s="493"/>
      <c r="L23" s="493"/>
      <c r="M23" s="493"/>
      <c r="N23" s="124"/>
      <c r="O23" s="124"/>
      <c r="P23" s="124"/>
    </row>
  </sheetData>
  <mergeCells count="6">
    <mergeCell ref="A6:C8"/>
    <mergeCell ref="D6:O6"/>
    <mergeCell ref="P6:P8"/>
    <mergeCell ref="D7:O7"/>
    <mergeCell ref="A20:C20"/>
    <mergeCell ref="B15:C15"/>
  </mergeCells>
  <pageMargins left="0.31496062992125984" right="0.31496062992125984" top="0.74803149606299213" bottom="0.74803149606299213" header="0.31496062992125984" footer="0.31496062992125984"/>
  <pageSetup paperSize="5"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S97"/>
  <sheetViews>
    <sheetView topLeftCell="B1" workbookViewId="0">
      <selection sqref="A1:O95"/>
    </sheetView>
  </sheetViews>
  <sheetFormatPr defaultRowHeight="18.75"/>
  <cols>
    <col min="1" max="1" width="1.28515625" style="220" hidden="1" customWidth="1"/>
    <col min="2" max="2" width="3.28515625" style="391" customWidth="1"/>
    <col min="3" max="3" width="3.85546875" style="391" customWidth="1"/>
    <col min="4" max="4" width="1.140625" style="391" customWidth="1"/>
    <col min="5" max="5" width="26.5703125" style="391" customWidth="1"/>
    <col min="6" max="6" width="1" style="391" customWidth="1"/>
    <col min="7" max="7" width="21.28515625" style="391" customWidth="1"/>
    <col min="8" max="8" width="1.28515625" style="391" customWidth="1"/>
    <col min="9" max="9" width="0.28515625" style="391" customWidth="1"/>
    <col min="10" max="10" width="0.7109375" style="391" customWidth="1"/>
    <col min="11" max="11" width="21.5703125" style="391" customWidth="1"/>
    <col min="12" max="12" width="0.7109375" style="391" customWidth="1"/>
    <col min="13" max="13" width="22.85546875" style="391" bestFit="1" customWidth="1"/>
    <col min="14" max="14" width="0.85546875" style="391" customWidth="1"/>
    <col min="15" max="15" width="15.7109375" style="391" customWidth="1"/>
    <col min="16" max="16" width="0.42578125" style="124" hidden="1" customWidth="1"/>
    <col min="17" max="17" width="9.140625" style="124"/>
    <col min="19" max="19" width="19" bestFit="1" customWidth="1"/>
  </cols>
  <sheetData>
    <row r="1" spans="1:15" ht="16.5">
      <c r="A1" s="534" t="s">
        <v>537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</row>
    <row r="2" spans="1:15" ht="16.5">
      <c r="A2" s="534" t="s">
        <v>402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</row>
    <row r="3" spans="1:15" ht="16.5">
      <c r="A3" s="534" t="s">
        <v>432</v>
      </c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</row>
    <row r="4" spans="1:15" ht="19.5" thickBot="1">
      <c r="A4" s="403"/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9"/>
      <c r="N4" s="388"/>
      <c r="O4" s="388"/>
    </row>
    <row r="5" spans="1:15" ht="19.5" thickTop="1">
      <c r="A5" s="404"/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0"/>
    </row>
    <row r="6" spans="1:15">
      <c r="A6" s="405"/>
      <c r="B6" s="392" t="s">
        <v>403</v>
      </c>
      <c r="C6" s="393" t="s">
        <v>538</v>
      </c>
      <c r="D6" s="394"/>
      <c r="F6" s="394"/>
      <c r="G6" s="394"/>
      <c r="H6" s="394"/>
      <c r="I6" s="394"/>
      <c r="J6" s="394"/>
      <c r="K6" s="394"/>
      <c r="L6" s="394"/>
      <c r="M6" s="394"/>
      <c r="N6" s="394"/>
      <c r="O6" s="394"/>
    </row>
    <row r="7" spans="1:15">
      <c r="A7" s="406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</row>
    <row r="8" spans="1:15" ht="21" customHeight="1">
      <c r="A8" s="406"/>
      <c r="B8" s="394"/>
      <c r="C8" s="392">
        <v>1</v>
      </c>
      <c r="D8" s="394"/>
      <c r="E8" s="395" t="s">
        <v>505</v>
      </c>
      <c r="F8" s="395"/>
      <c r="G8" s="395"/>
      <c r="H8" s="395"/>
      <c r="I8" s="395"/>
      <c r="J8" s="395"/>
      <c r="K8" s="395"/>
      <c r="L8" s="395"/>
      <c r="M8" s="395"/>
      <c r="N8" s="395"/>
      <c r="O8" s="395"/>
    </row>
    <row r="9" spans="1:15" ht="21" customHeight="1">
      <c r="A9" s="406"/>
      <c r="B9" s="394"/>
      <c r="C9" s="392"/>
      <c r="D9" s="394"/>
      <c r="E9" s="395" t="s">
        <v>507</v>
      </c>
      <c r="F9" s="395"/>
      <c r="G9" s="395"/>
      <c r="H9" s="395"/>
      <c r="I9" s="395"/>
      <c r="J9" s="395"/>
      <c r="K9" s="395"/>
      <c r="L9" s="395"/>
      <c r="M9" s="395"/>
      <c r="N9" s="395"/>
      <c r="O9" s="395"/>
    </row>
    <row r="10" spans="1:15" ht="21" customHeight="1">
      <c r="A10" s="406"/>
      <c r="B10" s="394"/>
      <c r="C10" s="392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</row>
    <row r="11" spans="1:15" ht="21" customHeight="1">
      <c r="A11" s="406"/>
      <c r="B11" s="394"/>
      <c r="C11" s="392"/>
      <c r="D11" s="394"/>
      <c r="E11" s="394" t="s">
        <v>405</v>
      </c>
      <c r="F11" s="394" t="s">
        <v>199</v>
      </c>
      <c r="G11" s="394" t="s">
        <v>496</v>
      </c>
      <c r="H11" s="394"/>
      <c r="I11" s="394"/>
      <c r="J11" s="394"/>
      <c r="K11" s="394"/>
      <c r="L11" s="394"/>
      <c r="M11" s="394"/>
      <c r="N11" s="394"/>
      <c r="O11" s="394"/>
    </row>
    <row r="12" spans="1:15" ht="21" customHeight="1">
      <c r="A12" s="405"/>
      <c r="C12" s="396"/>
      <c r="E12" s="397" t="s">
        <v>404</v>
      </c>
      <c r="F12" s="391" t="s">
        <v>199</v>
      </c>
      <c r="G12" s="391" t="s">
        <v>497</v>
      </c>
    </row>
    <row r="13" spans="1:15" ht="21" customHeight="1">
      <c r="A13" s="405"/>
      <c r="C13" s="396"/>
      <c r="E13" s="391" t="s">
        <v>406</v>
      </c>
      <c r="F13" s="391" t="s">
        <v>199</v>
      </c>
      <c r="G13" s="391" t="s">
        <v>498</v>
      </c>
    </row>
    <row r="14" spans="1:15" ht="21" customHeight="1">
      <c r="A14" s="405"/>
      <c r="C14" s="396"/>
      <c r="E14" s="391" t="s">
        <v>407</v>
      </c>
      <c r="F14" s="391" t="s">
        <v>199</v>
      </c>
      <c r="G14" s="391" t="s">
        <v>499</v>
      </c>
    </row>
    <row r="15" spans="1:15" ht="21" customHeight="1">
      <c r="A15" s="405"/>
      <c r="C15" s="396"/>
    </row>
    <row r="16" spans="1:15" ht="21" customHeight="1">
      <c r="A16" s="405"/>
      <c r="C16" s="396">
        <v>2</v>
      </c>
      <c r="E16" s="398" t="s">
        <v>508</v>
      </c>
      <c r="F16" s="398"/>
      <c r="G16" s="398"/>
      <c r="H16" s="398"/>
      <c r="I16" s="398"/>
      <c r="J16" s="398"/>
      <c r="K16" s="398"/>
      <c r="L16" s="398"/>
      <c r="M16" s="398"/>
      <c r="N16" s="398"/>
      <c r="O16" s="398"/>
    </row>
    <row r="17" spans="1:19" ht="21" customHeight="1">
      <c r="A17" s="405"/>
      <c r="C17" s="396"/>
      <c r="E17" s="398" t="s">
        <v>509</v>
      </c>
      <c r="F17" s="398"/>
      <c r="G17" s="398"/>
      <c r="H17" s="398"/>
      <c r="I17" s="398"/>
      <c r="J17" s="398"/>
      <c r="K17" s="398"/>
      <c r="L17" s="398"/>
      <c r="M17" s="398"/>
      <c r="N17" s="398"/>
      <c r="O17" s="398"/>
    </row>
    <row r="18" spans="1:19" ht="21" customHeight="1">
      <c r="A18" s="405"/>
      <c r="C18" s="396"/>
      <c r="E18" s="398" t="s">
        <v>510</v>
      </c>
      <c r="F18" s="398"/>
      <c r="G18" s="398"/>
      <c r="H18" s="398"/>
      <c r="I18" s="398"/>
      <c r="J18" s="398"/>
      <c r="K18" s="398"/>
      <c r="L18" s="398"/>
      <c r="M18" s="398"/>
      <c r="N18" s="398"/>
      <c r="O18" s="398"/>
    </row>
    <row r="19" spans="1:19" ht="21" customHeight="1">
      <c r="A19" s="405"/>
      <c r="C19" s="396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</row>
    <row r="20" spans="1:19" ht="21" customHeight="1">
      <c r="A20" s="405"/>
      <c r="C20" s="396">
        <v>3</v>
      </c>
      <c r="E20" s="398" t="s">
        <v>506</v>
      </c>
      <c r="F20" s="398"/>
      <c r="G20" s="398"/>
      <c r="H20" s="398"/>
      <c r="I20" s="398"/>
      <c r="J20" s="398"/>
      <c r="K20" s="398"/>
      <c r="L20" s="398"/>
      <c r="M20" s="398"/>
      <c r="N20" s="398"/>
      <c r="O20" s="398"/>
    </row>
    <row r="21" spans="1:19" ht="21" customHeight="1">
      <c r="A21" s="405"/>
      <c r="E21" s="398" t="s">
        <v>511</v>
      </c>
      <c r="F21" s="398"/>
      <c r="G21" s="398"/>
      <c r="H21" s="398"/>
      <c r="I21" s="398"/>
      <c r="J21" s="398"/>
      <c r="K21" s="398"/>
      <c r="L21" s="398"/>
      <c r="M21" s="398"/>
      <c r="N21" s="398"/>
      <c r="O21" s="398"/>
    </row>
    <row r="22" spans="1:19" ht="21" customHeight="1">
      <c r="A22" s="405"/>
      <c r="E22" s="398" t="s">
        <v>512</v>
      </c>
      <c r="F22" s="398"/>
      <c r="G22" s="398"/>
      <c r="H22" s="398"/>
      <c r="I22" s="398"/>
      <c r="J22" s="398"/>
      <c r="K22" s="398"/>
      <c r="L22" s="398"/>
      <c r="M22" s="398"/>
      <c r="N22" s="398"/>
      <c r="O22" s="398"/>
    </row>
    <row r="23" spans="1:19" ht="21" customHeight="1">
      <c r="A23" s="405"/>
    </row>
    <row r="24" spans="1:19" ht="21" customHeight="1">
      <c r="A24" s="405"/>
      <c r="B24" s="396" t="s">
        <v>408</v>
      </c>
      <c r="C24" s="393" t="s">
        <v>539</v>
      </c>
      <c r="D24" s="394"/>
    </row>
    <row r="25" spans="1:19" ht="21" customHeight="1">
      <c r="A25" s="405"/>
    </row>
    <row r="26" spans="1:19" ht="21" customHeight="1">
      <c r="A26" s="405"/>
      <c r="C26" s="396">
        <v>1</v>
      </c>
      <c r="E26" s="398" t="s">
        <v>422</v>
      </c>
      <c r="F26" s="398"/>
      <c r="G26" s="398"/>
      <c r="H26" s="398"/>
      <c r="I26" s="398"/>
      <c r="J26" s="398"/>
      <c r="K26" s="398"/>
      <c r="L26" s="398"/>
      <c r="M26" s="398"/>
      <c r="N26" s="398"/>
      <c r="O26" s="398"/>
    </row>
    <row r="27" spans="1:19" ht="21" customHeight="1">
      <c r="A27" s="405"/>
      <c r="C27" s="396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</row>
    <row r="28" spans="1:19" ht="21" customHeight="1">
      <c r="A28" s="405"/>
      <c r="C28" s="396">
        <v>2</v>
      </c>
      <c r="E28" s="398" t="s">
        <v>423</v>
      </c>
      <c r="F28" s="398"/>
      <c r="G28" s="398"/>
      <c r="H28" s="398"/>
      <c r="I28" s="398"/>
      <c r="J28" s="398"/>
      <c r="K28" s="398"/>
      <c r="L28" s="398"/>
      <c r="M28" s="398"/>
      <c r="N28" s="398"/>
      <c r="O28" s="398"/>
    </row>
    <row r="29" spans="1:19" ht="21" customHeight="1">
      <c r="A29" s="405"/>
      <c r="C29" s="396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</row>
    <row r="30" spans="1:19" ht="21" customHeight="1">
      <c r="A30" s="405"/>
      <c r="C30" s="396">
        <v>3</v>
      </c>
      <c r="E30" s="391" t="s">
        <v>513</v>
      </c>
    </row>
    <row r="31" spans="1:19" ht="21" customHeight="1">
      <c r="A31" s="405"/>
      <c r="C31" s="396"/>
      <c r="E31" s="391" t="s">
        <v>514</v>
      </c>
      <c r="S31" s="73"/>
    </row>
    <row r="32" spans="1:19" ht="21" customHeight="1">
      <c r="A32" s="405"/>
      <c r="C32" s="396"/>
      <c r="E32" s="391" t="s">
        <v>515</v>
      </c>
      <c r="S32" s="73"/>
    </row>
    <row r="33" spans="1:19" ht="21" customHeight="1">
      <c r="A33" s="405"/>
      <c r="C33" s="396"/>
      <c r="S33" s="73"/>
    </row>
    <row r="34" spans="1:19" ht="21" customHeight="1">
      <c r="A34" s="405"/>
      <c r="C34" s="396">
        <v>4</v>
      </c>
      <c r="E34" s="391" t="s">
        <v>425</v>
      </c>
      <c r="S34" s="73"/>
    </row>
    <row r="35" spans="1:19" ht="21" customHeight="1">
      <c r="A35" s="405"/>
      <c r="C35" s="396"/>
      <c r="E35" s="391" t="s">
        <v>500</v>
      </c>
      <c r="S35" s="73"/>
    </row>
    <row r="36" spans="1:19" ht="21" customHeight="1">
      <c r="A36" s="405"/>
      <c r="C36" s="396"/>
      <c r="S36" s="73"/>
    </row>
    <row r="37" spans="1:19" ht="21" customHeight="1">
      <c r="A37" s="405"/>
      <c r="C37" s="396">
        <v>5</v>
      </c>
      <c r="E37" s="398" t="s">
        <v>516</v>
      </c>
      <c r="F37" s="398"/>
      <c r="G37" s="398"/>
      <c r="H37" s="398"/>
      <c r="I37" s="398"/>
      <c r="J37" s="398"/>
      <c r="K37" s="398"/>
      <c r="L37" s="398"/>
      <c r="M37" s="398"/>
      <c r="N37" s="398"/>
      <c r="O37" s="398"/>
    </row>
    <row r="38" spans="1:19" ht="21" customHeight="1">
      <c r="A38" s="405"/>
      <c r="C38" s="396"/>
      <c r="E38" s="398" t="s">
        <v>517</v>
      </c>
      <c r="F38" s="398"/>
      <c r="G38" s="398"/>
      <c r="H38" s="398"/>
      <c r="I38" s="398"/>
      <c r="J38" s="398"/>
      <c r="K38" s="398"/>
      <c r="L38" s="398"/>
      <c r="M38" s="398"/>
      <c r="N38" s="398"/>
      <c r="O38" s="398"/>
    </row>
    <row r="39" spans="1:19" ht="21" customHeight="1">
      <c r="A39" s="405"/>
      <c r="C39" s="396"/>
      <c r="E39" s="398" t="s">
        <v>518</v>
      </c>
      <c r="F39" s="398"/>
      <c r="G39" s="398"/>
      <c r="H39" s="398"/>
      <c r="I39" s="398"/>
      <c r="J39" s="398"/>
      <c r="K39" s="398"/>
      <c r="L39" s="398"/>
      <c r="M39" s="398"/>
      <c r="N39" s="398"/>
      <c r="O39" s="398"/>
    </row>
    <row r="40" spans="1:19" ht="21" customHeight="1">
      <c r="A40" s="405"/>
      <c r="C40" s="396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S40" s="207"/>
    </row>
    <row r="41" spans="1:19" ht="21" customHeight="1">
      <c r="A41" s="405"/>
      <c r="C41" s="396">
        <v>6</v>
      </c>
      <c r="E41" s="398" t="s">
        <v>519</v>
      </c>
      <c r="F41" s="398"/>
      <c r="G41" s="398"/>
      <c r="H41" s="398"/>
      <c r="I41" s="398"/>
      <c r="J41" s="398"/>
      <c r="K41" s="398"/>
      <c r="L41" s="398"/>
      <c r="M41" s="398"/>
      <c r="N41" s="398"/>
      <c r="O41" s="398"/>
      <c r="S41" s="207"/>
    </row>
    <row r="42" spans="1:19" ht="21" customHeight="1">
      <c r="A42" s="405"/>
      <c r="C42" s="396"/>
      <c r="E42" s="398" t="s">
        <v>520</v>
      </c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S42" s="207"/>
    </row>
    <row r="43" spans="1:19" ht="21" customHeight="1">
      <c r="A43" s="405"/>
      <c r="C43" s="396"/>
      <c r="E43" s="398" t="s">
        <v>521</v>
      </c>
      <c r="F43" s="398"/>
      <c r="G43" s="398"/>
      <c r="H43" s="398"/>
      <c r="I43" s="398"/>
      <c r="J43" s="398"/>
      <c r="K43" s="398"/>
      <c r="L43" s="398"/>
      <c r="M43" s="398"/>
      <c r="N43" s="398"/>
      <c r="O43" s="398"/>
      <c r="S43" s="207"/>
    </row>
    <row r="44" spans="1:19" ht="21" customHeight="1">
      <c r="A44" s="405"/>
      <c r="C44" s="396"/>
    </row>
    <row r="45" spans="1:19" ht="21" customHeight="1">
      <c r="A45" s="405"/>
      <c r="C45" s="396">
        <v>7</v>
      </c>
      <c r="E45" s="398" t="s">
        <v>522</v>
      </c>
      <c r="F45" s="398"/>
      <c r="G45" s="398"/>
      <c r="H45" s="398"/>
      <c r="I45" s="398"/>
      <c r="J45" s="398"/>
      <c r="K45" s="398"/>
      <c r="L45" s="398"/>
      <c r="M45" s="398"/>
      <c r="N45" s="398"/>
      <c r="O45" s="398"/>
    </row>
    <row r="46" spans="1:19" ht="21" customHeight="1">
      <c r="A46" s="405"/>
      <c r="C46" s="396"/>
      <c r="E46" s="398" t="s">
        <v>523</v>
      </c>
      <c r="F46" s="398"/>
      <c r="G46" s="398"/>
      <c r="H46" s="398"/>
      <c r="I46" s="398"/>
      <c r="J46" s="398"/>
      <c r="K46" s="398"/>
      <c r="L46" s="398"/>
      <c r="M46" s="398"/>
      <c r="N46" s="398"/>
      <c r="O46" s="398"/>
    </row>
    <row r="47" spans="1:19" ht="21" customHeight="1">
      <c r="A47" s="405"/>
      <c r="C47" s="396"/>
      <c r="E47" s="398" t="s">
        <v>524</v>
      </c>
      <c r="F47" s="398"/>
      <c r="G47" s="398"/>
      <c r="H47" s="398"/>
      <c r="I47" s="398"/>
      <c r="J47" s="398"/>
      <c r="K47" s="398"/>
      <c r="L47" s="398"/>
      <c r="M47" s="398"/>
      <c r="N47" s="398"/>
      <c r="O47" s="398"/>
    </row>
    <row r="48" spans="1:19" ht="21" customHeight="1">
      <c r="A48" s="405"/>
      <c r="C48" s="396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398"/>
    </row>
    <row r="49" spans="1:15" ht="21" customHeight="1">
      <c r="A49" s="405"/>
      <c r="C49" s="396">
        <v>8</v>
      </c>
      <c r="E49" s="398" t="s">
        <v>525</v>
      </c>
      <c r="F49" s="398"/>
      <c r="G49" s="398"/>
      <c r="H49" s="398"/>
      <c r="I49" s="398"/>
      <c r="J49" s="398"/>
      <c r="K49" s="398"/>
      <c r="L49" s="398"/>
      <c r="M49" s="398"/>
      <c r="N49" s="398"/>
      <c r="O49" s="398"/>
    </row>
    <row r="50" spans="1:15" ht="21" customHeight="1">
      <c r="A50" s="405"/>
      <c r="C50" s="396"/>
      <c r="E50" s="398" t="s">
        <v>526</v>
      </c>
      <c r="F50" s="398"/>
      <c r="G50" s="398"/>
      <c r="H50" s="398"/>
      <c r="I50" s="398"/>
      <c r="J50" s="398"/>
      <c r="K50" s="398"/>
      <c r="L50" s="398"/>
      <c r="M50" s="398"/>
      <c r="N50" s="398"/>
      <c r="O50" s="398"/>
    </row>
    <row r="51" spans="1:15" ht="21" customHeight="1">
      <c r="A51" s="405"/>
      <c r="C51" s="396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</row>
    <row r="52" spans="1:15" ht="21" customHeight="1">
      <c r="A52" s="405"/>
      <c r="C52" s="396">
        <v>9</v>
      </c>
      <c r="E52" s="398" t="s">
        <v>527</v>
      </c>
      <c r="F52" s="398"/>
      <c r="G52" s="398"/>
      <c r="H52" s="398"/>
      <c r="I52" s="398"/>
      <c r="J52" s="398"/>
      <c r="K52" s="398"/>
      <c r="L52" s="398"/>
      <c r="M52" s="398"/>
      <c r="N52" s="398"/>
      <c r="O52" s="398"/>
    </row>
    <row r="53" spans="1:15" ht="21" customHeight="1">
      <c r="A53" s="405"/>
      <c r="C53" s="396"/>
      <c r="E53" s="398" t="s">
        <v>528</v>
      </c>
      <c r="F53" s="398"/>
      <c r="G53" s="398"/>
      <c r="H53" s="398"/>
      <c r="I53" s="398"/>
      <c r="J53" s="398"/>
      <c r="K53" s="398"/>
      <c r="L53" s="398"/>
      <c r="M53" s="398"/>
      <c r="N53" s="398"/>
      <c r="O53" s="398"/>
    </row>
    <row r="54" spans="1:15" ht="21" customHeight="1">
      <c r="A54" s="405"/>
      <c r="C54" s="396"/>
      <c r="E54" s="398"/>
      <c r="F54" s="398"/>
      <c r="G54" s="398"/>
      <c r="H54" s="398"/>
      <c r="I54" s="398"/>
      <c r="J54" s="398"/>
      <c r="K54" s="398"/>
      <c r="L54" s="398"/>
      <c r="M54" s="398"/>
      <c r="N54" s="398"/>
      <c r="O54" s="398"/>
    </row>
    <row r="55" spans="1:15" ht="21" customHeight="1">
      <c r="A55" s="405"/>
      <c r="C55" s="396">
        <v>10</v>
      </c>
      <c r="E55" s="398" t="s">
        <v>529</v>
      </c>
      <c r="F55" s="398"/>
      <c r="G55" s="398"/>
      <c r="H55" s="398"/>
      <c r="I55" s="398"/>
      <c r="J55" s="398"/>
      <c r="K55" s="398"/>
      <c r="L55" s="398"/>
      <c r="M55" s="398"/>
      <c r="N55" s="398"/>
      <c r="O55" s="398"/>
    </row>
    <row r="56" spans="1:15" ht="21" customHeight="1">
      <c r="A56" s="405"/>
      <c r="C56" s="396"/>
      <c r="E56" s="398" t="s">
        <v>530</v>
      </c>
      <c r="F56" s="398"/>
      <c r="G56" s="398"/>
      <c r="H56" s="398"/>
      <c r="I56" s="398"/>
      <c r="J56" s="398"/>
      <c r="K56" s="398"/>
      <c r="L56" s="398"/>
      <c r="M56" s="398"/>
      <c r="N56" s="398"/>
      <c r="O56" s="398"/>
    </row>
    <row r="57" spans="1:15" ht="21" customHeight="1">
      <c r="A57" s="405"/>
      <c r="C57" s="396"/>
      <c r="E57" s="398" t="s">
        <v>531</v>
      </c>
      <c r="F57" s="398"/>
      <c r="G57" s="398"/>
      <c r="H57" s="398"/>
      <c r="I57" s="398"/>
      <c r="J57" s="398"/>
      <c r="K57" s="398"/>
      <c r="L57" s="398"/>
      <c r="M57" s="398"/>
      <c r="N57" s="398"/>
      <c r="O57" s="398"/>
    </row>
    <row r="58" spans="1:15" ht="21" customHeight="1">
      <c r="A58" s="405"/>
      <c r="D58" s="399"/>
    </row>
    <row r="59" spans="1:15" ht="21" customHeight="1">
      <c r="A59" s="405"/>
      <c r="B59" s="396" t="s">
        <v>409</v>
      </c>
      <c r="C59" s="393" t="s">
        <v>540</v>
      </c>
    </row>
    <row r="60" spans="1:15" ht="21" customHeight="1">
      <c r="A60" s="405"/>
    </row>
    <row r="61" spans="1:15" ht="21" customHeight="1">
      <c r="A61" s="405"/>
      <c r="C61" s="396">
        <v>1</v>
      </c>
      <c r="E61" s="535" t="s">
        <v>424</v>
      </c>
      <c r="F61" s="535"/>
      <c r="G61" s="535"/>
      <c r="H61" s="535"/>
      <c r="I61" s="535"/>
      <c r="J61" s="535"/>
      <c r="K61" s="535"/>
      <c r="L61" s="535"/>
      <c r="M61" s="535"/>
      <c r="N61" s="535"/>
      <c r="O61" s="535"/>
    </row>
    <row r="62" spans="1:15" ht="21" customHeight="1">
      <c r="A62" s="405"/>
      <c r="C62" s="396"/>
      <c r="E62" s="535"/>
      <c r="F62" s="535"/>
      <c r="G62" s="535"/>
      <c r="H62" s="535"/>
      <c r="I62" s="535"/>
      <c r="J62" s="535"/>
      <c r="K62" s="535"/>
      <c r="L62" s="535"/>
      <c r="M62" s="535"/>
      <c r="N62" s="535"/>
      <c r="O62" s="535"/>
    </row>
    <row r="63" spans="1:15" ht="21" customHeight="1">
      <c r="A63" s="405"/>
      <c r="C63" s="396">
        <v>2</v>
      </c>
      <c r="E63" s="391" t="s">
        <v>532</v>
      </c>
      <c r="F63" s="400"/>
      <c r="G63" s="400"/>
      <c r="H63" s="400"/>
      <c r="I63" s="400"/>
      <c r="J63" s="400"/>
      <c r="K63" s="400"/>
      <c r="L63" s="400"/>
      <c r="M63" s="400"/>
      <c r="N63" s="400"/>
      <c r="O63" s="400"/>
    </row>
    <row r="64" spans="1:15" ht="21" customHeight="1">
      <c r="A64" s="405"/>
      <c r="C64" s="396"/>
      <c r="E64" s="391" t="s">
        <v>533</v>
      </c>
      <c r="F64" s="400"/>
      <c r="G64" s="400"/>
      <c r="H64" s="400"/>
      <c r="I64" s="400"/>
      <c r="J64" s="400"/>
      <c r="K64" s="400"/>
      <c r="L64" s="400"/>
      <c r="M64" s="400"/>
      <c r="N64" s="400"/>
      <c r="O64" s="400"/>
    </row>
    <row r="65" spans="1:15" ht="21" customHeight="1">
      <c r="A65" s="405"/>
      <c r="C65" s="396"/>
      <c r="E65" s="391" t="s">
        <v>534</v>
      </c>
      <c r="F65" s="400"/>
      <c r="G65" s="400"/>
      <c r="H65" s="400"/>
      <c r="I65" s="400"/>
      <c r="J65" s="400"/>
      <c r="K65" s="400"/>
      <c r="L65" s="400"/>
      <c r="M65" s="400"/>
      <c r="N65" s="400"/>
      <c r="O65" s="400"/>
    </row>
    <row r="66" spans="1:15" ht="21" customHeight="1">
      <c r="A66" s="405"/>
      <c r="C66" s="396"/>
      <c r="F66" s="400"/>
      <c r="G66" s="400"/>
      <c r="H66" s="400"/>
      <c r="I66" s="400"/>
      <c r="J66" s="400"/>
      <c r="K66" s="400"/>
      <c r="L66" s="400"/>
      <c r="M66" s="400"/>
      <c r="N66" s="400"/>
      <c r="O66" s="400"/>
    </row>
    <row r="67" spans="1:15" ht="21" customHeight="1">
      <c r="A67" s="405"/>
      <c r="C67" s="396">
        <v>3</v>
      </c>
      <c r="E67" s="535" t="s">
        <v>501</v>
      </c>
      <c r="F67" s="535"/>
      <c r="G67" s="535"/>
      <c r="H67" s="535"/>
      <c r="I67" s="535"/>
      <c r="J67" s="535"/>
      <c r="K67" s="535"/>
      <c r="L67" s="535"/>
      <c r="M67" s="535"/>
      <c r="N67" s="535"/>
      <c r="O67" s="535"/>
    </row>
    <row r="68" spans="1:15" ht="39.75" customHeight="1">
      <c r="A68" s="405"/>
      <c r="C68" s="396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</row>
    <row r="69" spans="1:15" ht="21" customHeight="1">
      <c r="A69" s="405"/>
      <c r="C69" s="396"/>
    </row>
    <row r="70" spans="1:15" ht="21" customHeight="1">
      <c r="A70" s="405"/>
      <c r="C70" s="396">
        <v>4</v>
      </c>
      <c r="E70" s="535" t="s">
        <v>502</v>
      </c>
      <c r="F70" s="535"/>
      <c r="G70" s="535"/>
      <c r="H70" s="535"/>
      <c r="I70" s="535"/>
      <c r="J70" s="535"/>
      <c r="K70" s="535"/>
      <c r="L70" s="535"/>
      <c r="M70" s="535"/>
      <c r="N70" s="535"/>
      <c r="O70" s="535"/>
    </row>
    <row r="71" spans="1:15" ht="35.25" customHeight="1">
      <c r="A71" s="405"/>
      <c r="C71" s="396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</row>
    <row r="72" spans="1:15" ht="21" customHeight="1">
      <c r="A72" s="405"/>
      <c r="C72" s="396"/>
    </row>
    <row r="73" spans="1:15" ht="21" customHeight="1">
      <c r="A73" s="405"/>
      <c r="C73" s="396">
        <v>5</v>
      </c>
      <c r="E73" s="535" t="s">
        <v>503</v>
      </c>
      <c r="F73" s="535"/>
      <c r="G73" s="535"/>
      <c r="H73" s="535"/>
      <c r="I73" s="535"/>
      <c r="J73" s="535"/>
      <c r="K73" s="535"/>
      <c r="L73" s="535"/>
      <c r="M73" s="535"/>
      <c r="N73" s="535"/>
      <c r="O73" s="535"/>
    </row>
    <row r="74" spans="1:15" ht="35.25" customHeight="1">
      <c r="A74" s="405"/>
      <c r="C74" s="396"/>
      <c r="E74" s="535"/>
      <c r="F74" s="535"/>
      <c r="G74" s="535"/>
      <c r="H74" s="535"/>
      <c r="I74" s="535"/>
      <c r="J74" s="535"/>
      <c r="K74" s="535"/>
      <c r="L74" s="535"/>
      <c r="M74" s="535"/>
      <c r="N74" s="535"/>
      <c r="O74" s="535"/>
    </row>
    <row r="75" spans="1:15" ht="21" customHeight="1">
      <c r="A75" s="405"/>
    </row>
    <row r="76" spans="1:15" ht="21" customHeight="1">
      <c r="A76" s="405"/>
      <c r="B76" s="396" t="s">
        <v>412</v>
      </c>
      <c r="C76" s="393" t="s">
        <v>541</v>
      </c>
    </row>
    <row r="77" spans="1:15" ht="21" customHeight="1">
      <c r="A77" s="405"/>
    </row>
    <row r="78" spans="1:15" ht="21" customHeight="1">
      <c r="A78" s="405"/>
      <c r="C78" s="396">
        <v>1</v>
      </c>
      <c r="E78" s="398" t="s">
        <v>426</v>
      </c>
      <c r="F78" s="398"/>
      <c r="G78" s="398"/>
      <c r="H78" s="398"/>
      <c r="I78" s="398"/>
      <c r="J78" s="398"/>
      <c r="K78" s="398"/>
      <c r="L78" s="398"/>
      <c r="M78" s="398"/>
      <c r="N78" s="398"/>
      <c r="O78" s="398"/>
    </row>
    <row r="79" spans="1:15" ht="21" customHeight="1">
      <c r="A79" s="405"/>
      <c r="C79" s="396"/>
      <c r="E79" s="400"/>
      <c r="F79" s="400"/>
      <c r="G79" s="400"/>
      <c r="H79" s="400"/>
      <c r="I79" s="400"/>
      <c r="J79" s="400"/>
      <c r="K79" s="400"/>
      <c r="L79" s="400"/>
      <c r="M79" s="400"/>
      <c r="N79" s="400"/>
      <c r="O79" s="400"/>
    </row>
    <row r="80" spans="1:15" ht="21" customHeight="1">
      <c r="A80" s="405"/>
      <c r="C80" s="396">
        <v>2</v>
      </c>
      <c r="E80" s="535" t="s">
        <v>504</v>
      </c>
      <c r="F80" s="535"/>
      <c r="G80" s="535"/>
      <c r="H80" s="535"/>
      <c r="I80" s="535"/>
      <c r="J80" s="535"/>
      <c r="K80" s="535"/>
      <c r="L80" s="535"/>
      <c r="M80" s="535"/>
      <c r="N80" s="535"/>
      <c r="O80" s="535"/>
    </row>
    <row r="81" spans="1:15" ht="41.25" customHeight="1">
      <c r="A81" s="405"/>
      <c r="C81" s="396"/>
      <c r="E81" s="535"/>
      <c r="F81" s="535"/>
      <c r="G81" s="535"/>
      <c r="H81" s="535"/>
      <c r="I81" s="535"/>
      <c r="J81" s="535"/>
      <c r="K81" s="535"/>
      <c r="L81" s="535"/>
      <c r="M81" s="535"/>
      <c r="N81" s="535"/>
      <c r="O81" s="535"/>
    </row>
    <row r="82" spans="1:15" ht="21" customHeight="1">
      <c r="A82" s="405"/>
      <c r="C82" s="396"/>
    </row>
    <row r="83" spans="1:15" ht="21" customHeight="1">
      <c r="A83" s="405"/>
      <c r="C83" s="396">
        <v>3</v>
      </c>
      <c r="E83" s="398" t="s">
        <v>427</v>
      </c>
      <c r="F83" s="398"/>
      <c r="G83" s="398"/>
      <c r="H83" s="398"/>
      <c r="I83" s="398"/>
      <c r="J83" s="398"/>
      <c r="K83" s="398"/>
      <c r="L83" s="398"/>
      <c r="M83" s="398"/>
      <c r="N83" s="398"/>
      <c r="O83" s="398"/>
    </row>
    <row r="84" spans="1:15" ht="21" customHeight="1">
      <c r="A84" s="405"/>
      <c r="C84" s="396"/>
    </row>
    <row r="85" spans="1:15" ht="21" customHeight="1">
      <c r="A85" s="405"/>
      <c r="C85" s="396">
        <v>4</v>
      </c>
      <c r="E85" s="401" t="s">
        <v>428</v>
      </c>
    </row>
    <row r="86" spans="1:15" ht="21" customHeight="1">
      <c r="A86" s="405"/>
    </row>
    <row r="87" spans="1:15" ht="21" customHeight="1">
      <c r="A87" s="405"/>
      <c r="B87" s="396" t="s">
        <v>413</v>
      </c>
      <c r="C87" s="393" t="s">
        <v>542</v>
      </c>
    </row>
    <row r="88" spans="1:15" ht="21" customHeight="1">
      <c r="A88" s="405"/>
    </row>
    <row r="89" spans="1:15" ht="21" customHeight="1">
      <c r="A89" s="405"/>
      <c r="C89" s="396">
        <v>1</v>
      </c>
      <c r="E89" s="402" t="s">
        <v>429</v>
      </c>
    </row>
    <row r="90" spans="1:15" ht="21" customHeight="1">
      <c r="A90" s="405"/>
      <c r="C90" s="396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0"/>
    </row>
    <row r="91" spans="1:15" ht="21" customHeight="1">
      <c r="A91" s="405"/>
      <c r="C91" s="396">
        <v>2</v>
      </c>
      <c r="E91" s="401" t="s">
        <v>535</v>
      </c>
      <c r="F91" s="400"/>
      <c r="G91" s="400"/>
      <c r="H91" s="400"/>
      <c r="I91" s="400"/>
      <c r="J91" s="400"/>
      <c r="K91" s="400"/>
      <c r="L91" s="400"/>
      <c r="M91" s="400"/>
      <c r="N91" s="400"/>
      <c r="O91" s="400"/>
    </row>
    <row r="92" spans="1:15" ht="21" customHeight="1">
      <c r="A92" s="405"/>
      <c r="C92" s="396"/>
      <c r="E92" s="401" t="s">
        <v>536</v>
      </c>
      <c r="F92" s="400"/>
      <c r="G92" s="400"/>
      <c r="H92" s="400"/>
      <c r="I92" s="400"/>
      <c r="J92" s="400"/>
      <c r="K92" s="400"/>
      <c r="L92" s="400"/>
      <c r="M92" s="400"/>
      <c r="N92" s="400"/>
      <c r="O92" s="400"/>
    </row>
    <row r="93" spans="1:15" ht="21" customHeight="1">
      <c r="A93" s="405"/>
      <c r="C93" s="396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1"/>
    </row>
    <row r="94" spans="1:15" ht="21" customHeight="1">
      <c r="A94" s="405"/>
      <c r="C94" s="396">
        <v>3</v>
      </c>
      <c r="E94" s="401" t="s">
        <v>431</v>
      </c>
      <c r="F94" s="401"/>
      <c r="G94" s="401"/>
      <c r="H94" s="401"/>
      <c r="I94" s="401"/>
      <c r="J94" s="401"/>
      <c r="K94" s="401"/>
      <c r="L94" s="401"/>
      <c r="M94" s="401"/>
      <c r="N94" s="401"/>
      <c r="O94" s="401"/>
    </row>
    <row r="95" spans="1:15" ht="21" customHeight="1">
      <c r="A95" s="405"/>
      <c r="E95" s="401" t="s">
        <v>430</v>
      </c>
    </row>
    <row r="96" spans="1:15">
      <c r="A96" s="405"/>
      <c r="F96" s="401"/>
      <c r="G96" s="401"/>
      <c r="H96" s="401"/>
      <c r="I96" s="401"/>
      <c r="J96" s="401"/>
      <c r="K96" s="401"/>
      <c r="L96" s="401"/>
      <c r="M96" s="401"/>
      <c r="N96" s="401"/>
      <c r="O96" s="401"/>
    </row>
    <row r="97" spans="1:15">
      <c r="A97" s="405"/>
      <c r="E97" s="401"/>
      <c r="F97" s="401"/>
      <c r="G97" s="401"/>
      <c r="H97" s="401"/>
      <c r="I97" s="401"/>
      <c r="J97" s="401"/>
      <c r="K97" s="401"/>
      <c r="L97" s="401"/>
      <c r="M97" s="401"/>
      <c r="N97" s="401"/>
      <c r="O97" s="401"/>
    </row>
  </sheetData>
  <mergeCells count="8">
    <mergeCell ref="A2:O2"/>
    <mergeCell ref="A3:O3"/>
    <mergeCell ref="A1:O1"/>
    <mergeCell ref="E80:O81"/>
    <mergeCell ref="E61:O62"/>
    <mergeCell ref="E67:O68"/>
    <mergeCell ref="E70:O71"/>
    <mergeCell ref="E73:O74"/>
  </mergeCells>
  <pageMargins left="0.6" right="0" top="0.75" bottom="0.75" header="0.3" footer="0.3"/>
  <pageSetup paperSize="9"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L313"/>
  <sheetViews>
    <sheetView zoomScale="85" zoomScaleNormal="8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J136" sqref="J136"/>
    </sheetView>
  </sheetViews>
  <sheetFormatPr defaultRowHeight="15.75"/>
  <cols>
    <col min="1" max="1" width="2" style="238" customWidth="1"/>
    <col min="2" max="2" width="7" style="238" customWidth="1"/>
    <col min="3" max="3" width="34.85546875" style="238" customWidth="1"/>
    <col min="4" max="9" width="18.7109375" style="259" customWidth="1"/>
    <col min="10" max="10" width="27.28515625" style="220" bestFit="1" customWidth="1"/>
    <col min="11" max="12" width="18.140625" customWidth="1"/>
  </cols>
  <sheetData>
    <row r="1" spans="1:9">
      <c r="A1" s="237" t="s">
        <v>537</v>
      </c>
      <c r="B1" s="237"/>
    </row>
    <row r="2" spans="1:9">
      <c r="A2" s="237" t="s">
        <v>226</v>
      </c>
      <c r="B2" s="237"/>
    </row>
    <row r="3" spans="1:9">
      <c r="A3" s="237" t="s">
        <v>495</v>
      </c>
      <c r="B3" s="237"/>
    </row>
    <row r="6" spans="1:9">
      <c r="A6" s="543" t="s">
        <v>1</v>
      </c>
      <c r="B6" s="544"/>
      <c r="C6" s="544"/>
      <c r="D6" s="553">
        <v>2016</v>
      </c>
      <c r="E6" s="539">
        <v>2017</v>
      </c>
      <c r="F6" s="539">
        <v>2018</v>
      </c>
      <c r="G6" s="539">
        <v>2019</v>
      </c>
      <c r="H6" s="539">
        <v>2020</v>
      </c>
      <c r="I6" s="536" t="s">
        <v>421</v>
      </c>
    </row>
    <row r="7" spans="1:9">
      <c r="A7" s="545"/>
      <c r="B7" s="546"/>
      <c r="C7" s="546"/>
      <c r="D7" s="554"/>
      <c r="E7" s="540"/>
      <c r="F7" s="540"/>
      <c r="G7" s="540"/>
      <c r="H7" s="540"/>
      <c r="I7" s="537"/>
    </row>
    <row r="8" spans="1:9">
      <c r="A8" s="545"/>
      <c r="B8" s="546"/>
      <c r="C8" s="546"/>
      <c r="D8" s="554"/>
      <c r="E8" s="540"/>
      <c r="F8" s="540"/>
      <c r="G8" s="540"/>
      <c r="H8" s="540"/>
      <c r="I8" s="538"/>
    </row>
    <row r="9" spans="1:9">
      <c r="A9" s="545" t="s">
        <v>236</v>
      </c>
      <c r="B9" s="546"/>
      <c r="C9" s="546"/>
      <c r="D9" s="241"/>
      <c r="E9" s="242"/>
      <c r="F9" s="242"/>
      <c r="G9" s="242"/>
      <c r="H9" s="242"/>
      <c r="I9" s="407"/>
    </row>
    <row r="10" spans="1:9">
      <c r="A10" s="547" t="s">
        <v>134</v>
      </c>
      <c r="B10" s="548"/>
      <c r="C10" s="548"/>
      <c r="D10" s="241">
        <v>83.798333333333332</v>
      </c>
      <c r="E10" s="241">
        <v>84.589999999999989</v>
      </c>
      <c r="F10" s="241">
        <v>84.447500000000005</v>
      </c>
      <c r="G10" s="242">
        <v>73.583333333333329</v>
      </c>
      <c r="H10" s="241">
        <v>85.333333333333329</v>
      </c>
      <c r="I10" s="407"/>
    </row>
    <row r="11" spans="1:9">
      <c r="A11" s="243" t="s">
        <v>10</v>
      </c>
      <c r="B11" s="541" t="s">
        <v>11</v>
      </c>
      <c r="C11" s="541"/>
      <c r="D11" s="241">
        <f>'CF 2016'!D11</f>
        <v>509102793.48072398</v>
      </c>
      <c r="E11" s="241">
        <f>D140</f>
        <v>158455851.49249268</v>
      </c>
      <c r="F11" s="241">
        <f>E140</f>
        <v>29051040.758270264</v>
      </c>
      <c r="G11" s="241">
        <f>F140</f>
        <v>1130494004.7982788</v>
      </c>
      <c r="H11" s="241">
        <f>G140</f>
        <v>1418329624.1860352</v>
      </c>
      <c r="I11" s="407"/>
    </row>
    <row r="12" spans="1:9">
      <c r="A12" s="243"/>
      <c r="B12" s="244"/>
      <c r="C12" s="244"/>
      <c r="D12" s="241"/>
      <c r="E12" s="241"/>
      <c r="F12" s="241"/>
      <c r="G12" s="242"/>
      <c r="H12" s="241"/>
      <c r="I12" s="407"/>
    </row>
    <row r="13" spans="1:9">
      <c r="A13" s="243" t="s">
        <v>12</v>
      </c>
      <c r="B13" s="541" t="s">
        <v>159</v>
      </c>
      <c r="C13" s="541"/>
      <c r="D13" s="241"/>
      <c r="E13" s="241"/>
      <c r="F13" s="241"/>
      <c r="G13" s="242"/>
      <c r="H13" s="241"/>
      <c r="I13" s="407"/>
    </row>
    <row r="14" spans="1:9">
      <c r="A14" s="243"/>
      <c r="B14" s="542" t="s">
        <v>13</v>
      </c>
      <c r="C14" s="542"/>
      <c r="D14" s="241">
        <f>'CF 2016'!P14</f>
        <v>14662102487.326155</v>
      </c>
      <c r="E14" s="241">
        <f>'CF 2017'!P14</f>
        <v>15787240697.138712</v>
      </c>
      <c r="F14" s="241">
        <f>'CF 2018'!P15</f>
        <v>19184783471.293015</v>
      </c>
      <c r="G14" s="242">
        <f>'CF 2019'!P14</f>
        <v>27443043452.993675</v>
      </c>
      <c r="H14" s="241">
        <f>'CF 2020'!P14</f>
        <v>36115260369.083153</v>
      </c>
      <c r="I14" s="407">
        <f>SUM(D14:H14)</f>
        <v>113192430477.83472</v>
      </c>
    </row>
    <row r="15" spans="1:9">
      <c r="A15" s="243"/>
      <c r="B15" s="542" t="s">
        <v>14</v>
      </c>
      <c r="C15" s="542"/>
      <c r="D15" s="241">
        <f>'CF 2016'!P15</f>
        <v>3797799410.9216161</v>
      </c>
      <c r="E15" s="241">
        <f>'CF 2017'!P15</f>
        <v>5671823808.6259432</v>
      </c>
      <c r="F15" s="241">
        <f>'CF 2018'!P16</f>
        <v>8606023502.3394413</v>
      </c>
      <c r="G15" s="242">
        <f>'CF 2019'!P15</f>
        <v>7507147100.9276791</v>
      </c>
      <c r="H15" s="241">
        <f>'CF 2020'!P15</f>
        <v>9879464449.4663353</v>
      </c>
      <c r="I15" s="407">
        <f t="shared" ref="I15:I78" si="0">SUM(D15:H15)</f>
        <v>35462258272.281021</v>
      </c>
    </row>
    <row r="16" spans="1:9">
      <c r="A16" s="243"/>
      <c r="B16" s="542" t="s">
        <v>252</v>
      </c>
      <c r="C16" s="542"/>
      <c r="D16" s="241">
        <f>'CF 2016'!P16</f>
        <v>80000000</v>
      </c>
      <c r="E16" s="241">
        <f>'CF 2017'!P16</f>
        <v>1435000000</v>
      </c>
      <c r="F16" s="241">
        <f>'CF 2018'!P17</f>
        <v>3750000000</v>
      </c>
      <c r="G16" s="242">
        <f>'CF 2019'!P16</f>
        <v>4500000000</v>
      </c>
      <c r="H16" s="241">
        <f>'CF 2020'!P16</f>
        <v>4500000000</v>
      </c>
      <c r="I16" s="407">
        <f t="shared" si="0"/>
        <v>14265000000</v>
      </c>
    </row>
    <row r="17" spans="1:10" ht="30" customHeight="1">
      <c r="A17" s="243"/>
      <c r="B17" s="555" t="s">
        <v>233</v>
      </c>
      <c r="C17" s="555"/>
      <c r="D17" s="241">
        <f>'CF 2016'!P17</f>
        <v>25214671030.050949</v>
      </c>
      <c r="E17" s="241">
        <f>'CF 2017'!P17</f>
        <v>30375529110.453598</v>
      </c>
      <c r="F17" s="241">
        <f>'CF 2018'!P18</f>
        <v>34386053927.35881</v>
      </c>
      <c r="G17" s="242">
        <f>'CF 2019'!P17</f>
        <v>50647082066.716194</v>
      </c>
      <c r="H17" s="241">
        <f>'CF 2020'!P17</f>
        <v>67373646632.469604</v>
      </c>
      <c r="I17" s="407">
        <f t="shared" si="0"/>
        <v>207996982767.04916</v>
      </c>
    </row>
    <row r="18" spans="1:10" ht="33.75" customHeight="1">
      <c r="A18" s="243"/>
      <c r="B18" s="542" t="s">
        <v>234</v>
      </c>
      <c r="C18" s="542"/>
      <c r="D18" s="241">
        <f>'CF 2016'!P18</f>
        <v>4541397028.88974</v>
      </c>
      <c r="E18" s="241">
        <f>'CF 2017'!P18</f>
        <v>4577750131.8989878</v>
      </c>
      <c r="F18" s="241">
        <f>'CF 2018'!P19</f>
        <v>5164044211.8837147</v>
      </c>
      <c r="G18" s="242">
        <f>'CF 2019'!P18</f>
        <v>7983407414.5053644</v>
      </c>
      <c r="H18" s="241">
        <f>'CF 2020'!P18</f>
        <v>10630158058.330292</v>
      </c>
      <c r="I18" s="407">
        <f t="shared" si="0"/>
        <v>32896756845.508099</v>
      </c>
    </row>
    <row r="19" spans="1:10" ht="34.5" customHeight="1">
      <c r="A19" s="243"/>
      <c r="B19" s="542" t="s">
        <v>299</v>
      </c>
      <c r="C19" s="542"/>
      <c r="D19" s="241">
        <f>'CF 2016'!P19</f>
        <v>8000000000</v>
      </c>
      <c r="E19" s="241">
        <f>'CF 2017'!P24</f>
        <v>14000000000</v>
      </c>
      <c r="F19" s="241">
        <f>'CF 2018'!P20</f>
        <v>11000000000</v>
      </c>
      <c r="G19" s="242">
        <v>0</v>
      </c>
      <c r="H19" s="241">
        <v>0</v>
      </c>
      <c r="I19" s="407">
        <f t="shared" si="0"/>
        <v>33000000000</v>
      </c>
    </row>
    <row r="20" spans="1:10">
      <c r="A20" s="243"/>
      <c r="B20" s="542" t="s">
        <v>419</v>
      </c>
      <c r="C20" s="542"/>
      <c r="D20" s="241">
        <f>'CF 2016'!P20</f>
        <v>10000000</v>
      </c>
      <c r="E20" s="241">
        <v>0</v>
      </c>
      <c r="F20" s="242"/>
      <c r="G20" s="242"/>
      <c r="H20" s="242"/>
      <c r="I20" s="407">
        <f t="shared" si="0"/>
        <v>10000000</v>
      </c>
    </row>
    <row r="21" spans="1:10" ht="32.25" customHeight="1">
      <c r="A21" s="243"/>
      <c r="B21" s="555" t="s">
        <v>218</v>
      </c>
      <c r="C21" s="555"/>
      <c r="D21" s="241">
        <f>'CF 2016'!P21</f>
        <v>20250000</v>
      </c>
      <c r="E21" s="241">
        <v>0</v>
      </c>
      <c r="F21" s="241">
        <v>0</v>
      </c>
      <c r="G21" s="242">
        <v>0</v>
      </c>
      <c r="H21" s="242"/>
      <c r="I21" s="407">
        <f t="shared" si="0"/>
        <v>20250000</v>
      </c>
    </row>
    <row r="22" spans="1:10">
      <c r="A22" s="243"/>
      <c r="B22" s="542" t="s">
        <v>300</v>
      </c>
      <c r="C22" s="542"/>
      <c r="D22" s="241">
        <f>'CF 2016'!P22</f>
        <v>69323705</v>
      </c>
      <c r="E22" s="241">
        <v>0</v>
      </c>
      <c r="F22" s="245"/>
      <c r="G22" s="242"/>
      <c r="H22" s="242"/>
      <c r="I22" s="407">
        <f t="shared" si="0"/>
        <v>69323705</v>
      </c>
    </row>
    <row r="23" spans="1:10">
      <c r="A23" s="243"/>
      <c r="B23" s="542" t="s">
        <v>17</v>
      </c>
      <c r="C23" s="542"/>
      <c r="D23" s="241">
        <f>'CF 2016'!P23</f>
        <v>17000000</v>
      </c>
      <c r="E23" s="241">
        <v>0</v>
      </c>
      <c r="F23" s="245"/>
      <c r="G23" s="242"/>
      <c r="H23" s="242"/>
      <c r="I23" s="407">
        <f t="shared" si="0"/>
        <v>17000000</v>
      </c>
    </row>
    <row r="24" spans="1:10">
      <c r="A24" s="243"/>
      <c r="B24" s="542" t="s">
        <v>18</v>
      </c>
      <c r="C24" s="542"/>
      <c r="D24" s="241">
        <f>'CF 2016'!P24</f>
        <v>38000000</v>
      </c>
      <c r="E24" s="242"/>
      <c r="F24" s="245"/>
      <c r="G24" s="242"/>
      <c r="H24" s="242"/>
      <c r="I24" s="407">
        <f t="shared" si="0"/>
        <v>38000000</v>
      </c>
    </row>
    <row r="25" spans="1:10">
      <c r="A25" s="243"/>
      <c r="B25" s="542" t="s">
        <v>219</v>
      </c>
      <c r="C25" s="542"/>
      <c r="D25" s="241">
        <f>'CF 2016'!P25</f>
        <v>2713069540.6133113</v>
      </c>
      <c r="E25" s="241">
        <f>'CF 2017'!P25</f>
        <v>3088732145.1836896</v>
      </c>
      <c r="F25" s="241">
        <f>'CF 2018'!P21</f>
        <v>3662860813.233871</v>
      </c>
      <c r="G25" s="242">
        <f>'CF 2019'!P20</f>
        <v>3764536779.1717372</v>
      </c>
      <c r="H25" s="241">
        <f>'CF 2020'!P20</f>
        <v>3925563529.0084629</v>
      </c>
      <c r="I25" s="407">
        <f t="shared" si="0"/>
        <v>17154762807.211073</v>
      </c>
    </row>
    <row r="26" spans="1:10">
      <c r="A26" s="243"/>
      <c r="B26" s="542" t="s">
        <v>220</v>
      </c>
      <c r="C26" s="542"/>
      <c r="D26" s="241">
        <f>'CF 2016'!P26</f>
        <v>3750964.75</v>
      </c>
      <c r="E26" s="241">
        <v>0</v>
      </c>
      <c r="F26" s="241"/>
      <c r="G26" s="242"/>
      <c r="H26" s="241">
        <v>0</v>
      </c>
      <c r="I26" s="407">
        <f t="shared" si="0"/>
        <v>3750964.75</v>
      </c>
    </row>
    <row r="27" spans="1:10">
      <c r="A27" s="243"/>
      <c r="B27" s="541" t="s">
        <v>216</v>
      </c>
      <c r="C27" s="541"/>
      <c r="D27" s="245">
        <f>SUM(D14:D26)</f>
        <v>59167364167.551773</v>
      </c>
      <c r="E27" s="245">
        <f t="shared" ref="E27:H27" si="1">SUM(E14:E26)</f>
        <v>74936075893.300934</v>
      </c>
      <c r="F27" s="245">
        <f t="shared" si="1"/>
        <v>85753765926.108856</v>
      </c>
      <c r="G27" s="245">
        <f t="shared" si="1"/>
        <v>101845216814.31465</v>
      </c>
      <c r="H27" s="245">
        <f t="shared" si="1"/>
        <v>132424093038.35785</v>
      </c>
      <c r="I27" s="408">
        <f t="shared" si="0"/>
        <v>454126515839.63403</v>
      </c>
      <c r="J27" s="220" t="s">
        <v>216</v>
      </c>
    </row>
    <row r="28" spans="1:10">
      <c r="A28" s="243"/>
      <c r="B28" s="246"/>
      <c r="C28" s="246"/>
      <c r="D28" s="245"/>
      <c r="E28" s="245"/>
      <c r="F28" s="245"/>
      <c r="G28" s="245"/>
      <c r="H28" s="245"/>
      <c r="I28" s="408">
        <f t="shared" si="0"/>
        <v>0</v>
      </c>
      <c r="J28" s="220" t="s">
        <v>435</v>
      </c>
    </row>
    <row r="29" spans="1:10" ht="36" customHeight="1">
      <c r="A29" s="243" t="s">
        <v>19</v>
      </c>
      <c r="B29" s="541" t="s">
        <v>217</v>
      </c>
      <c r="C29" s="541"/>
      <c r="D29" s="245">
        <f>D11+D27</f>
        <v>59676466961.032494</v>
      </c>
      <c r="E29" s="245">
        <f t="shared" ref="E29:H29" si="2">E11+E27</f>
        <v>75094531744.793427</v>
      </c>
      <c r="F29" s="245">
        <f t="shared" si="2"/>
        <v>85782816966.867126</v>
      </c>
      <c r="G29" s="245">
        <f t="shared" si="2"/>
        <v>102975710819.11293</v>
      </c>
      <c r="H29" s="245">
        <f t="shared" si="2"/>
        <v>133842422662.54388</v>
      </c>
      <c r="I29" s="408">
        <f>I27+D11</f>
        <v>454635618633.11475</v>
      </c>
      <c r="J29" s="220" t="s">
        <v>436</v>
      </c>
    </row>
    <row r="30" spans="1:10">
      <c r="A30" s="243"/>
      <c r="B30" s="244"/>
      <c r="C30" s="246"/>
      <c r="D30" s="241">
        <v>0</v>
      </c>
      <c r="E30" s="241">
        <v>0</v>
      </c>
      <c r="F30" s="242"/>
      <c r="G30" s="242"/>
      <c r="H30" s="241"/>
      <c r="I30" s="407">
        <f t="shared" si="0"/>
        <v>0</v>
      </c>
    </row>
    <row r="31" spans="1:10">
      <c r="A31" s="243"/>
      <c r="B31" s="240" t="s">
        <v>20</v>
      </c>
      <c r="C31" s="240"/>
      <c r="D31" s="241">
        <v>0</v>
      </c>
      <c r="E31" s="241">
        <v>0</v>
      </c>
      <c r="F31" s="242"/>
      <c r="G31" s="242"/>
      <c r="H31" s="241"/>
      <c r="I31" s="407">
        <f t="shared" si="0"/>
        <v>0</v>
      </c>
    </row>
    <row r="32" spans="1:10">
      <c r="A32" s="243"/>
      <c r="B32" s="247" t="s">
        <v>21</v>
      </c>
      <c r="C32" s="248"/>
      <c r="D32" s="241">
        <v>0</v>
      </c>
      <c r="E32" s="241">
        <v>0</v>
      </c>
      <c r="F32" s="242"/>
      <c r="G32" s="242"/>
      <c r="H32" s="241"/>
      <c r="I32" s="407">
        <f t="shared" si="0"/>
        <v>0</v>
      </c>
    </row>
    <row r="33" spans="1:12">
      <c r="A33" s="243"/>
      <c r="B33" s="247"/>
      <c r="C33" s="248"/>
      <c r="D33" s="241">
        <v>0</v>
      </c>
      <c r="E33" s="241">
        <v>0</v>
      </c>
      <c r="F33" s="242"/>
      <c r="G33" s="242"/>
      <c r="H33" s="241"/>
      <c r="I33" s="407">
        <f t="shared" si="0"/>
        <v>0</v>
      </c>
    </row>
    <row r="34" spans="1:12">
      <c r="A34" s="243"/>
      <c r="B34" s="248">
        <v>6400</v>
      </c>
      <c r="C34" s="248" t="s">
        <v>22</v>
      </c>
      <c r="D34" s="241">
        <f>'CF 2016'!P34</f>
        <v>6869135622</v>
      </c>
      <c r="E34" s="241">
        <f>'CF 2017'!P34</f>
        <v>8127000000</v>
      </c>
      <c r="F34" s="241">
        <f>'CF 2018'!P30</f>
        <v>8736525000</v>
      </c>
      <c r="G34" s="242">
        <f>'CF 2019'!P29</f>
        <v>13731773669</v>
      </c>
      <c r="H34" s="241">
        <f>'CF 2020'!P29</f>
        <v>18600000000</v>
      </c>
      <c r="I34" s="407">
        <f t="shared" si="0"/>
        <v>56064434291</v>
      </c>
      <c r="J34" s="224"/>
      <c r="K34" s="224"/>
      <c r="L34" s="224"/>
    </row>
    <row r="35" spans="1:12">
      <c r="A35" s="243"/>
      <c r="B35" s="248">
        <v>6401</v>
      </c>
      <c r="C35" s="248" t="s">
        <v>23</v>
      </c>
      <c r="D35" s="241">
        <f>'CF 2016'!P35</f>
        <v>60204969</v>
      </c>
      <c r="E35" s="241">
        <f>'CF 2017'!P35</f>
        <v>67326274.468512788</v>
      </c>
      <c r="F35" s="241">
        <f>'CF 2018'!P31</f>
        <v>73627349.79850845</v>
      </c>
      <c r="G35" s="242">
        <f>'CF 2019'!P30</f>
        <v>114984710.12900525</v>
      </c>
      <c r="H35" s="241">
        <f>'CF 2020'!P30</f>
        <v>142313381.17412102</v>
      </c>
      <c r="I35" s="407">
        <f t="shared" si="0"/>
        <v>458456684.57014751</v>
      </c>
      <c r="J35" s="224"/>
      <c r="K35" s="224"/>
      <c r="L35" s="224"/>
    </row>
    <row r="36" spans="1:12">
      <c r="A36" s="243"/>
      <c r="B36" s="248">
        <v>6402</v>
      </c>
      <c r="C36" s="248" t="s">
        <v>24</v>
      </c>
      <c r="D36" s="241">
        <f>'CF 2016'!P36</f>
        <v>103706716.5</v>
      </c>
      <c r="E36" s="241">
        <f>'CF 2017'!P36</f>
        <v>98963055.40465124</v>
      </c>
      <c r="F36" s="241">
        <f>'CF 2018'!P32</f>
        <v>108719854.51556835</v>
      </c>
      <c r="G36" s="242">
        <f>'CF 2019'!P31</f>
        <v>129998768.09547427</v>
      </c>
      <c r="H36" s="241">
        <f>'CF 2020'!P31</f>
        <v>668092567.30936754</v>
      </c>
      <c r="I36" s="407">
        <f t="shared" si="0"/>
        <v>1109480961.8250613</v>
      </c>
      <c r="J36" s="224"/>
      <c r="K36" s="224"/>
      <c r="L36" s="224"/>
    </row>
    <row r="37" spans="1:12">
      <c r="A37" s="243"/>
      <c r="B37" s="248">
        <v>6403</v>
      </c>
      <c r="C37" s="248" t="s">
        <v>25</v>
      </c>
      <c r="D37" s="241">
        <f>'CF 2016'!P37</f>
        <v>568267130</v>
      </c>
      <c r="E37" s="241">
        <f>'CF 2017'!P37</f>
        <v>677250000</v>
      </c>
      <c r="F37" s="241">
        <f>'CF 2018'!P33</f>
        <v>728043750</v>
      </c>
      <c r="G37" s="242">
        <f>'CF 2019'!P32</f>
        <v>1100000000</v>
      </c>
      <c r="H37" s="241">
        <f>'CF 2020'!P32</f>
        <v>1550000000</v>
      </c>
      <c r="I37" s="407">
        <f t="shared" si="0"/>
        <v>4623560880</v>
      </c>
      <c r="J37" s="224"/>
      <c r="K37" s="224"/>
      <c r="L37" s="224"/>
    </row>
    <row r="38" spans="1:12">
      <c r="A38" s="243"/>
      <c r="B38" s="248">
        <v>6404</v>
      </c>
      <c r="C38" s="248" t="s">
        <v>26</v>
      </c>
      <c r="D38" s="241">
        <f>'CF 2016'!P38</f>
        <v>0</v>
      </c>
      <c r="E38" s="241">
        <f>'CF 2017'!P38</f>
        <v>0</v>
      </c>
      <c r="F38" s="241">
        <f>'CF 2018'!P34</f>
        <v>0</v>
      </c>
      <c r="G38" s="242">
        <f>'CF 2019'!P33</f>
        <v>0</v>
      </c>
      <c r="H38" s="241">
        <f>'CF 2020'!P33</f>
        <v>0</v>
      </c>
      <c r="I38" s="407">
        <f t="shared" si="0"/>
        <v>0</v>
      </c>
      <c r="J38" s="224"/>
      <c r="K38" s="224"/>
      <c r="L38" s="224"/>
    </row>
    <row r="39" spans="1:12">
      <c r="A39" s="243"/>
      <c r="B39" s="248">
        <v>6405</v>
      </c>
      <c r="C39" s="248" t="s">
        <v>27</v>
      </c>
      <c r="D39" s="241">
        <f>'CF 2016'!P39</f>
        <v>3102788</v>
      </c>
      <c r="E39" s="241">
        <f>'CF 2017'!P39</f>
        <v>4284399.2843599059</v>
      </c>
      <c r="F39" s="241">
        <f>'CF 2018'!P35</f>
        <v>4685376.8053596299</v>
      </c>
      <c r="G39" s="242">
        <f>'CF 2019'!P34</f>
        <v>7317208.8263912471</v>
      </c>
      <c r="H39" s="241">
        <f>'CF 2020'!P34</f>
        <v>9056306.0747167952</v>
      </c>
      <c r="I39" s="407">
        <f t="shared" si="0"/>
        <v>28446078.990827579</v>
      </c>
      <c r="J39" s="224"/>
      <c r="K39" s="224"/>
      <c r="L39" s="224"/>
    </row>
    <row r="40" spans="1:12">
      <c r="A40" s="243"/>
      <c r="B40" s="248">
        <v>6406</v>
      </c>
      <c r="C40" s="248" t="s">
        <v>28</v>
      </c>
      <c r="D40" s="241">
        <f>'CF 2016'!P40</f>
        <v>0</v>
      </c>
      <c r="E40" s="241">
        <f>'CF 2017'!P40</f>
        <v>0</v>
      </c>
      <c r="F40" s="241">
        <f>'CF 2018'!P36</f>
        <v>0</v>
      </c>
      <c r="G40" s="242">
        <f>'CF 2019'!P35</f>
        <v>0</v>
      </c>
      <c r="H40" s="241">
        <f>'CF 2020'!P35</f>
        <v>0</v>
      </c>
      <c r="I40" s="407">
        <f t="shared" si="0"/>
        <v>0</v>
      </c>
      <c r="J40" s="224"/>
      <c r="K40" s="224"/>
      <c r="L40" s="224"/>
    </row>
    <row r="41" spans="1:12">
      <c r="A41" s="243"/>
      <c r="B41" s="248">
        <v>6407</v>
      </c>
      <c r="C41" s="248" t="s">
        <v>29</v>
      </c>
      <c r="D41" s="241">
        <f>'CF 2016'!P41</f>
        <v>5000000</v>
      </c>
      <c r="E41" s="241">
        <f>'CF 2017'!P41</f>
        <v>12241140.812456872</v>
      </c>
      <c r="F41" s="241">
        <f>'CF 2018'!P37</f>
        <v>13386790.872456085</v>
      </c>
      <c r="G41" s="242">
        <f>'CF 2019'!P36</f>
        <v>20906310.932546414</v>
      </c>
      <c r="H41" s="241">
        <f>'CF 2020'!P36</f>
        <v>25875160.213476554</v>
      </c>
      <c r="I41" s="407">
        <f t="shared" si="0"/>
        <v>77409402.830935925</v>
      </c>
      <c r="J41" s="224"/>
      <c r="K41" s="224"/>
      <c r="L41" s="224"/>
    </row>
    <row r="42" spans="1:12">
      <c r="A42" s="243"/>
      <c r="B42" s="248">
        <v>6408</v>
      </c>
      <c r="C42" s="248" t="s">
        <v>30</v>
      </c>
      <c r="D42" s="241">
        <f>'CF 2016'!P42</f>
        <v>152491013</v>
      </c>
      <c r="E42" s="241">
        <f>'CF 2017'!P42</f>
        <v>208099393.8117668</v>
      </c>
      <c r="F42" s="241">
        <f>'CF 2018'!P38</f>
        <v>227575444.83175343</v>
      </c>
      <c r="G42" s="242">
        <f>'CF 2019'!P37</f>
        <v>355407285.85328901</v>
      </c>
      <c r="H42" s="241">
        <f>'CF 2020'!P37</f>
        <v>439877723.6291014</v>
      </c>
      <c r="I42" s="407">
        <f t="shared" si="0"/>
        <v>1383450861.1259108</v>
      </c>
      <c r="J42" s="224"/>
      <c r="K42" s="224"/>
      <c r="L42" s="224"/>
    </row>
    <row r="43" spans="1:12">
      <c r="A43" s="243"/>
      <c r="B43" s="248">
        <v>6409</v>
      </c>
      <c r="C43" s="248" t="s">
        <v>31</v>
      </c>
      <c r="D43" s="241">
        <f>'CF 2016'!P43</f>
        <v>2500000</v>
      </c>
      <c r="E43" s="241">
        <f>'CF 2017'!P43</f>
        <v>6120570.4062284362</v>
      </c>
      <c r="F43" s="241">
        <f>'CF 2018'!P39</f>
        <v>6693395.4362280425</v>
      </c>
      <c r="G43" s="242">
        <f>'CF 2019'!P38</f>
        <v>10453155.466273207</v>
      </c>
      <c r="H43" s="241">
        <f>'CF 2020'!P38</f>
        <v>12937580.106738277</v>
      </c>
      <c r="I43" s="407">
        <f t="shared" si="0"/>
        <v>38704701.415467963</v>
      </c>
      <c r="J43" s="224"/>
      <c r="K43" s="224"/>
      <c r="L43" s="224"/>
    </row>
    <row r="44" spans="1:12">
      <c r="A44" s="243"/>
      <c r="B44" s="248">
        <v>6410</v>
      </c>
      <c r="C44" s="248" t="s">
        <v>32</v>
      </c>
      <c r="D44" s="241">
        <f>'CF 2016'!P44</f>
        <v>575266800</v>
      </c>
      <c r="E44" s="241">
        <f>'CF 2017'!P44</f>
        <v>612057040.62284374</v>
      </c>
      <c r="F44" s="241">
        <f>'CF 2018'!P40</f>
        <v>669339543.62280428</v>
      </c>
      <c r="G44" s="242">
        <f>'CF 2019'!P39</f>
        <v>1045315546.627321</v>
      </c>
      <c r="H44" s="241">
        <f>'CF 2020'!P39</f>
        <v>1293758010.6738279</v>
      </c>
      <c r="I44" s="407">
        <f t="shared" si="0"/>
        <v>4195736941.5467968</v>
      </c>
      <c r="J44" s="224"/>
      <c r="K44" s="224"/>
      <c r="L44" s="224"/>
    </row>
    <row r="45" spans="1:12">
      <c r="A45" s="243"/>
      <c r="B45" s="248">
        <v>6411</v>
      </c>
      <c r="C45" s="248" t="s">
        <v>33</v>
      </c>
      <c r="D45" s="241">
        <f>'CF 2016'!P45</f>
        <v>45130000</v>
      </c>
      <c r="E45" s="241">
        <f>'CF 2017'!P45</f>
        <v>18361711.218685307</v>
      </c>
      <c r="F45" s="241">
        <f>'CF 2018'!P41</f>
        <v>20080186.308684126</v>
      </c>
      <c r="G45" s="242">
        <f>'CF 2019'!P40</f>
        <v>31359466.398819614</v>
      </c>
      <c r="H45" s="241">
        <f>'CF 2020'!P40</f>
        <v>38812740.320214823</v>
      </c>
      <c r="I45" s="407">
        <f t="shared" si="0"/>
        <v>153744104.24640387</v>
      </c>
      <c r="J45" s="224"/>
      <c r="K45" s="224"/>
      <c r="L45" s="224"/>
    </row>
    <row r="46" spans="1:12">
      <c r="A46" s="243"/>
      <c r="B46" s="248">
        <v>6412</v>
      </c>
      <c r="C46" s="248" t="s">
        <v>34</v>
      </c>
      <c r="D46" s="241">
        <f>'CF 2016'!P46</f>
        <v>655492206</v>
      </c>
      <c r="E46" s="241">
        <f>'CF 2017'!P46</f>
        <v>734468448.74741232</v>
      </c>
      <c r="F46" s="241">
        <f>'CF 2018'!P42</f>
        <v>803207452.34736502</v>
      </c>
      <c r="G46" s="242">
        <f>'CF 2019'!P41</f>
        <v>1254378655.9527843</v>
      </c>
      <c r="H46" s="241">
        <f>'CF 2020'!P41</f>
        <v>1552509612.8085928</v>
      </c>
      <c r="I46" s="407">
        <f t="shared" si="0"/>
        <v>5000056375.8561544</v>
      </c>
      <c r="J46" s="224"/>
      <c r="K46" s="224"/>
      <c r="L46" s="224"/>
    </row>
    <row r="47" spans="1:12">
      <c r="A47" s="243"/>
      <c r="B47" s="248">
        <v>6413</v>
      </c>
      <c r="C47" s="248" t="s">
        <v>35</v>
      </c>
      <c r="D47" s="241">
        <f>'CF 2016'!P47</f>
        <v>149853606</v>
      </c>
      <c r="E47" s="241">
        <f>'CF 2017'!P47</f>
        <v>149691664.79232973</v>
      </c>
      <c r="F47" s="241">
        <f>'CF 2018'!P43</f>
        <v>163701328.38317722</v>
      </c>
      <c r="G47" s="242">
        <f>'CF 2019'!P42</f>
        <v>177703642.9266445</v>
      </c>
      <c r="H47" s="241">
        <f>'CF 2020'!P42</f>
        <v>219938861.8145507</v>
      </c>
      <c r="I47" s="407">
        <f t="shared" si="0"/>
        <v>860889103.91670203</v>
      </c>
      <c r="J47" s="224"/>
      <c r="K47" s="224"/>
      <c r="L47" s="224"/>
    </row>
    <row r="48" spans="1:12">
      <c r="A48" s="243"/>
      <c r="B48" s="248">
        <v>6414</v>
      </c>
      <c r="C48" s="248" t="s">
        <v>36</v>
      </c>
      <c r="D48" s="241">
        <f>'CF 2016'!P48</f>
        <v>0</v>
      </c>
      <c r="E48" s="241">
        <f>'CF 2017'!P48</f>
        <v>0</v>
      </c>
      <c r="F48" s="241">
        <f>'CF 2018'!P44</f>
        <v>0</v>
      </c>
      <c r="G48" s="242">
        <f>'CF 2019'!P43</f>
        <v>0</v>
      </c>
      <c r="H48" s="241">
        <f>'CF 2020'!P43</f>
        <v>0</v>
      </c>
      <c r="I48" s="407">
        <f t="shared" si="0"/>
        <v>0</v>
      </c>
      <c r="J48" s="224"/>
      <c r="K48" s="224"/>
      <c r="L48" s="224"/>
    </row>
    <row r="49" spans="1:12">
      <c r="A49" s="243"/>
      <c r="B49" s="248">
        <v>6415</v>
      </c>
      <c r="C49" s="248" t="s">
        <v>37</v>
      </c>
      <c r="D49" s="241">
        <f>'CF 2016'!P49</f>
        <v>0</v>
      </c>
      <c r="E49" s="241">
        <f>'CF 2017'!P49</f>
        <v>0</v>
      </c>
      <c r="F49" s="241">
        <f>'CF 2018'!P45</f>
        <v>0</v>
      </c>
      <c r="G49" s="242">
        <f>'CF 2019'!P44</f>
        <v>0</v>
      </c>
      <c r="H49" s="241">
        <f>'CF 2020'!P44</f>
        <v>0</v>
      </c>
      <c r="I49" s="407">
        <f t="shared" si="0"/>
        <v>0</v>
      </c>
      <c r="J49" s="224"/>
      <c r="K49" s="224"/>
      <c r="L49" s="224"/>
    </row>
    <row r="50" spans="1:12">
      <c r="A50" s="243"/>
      <c r="B50" s="248">
        <v>6416</v>
      </c>
      <c r="C50" s="248" t="s">
        <v>38</v>
      </c>
      <c r="D50" s="241">
        <f>'CF 2016'!P50</f>
        <v>116274927</v>
      </c>
      <c r="E50" s="241">
        <f>'CF 2017'!P50</f>
        <v>159134830.56193936</v>
      </c>
      <c r="F50" s="241">
        <f>'CF 2018'!P46</f>
        <v>174028281.34192908</v>
      </c>
      <c r="G50" s="242">
        <f>'CF 2019'!P45</f>
        <v>271782042.12310338</v>
      </c>
      <c r="H50" s="241">
        <f>'CF 2020'!P45</f>
        <v>336377082.77519512</v>
      </c>
      <c r="I50" s="407">
        <f t="shared" si="0"/>
        <v>1057597163.8021669</v>
      </c>
      <c r="J50" s="224"/>
      <c r="K50" s="224"/>
      <c r="L50" s="224"/>
    </row>
    <row r="51" spans="1:12">
      <c r="A51" s="243"/>
      <c r="B51" s="248">
        <v>6417</v>
      </c>
      <c r="C51" s="248" t="s">
        <v>39</v>
      </c>
      <c r="D51" s="241">
        <f>'CF 2016'!P51</f>
        <v>39510407</v>
      </c>
      <c r="E51" s="241">
        <f>'CF 2017'!P51</f>
        <v>48964563.249827489</v>
      </c>
      <c r="F51" s="241">
        <f>'CF 2018'!P47</f>
        <v>53547163.48982434</v>
      </c>
      <c r="G51" s="242">
        <f>'CF 2019'!P46</f>
        <v>83625243.730185658</v>
      </c>
      <c r="H51" s="241">
        <f>'CF 2020'!P46</f>
        <v>103500640.85390621</v>
      </c>
      <c r="I51" s="407">
        <f t="shared" si="0"/>
        <v>329148018.3237437</v>
      </c>
      <c r="J51" s="224"/>
      <c r="K51" s="224"/>
      <c r="L51" s="224"/>
    </row>
    <row r="52" spans="1:12">
      <c r="A52" s="243"/>
      <c r="B52" s="248">
        <v>6418</v>
      </c>
      <c r="C52" s="248" t="s">
        <v>40</v>
      </c>
      <c r="D52" s="241">
        <f>'CF 2016'!P52</f>
        <v>81638309</v>
      </c>
      <c r="E52" s="241">
        <f>'CF 2017'!P52</f>
        <v>80791529.36221534</v>
      </c>
      <c r="F52" s="241">
        <f>'CF 2018'!P48</f>
        <v>88352819.758210152</v>
      </c>
      <c r="G52" s="242">
        <f>'CF 2019'!P47</f>
        <v>137981652.15480632</v>
      </c>
      <c r="H52" s="241">
        <f>'CF 2020'!P47</f>
        <v>170776057.40894529</v>
      </c>
      <c r="I52" s="407">
        <f t="shared" si="0"/>
        <v>559540367.68417716</v>
      </c>
      <c r="J52" s="224"/>
      <c r="K52" s="224"/>
      <c r="L52" s="224"/>
    </row>
    <row r="53" spans="1:12">
      <c r="A53" s="243"/>
      <c r="B53" s="248">
        <v>6419</v>
      </c>
      <c r="C53" s="248" t="s">
        <v>41</v>
      </c>
      <c r="D53" s="241">
        <f>'CF 2016'!P53</f>
        <v>65500000</v>
      </c>
      <c r="E53" s="241">
        <f>'CF 2017'!P53</f>
        <v>73446844.874741226</v>
      </c>
      <c r="F53" s="241">
        <f>'CF 2018'!P49</f>
        <v>80320745.234736502</v>
      </c>
      <c r="G53" s="242">
        <f>'CF 2019'!P48</f>
        <v>125437865.59527846</v>
      </c>
      <c r="H53" s="241">
        <f>'CF 2020'!P48</f>
        <v>155250961.28085929</v>
      </c>
      <c r="I53" s="407">
        <f t="shared" si="0"/>
        <v>499956416.98561549</v>
      </c>
      <c r="J53" s="224"/>
      <c r="K53" s="224"/>
      <c r="L53" s="224"/>
    </row>
    <row r="54" spans="1:12">
      <c r="A54" s="243"/>
      <c r="B54" s="248">
        <v>6420</v>
      </c>
      <c r="C54" s="248" t="s">
        <v>42</v>
      </c>
      <c r="D54" s="241">
        <f>'CF 2016'!P54</f>
        <v>98626255</v>
      </c>
      <c r="E54" s="241">
        <f>'CF 2017'!P54</f>
        <v>30602852.031142183</v>
      </c>
      <c r="F54" s="241">
        <f>'CF 2018'!P50</f>
        <v>33466977.181140207</v>
      </c>
      <c r="G54" s="242">
        <f>'CF 2019'!P49</f>
        <v>52265777.331366032</v>
      </c>
      <c r="H54" s="241">
        <f>'CF 2020'!P49</f>
        <v>64687900.533691406</v>
      </c>
      <c r="I54" s="407">
        <f t="shared" si="0"/>
        <v>279649762.07733983</v>
      </c>
      <c r="J54" s="224"/>
      <c r="K54" s="224"/>
      <c r="L54" s="224"/>
    </row>
    <row r="55" spans="1:12">
      <c r="A55" s="243"/>
      <c r="B55" s="248">
        <v>6421</v>
      </c>
      <c r="C55" s="248" t="s">
        <v>43</v>
      </c>
      <c r="D55" s="241">
        <f>'CF 2016'!P55</f>
        <v>117366987</v>
      </c>
      <c r="E55" s="241">
        <f>'CF 2017'!P55</f>
        <v>122556987</v>
      </c>
      <c r="F55" s="241">
        <f>'CF 2018'!P51</f>
        <v>49238700.362380438</v>
      </c>
      <c r="G55" s="242">
        <f>'CF 2019'!P50</f>
        <v>67401158.026449144</v>
      </c>
      <c r="H55" s="241">
        <f>'CF 2020'!P50</f>
        <v>73162553.405916348</v>
      </c>
      <c r="I55" s="407">
        <f t="shared" si="0"/>
        <v>429726385.79474592</v>
      </c>
      <c r="J55" s="224"/>
      <c r="K55" s="224"/>
      <c r="L55" s="224"/>
    </row>
    <row r="56" spans="1:12">
      <c r="A56" s="243"/>
      <c r="B56" s="248">
        <v>6422</v>
      </c>
      <c r="C56" s="248" t="s">
        <v>44</v>
      </c>
      <c r="D56" s="241">
        <f>'CF 2016'!P56</f>
        <v>158759273</v>
      </c>
      <c r="E56" s="241">
        <f>'CF 2017'!P56</f>
        <v>183617112.18685308</v>
      </c>
      <c r="F56" s="241">
        <f>'CF 2018'!P52</f>
        <v>200801863.08684126</v>
      </c>
      <c r="G56" s="242">
        <f>'CF 2019'!P51</f>
        <v>313594663.98819607</v>
      </c>
      <c r="H56" s="241">
        <f>'CF 2020'!P51</f>
        <v>388127403.2021482</v>
      </c>
      <c r="I56" s="407">
        <f t="shared" si="0"/>
        <v>1244900315.4640386</v>
      </c>
      <c r="J56" s="224"/>
      <c r="K56" s="224"/>
      <c r="L56" s="224"/>
    </row>
    <row r="57" spans="1:12">
      <c r="A57" s="243"/>
      <c r="B57" s="248">
        <v>6423</v>
      </c>
      <c r="C57" s="248" t="s">
        <v>45</v>
      </c>
      <c r="D57" s="241">
        <f>'CF 2016'!P57</f>
        <v>132450400</v>
      </c>
      <c r="E57" s="241">
        <f>'CF 2017'!P57</f>
        <v>159134830.56193936</v>
      </c>
      <c r="F57" s="241">
        <f>'CF 2018'!P53</f>
        <v>174028281.34192908</v>
      </c>
      <c r="G57" s="242">
        <f>'CF 2019'!P52</f>
        <v>271782042.12310338</v>
      </c>
      <c r="H57" s="241">
        <f>'CF 2020'!P52</f>
        <v>336377082.77519512</v>
      </c>
      <c r="I57" s="407">
        <f t="shared" si="0"/>
        <v>1073772636.8021669</v>
      </c>
      <c r="J57" s="224"/>
      <c r="K57" s="224"/>
      <c r="L57" s="224"/>
    </row>
    <row r="58" spans="1:12">
      <c r="A58" s="243"/>
      <c r="B58" s="248">
        <v>6424</v>
      </c>
      <c r="C58" s="248" t="s">
        <v>46</v>
      </c>
      <c r="D58" s="241">
        <f>'CF 2016'!P58</f>
        <v>337061602</v>
      </c>
      <c r="E58" s="241">
        <f>'CF 2017'!P58</f>
        <v>339737760</v>
      </c>
      <c r="F58" s="241">
        <f>'CF 2018'!P54</f>
        <v>335341439.29440004</v>
      </c>
      <c r="G58" s="242">
        <f>'CF 2019'!P53</f>
        <v>334445663.05920005</v>
      </c>
      <c r="H58" s="241">
        <f>'CF 2020'!P53</f>
        <v>361201316.10393614</v>
      </c>
      <c r="I58" s="407">
        <f t="shared" si="0"/>
        <v>1707787780.4575362</v>
      </c>
      <c r="J58" s="224"/>
      <c r="K58" s="224"/>
      <c r="L58" s="224"/>
    </row>
    <row r="59" spans="1:12">
      <c r="A59" s="243"/>
      <c r="B59" s="247" t="s">
        <v>47</v>
      </c>
      <c r="C59" s="248"/>
      <c r="D59" s="241">
        <f>'CF 2016'!P59</f>
        <v>0</v>
      </c>
      <c r="E59" s="241">
        <f>'CF 2017'!P59</f>
        <v>0</v>
      </c>
      <c r="F59" s="241">
        <f>'CF 2018'!P55</f>
        <v>0</v>
      </c>
      <c r="G59" s="242">
        <f>'CF 2019'!P54</f>
        <v>0</v>
      </c>
      <c r="H59" s="241">
        <f>'CF 2020'!P54</f>
        <v>0</v>
      </c>
      <c r="I59" s="407">
        <f t="shared" si="0"/>
        <v>0</v>
      </c>
      <c r="J59" s="224"/>
      <c r="K59" s="224"/>
      <c r="L59" s="224"/>
    </row>
    <row r="60" spans="1:12">
      <c r="A60" s="243"/>
      <c r="B60" s="248">
        <v>6300</v>
      </c>
      <c r="C60" s="248" t="s">
        <v>48</v>
      </c>
      <c r="D60" s="241">
        <f>'CF 2016'!P60</f>
        <v>63037489</v>
      </c>
      <c r="E60" s="241">
        <f>'CF 2017'!P60</f>
        <v>46516335.087336123</v>
      </c>
      <c r="F60" s="241">
        <f>'CF 2018'!P56</f>
        <v>50869805.315333113</v>
      </c>
      <c r="G60" s="242">
        <f>'CF 2019'!P55</f>
        <v>69286104.396337107</v>
      </c>
      <c r="H60" s="241">
        <f>'CF 2020'!P55</f>
        <v>76365095.434922308</v>
      </c>
      <c r="I60" s="407">
        <f t="shared" si="0"/>
        <v>306074829.23392868</v>
      </c>
      <c r="J60" s="224"/>
      <c r="K60" s="224"/>
      <c r="L60" s="224"/>
    </row>
    <row r="61" spans="1:12">
      <c r="A61" s="243"/>
      <c r="B61" s="248">
        <v>6301</v>
      </c>
      <c r="C61" s="248" t="s">
        <v>49</v>
      </c>
      <c r="D61" s="241">
        <f>'CF 2016'!P61</f>
        <v>247500</v>
      </c>
      <c r="E61" s="241">
        <f>'CF 2017'!P61</f>
        <v>5829114.672598511</v>
      </c>
      <c r="F61" s="241">
        <f>'CF 2018'!P57</f>
        <v>6374662.3202171838</v>
      </c>
      <c r="G61" s="242">
        <f>'CF 2019'!P56</f>
        <v>8682469.2225986402</v>
      </c>
      <c r="H61" s="241">
        <f>'CF 2020'!P56</f>
        <v>9569560.8314439021</v>
      </c>
      <c r="I61" s="407">
        <f t="shared" si="0"/>
        <v>30703307.04685824</v>
      </c>
      <c r="J61" s="224"/>
      <c r="K61" s="224"/>
      <c r="L61" s="224"/>
    </row>
    <row r="62" spans="1:12">
      <c r="A62" s="243"/>
      <c r="B62" s="248">
        <v>6302</v>
      </c>
      <c r="C62" s="248" t="s">
        <v>50</v>
      </c>
      <c r="D62" s="241">
        <f>'CF 2016'!P62</f>
        <v>512560249</v>
      </c>
      <c r="E62" s="241">
        <f>'CF 2017'!P62</f>
        <v>489645632.49827492</v>
      </c>
      <c r="F62" s="241">
        <f>'CF 2018'!P58</f>
        <v>535471634.89824331</v>
      </c>
      <c r="G62" s="242">
        <f>'CF 2019'!P57</f>
        <v>836252437.30185652</v>
      </c>
      <c r="H62" s="241">
        <f>'CF 2020'!P57</f>
        <v>1035006408.5390625</v>
      </c>
      <c r="I62" s="407">
        <f t="shared" si="0"/>
        <v>3408936362.2374372</v>
      </c>
      <c r="J62" s="224"/>
      <c r="K62" s="224"/>
      <c r="L62" s="224"/>
    </row>
    <row r="63" spans="1:12">
      <c r="A63" s="243"/>
      <c r="B63" s="248">
        <v>6303</v>
      </c>
      <c r="C63" s="248" t="s">
        <v>51</v>
      </c>
      <c r="D63" s="241">
        <f>'CF 2016'!P63</f>
        <v>99943700</v>
      </c>
      <c r="E63" s="241">
        <f>'CF 2017'!P63</f>
        <v>61205704.062284365</v>
      </c>
      <c r="F63" s="241">
        <f>'CF 2018'!P59</f>
        <v>66933954.362280414</v>
      </c>
      <c r="G63" s="242">
        <f>'CF 2019'!P58</f>
        <v>104531554.66273206</v>
      </c>
      <c r="H63" s="241">
        <f>'CF 2020'!P58</f>
        <v>129375801.06738281</v>
      </c>
      <c r="I63" s="407">
        <f t="shared" si="0"/>
        <v>461990714.15467966</v>
      </c>
      <c r="J63" s="224"/>
      <c r="K63" s="224"/>
      <c r="L63" s="224"/>
    </row>
    <row r="64" spans="1:12">
      <c r="A64" s="243"/>
      <c r="B64" s="248">
        <v>6304</v>
      </c>
      <c r="C64" s="248" t="s">
        <v>52</v>
      </c>
      <c r="D64" s="241">
        <f>'CF 2016'!P64</f>
        <v>77352000</v>
      </c>
      <c r="E64" s="241">
        <f>'CF 2017'!P64</f>
        <v>122411408.12456873</v>
      </c>
      <c r="F64" s="241">
        <f>'CF 2018'!P60</f>
        <v>133867908.72456083</v>
      </c>
      <c r="G64" s="242">
        <f>'CF 2019'!P59</f>
        <v>209063109.32546413</v>
      </c>
      <c r="H64" s="241">
        <f>'CF 2020'!P59</f>
        <v>258751602.13476562</v>
      </c>
      <c r="I64" s="407">
        <f t="shared" si="0"/>
        <v>801446028.30935931</v>
      </c>
      <c r="J64" s="224"/>
      <c r="K64" s="224"/>
      <c r="L64" s="224"/>
    </row>
    <row r="65" spans="1:12">
      <c r="A65" s="243"/>
      <c r="B65" s="248">
        <v>6306</v>
      </c>
      <c r="C65" s="248" t="s">
        <v>53</v>
      </c>
      <c r="D65" s="241">
        <f>'CF 2016'!P65</f>
        <v>21350000</v>
      </c>
      <c r="E65" s="241">
        <f>'CF 2017'!P65</f>
        <v>52269671.269190848</v>
      </c>
      <c r="F65" s="241">
        <f>'CF 2018'!P61</f>
        <v>57161597.025387481</v>
      </c>
      <c r="G65" s="242">
        <f>'CF 2019'!P60</f>
        <v>89269947.681973204</v>
      </c>
      <c r="H65" s="241">
        <f>'CF 2020'!P60</f>
        <v>110486934.11154488</v>
      </c>
      <c r="I65" s="407">
        <f t="shared" si="0"/>
        <v>330538150.08809638</v>
      </c>
      <c r="J65" s="224"/>
      <c r="K65" s="224"/>
      <c r="L65" s="224"/>
    </row>
    <row r="66" spans="1:12">
      <c r="A66" s="243"/>
      <c r="B66" s="248">
        <v>6307</v>
      </c>
      <c r="C66" s="248" t="s">
        <v>54</v>
      </c>
      <c r="D66" s="241">
        <f>'CF 2016'!P66</f>
        <v>720879776</v>
      </c>
      <c r="E66" s="241">
        <f>'CF 2017'!P66</f>
        <v>820156434.43461037</v>
      </c>
      <c r="F66" s="241">
        <f>'CF 2018'!P62</f>
        <v>896914988.45455766</v>
      </c>
      <c r="G66" s="242">
        <f>'CF 2019'!P61</f>
        <v>1400722832.4806101</v>
      </c>
      <c r="H66" s="241">
        <f>'CF 2020'!P61</f>
        <v>1733635734.3029292</v>
      </c>
      <c r="I66" s="407">
        <f t="shared" si="0"/>
        <v>5572309765.6727066</v>
      </c>
      <c r="J66" s="224"/>
      <c r="K66" s="224"/>
      <c r="L66" s="224"/>
    </row>
    <row r="67" spans="1:12">
      <c r="A67" s="243"/>
      <c r="B67" s="248"/>
      <c r="C67" s="248"/>
      <c r="D67" s="241">
        <f>'CF 2016'!P67</f>
        <v>0</v>
      </c>
      <c r="E67" s="241">
        <f>'CF 2017'!P67</f>
        <v>0</v>
      </c>
      <c r="F67" s="241">
        <f>'CF 2018'!P63</f>
        <v>0</v>
      </c>
      <c r="G67" s="242">
        <f>'CF 2019'!P62</f>
        <v>0</v>
      </c>
      <c r="H67" s="241">
        <f>'CF 2020'!P62</f>
        <v>0</v>
      </c>
      <c r="I67" s="407">
        <f t="shared" si="0"/>
        <v>0</v>
      </c>
      <c r="J67" s="224"/>
      <c r="K67" s="224"/>
      <c r="L67" s="224"/>
    </row>
    <row r="68" spans="1:12">
      <c r="A68" s="243"/>
      <c r="B68" s="247" t="s">
        <v>55</v>
      </c>
      <c r="C68" s="248"/>
      <c r="D68" s="241">
        <f>'CF 2016'!P68</f>
        <v>0</v>
      </c>
      <c r="E68" s="241">
        <f>'CF 2017'!P68</f>
        <v>0</v>
      </c>
      <c r="F68" s="241">
        <f>'CF 2018'!P64</f>
        <v>0</v>
      </c>
      <c r="G68" s="242">
        <f>'CF 2019'!P63</f>
        <v>0</v>
      </c>
      <c r="H68" s="241">
        <f>'CF 2020'!P63</f>
        <v>0</v>
      </c>
      <c r="I68" s="407">
        <f t="shared" si="0"/>
        <v>0</v>
      </c>
      <c r="J68" s="224"/>
      <c r="K68" s="224"/>
      <c r="L68" s="224"/>
    </row>
    <row r="69" spans="1:12">
      <c r="A69" s="243"/>
      <c r="B69" s="248">
        <v>6500</v>
      </c>
      <c r="C69" s="248" t="s">
        <v>56</v>
      </c>
      <c r="D69" s="241">
        <f>'CF 2016'!P69</f>
        <v>15004245.039999999</v>
      </c>
      <c r="E69" s="241">
        <f>'CF 2017'!P69</f>
        <v>18361711.218685307</v>
      </c>
      <c r="F69" s="241">
        <f>'CF 2018'!P65</f>
        <v>20080186.308684126</v>
      </c>
      <c r="G69" s="242">
        <f>'CF 2019'!P64</f>
        <v>31359466.398819614</v>
      </c>
      <c r="H69" s="241">
        <f>'CF 2020'!P64</f>
        <v>38812740.320214823</v>
      </c>
      <c r="I69" s="407">
        <f t="shared" si="0"/>
        <v>123618349.28640386</v>
      </c>
      <c r="J69" s="224"/>
      <c r="K69" s="224"/>
      <c r="L69" s="224"/>
    </row>
    <row r="70" spans="1:12">
      <c r="A70" s="243"/>
      <c r="B70" s="248">
        <v>6501</v>
      </c>
      <c r="C70" s="248" t="s">
        <v>57</v>
      </c>
      <c r="D70" s="241">
        <f>'CF 2016'!P70</f>
        <v>0</v>
      </c>
      <c r="E70" s="241">
        <f>'CF 2017'!P70</f>
        <v>0</v>
      </c>
      <c r="F70" s="241">
        <f>'CF 2018'!P66</f>
        <v>0</v>
      </c>
      <c r="G70" s="242">
        <f>'CF 2019'!P65</f>
        <v>0</v>
      </c>
      <c r="H70" s="241">
        <f>'CF 2020'!P65</f>
        <v>0</v>
      </c>
      <c r="I70" s="407">
        <f t="shared" si="0"/>
        <v>0</v>
      </c>
      <c r="J70" s="224"/>
      <c r="K70" s="224"/>
      <c r="L70" s="224"/>
    </row>
    <row r="71" spans="1:12">
      <c r="A71" s="243"/>
      <c r="B71" s="248"/>
      <c r="C71" s="248"/>
      <c r="D71" s="241">
        <f>'CF 2016'!P71</f>
        <v>0</v>
      </c>
      <c r="E71" s="241">
        <f>'CF 2017'!P71</f>
        <v>0</v>
      </c>
      <c r="F71" s="241">
        <f>'CF 2018'!P67</f>
        <v>0</v>
      </c>
      <c r="G71" s="242">
        <f>'CF 2019'!P66</f>
        <v>0</v>
      </c>
      <c r="H71" s="241">
        <f>'CF 2020'!P66</f>
        <v>0</v>
      </c>
      <c r="I71" s="407">
        <f t="shared" si="0"/>
        <v>0</v>
      </c>
      <c r="J71" s="224"/>
      <c r="K71" s="224"/>
      <c r="L71" s="224"/>
    </row>
    <row r="72" spans="1:12">
      <c r="A72" s="243"/>
      <c r="B72" s="247" t="s">
        <v>58</v>
      </c>
      <c r="C72" s="248"/>
      <c r="D72" s="241">
        <f>'CF 2016'!P72</f>
        <v>0</v>
      </c>
      <c r="E72" s="241">
        <f>'CF 2017'!P72</f>
        <v>0</v>
      </c>
      <c r="F72" s="241">
        <f>'CF 2018'!P68</f>
        <v>0</v>
      </c>
      <c r="G72" s="242">
        <f>'CF 2019'!P67</f>
        <v>0</v>
      </c>
      <c r="H72" s="241">
        <f>'CF 2020'!P67</f>
        <v>0</v>
      </c>
      <c r="I72" s="407">
        <f t="shared" si="0"/>
        <v>0</v>
      </c>
      <c r="J72" s="224"/>
      <c r="K72" s="224"/>
      <c r="L72" s="224"/>
    </row>
    <row r="73" spans="1:12">
      <c r="A73" s="243"/>
      <c r="B73" s="248">
        <v>6600</v>
      </c>
      <c r="C73" s="248" t="s">
        <v>59</v>
      </c>
      <c r="D73" s="241">
        <f>'CF 2016'!P73</f>
        <v>89074191</v>
      </c>
      <c r="E73" s="241">
        <f>'CF 2017'!P73</f>
        <v>104314999.35955517</v>
      </c>
      <c r="F73" s="241">
        <f>'CF 2018'!P69</f>
        <v>126466611.62907116</v>
      </c>
      <c r="G73" s="242">
        <f>'CF 2019'!P68</f>
        <v>143131154.12927616</v>
      </c>
      <c r="H73" s="241">
        <f>'CF 2020'!P68</f>
        <v>154975052.64518249</v>
      </c>
      <c r="I73" s="407">
        <f t="shared" si="0"/>
        <v>617962008.76308501</v>
      </c>
      <c r="J73" s="224"/>
      <c r="K73" s="224"/>
      <c r="L73" s="224"/>
    </row>
    <row r="74" spans="1:12">
      <c r="A74" s="243"/>
      <c r="B74" s="248">
        <v>6600</v>
      </c>
      <c r="C74" s="248" t="s">
        <v>60</v>
      </c>
      <c r="D74" s="241">
        <f>'CF 2016'!P74</f>
        <v>15184112</v>
      </c>
      <c r="E74" s="241">
        <f>'CF 2017'!P74</f>
        <v>17000000</v>
      </c>
      <c r="F74" s="241">
        <f>'CF 2018'!P70</f>
        <v>19000000</v>
      </c>
      <c r="G74" s="242">
        <f>'CF 2019'!P69</f>
        <v>19000000</v>
      </c>
      <c r="H74" s="241">
        <f>'CF 2020'!P69</f>
        <v>20000000</v>
      </c>
      <c r="I74" s="407">
        <f t="shared" si="0"/>
        <v>90184112</v>
      </c>
      <c r="J74" s="224"/>
      <c r="K74" s="224"/>
      <c r="L74" s="224"/>
    </row>
    <row r="75" spans="1:12">
      <c r="A75" s="243"/>
      <c r="B75" s="248"/>
      <c r="C75" s="248"/>
      <c r="D75" s="241">
        <f>'CF 2016'!P75</f>
        <v>0</v>
      </c>
      <c r="E75" s="241">
        <f>'CF 2017'!P75</f>
        <v>0</v>
      </c>
      <c r="F75" s="241">
        <f>'CF 2018'!P71</f>
        <v>0</v>
      </c>
      <c r="G75" s="242">
        <f>'CF 2019'!P70</f>
        <v>0</v>
      </c>
      <c r="H75" s="241">
        <f>'CF 2020'!P70</f>
        <v>0</v>
      </c>
      <c r="I75" s="407">
        <f t="shared" si="0"/>
        <v>0</v>
      </c>
      <c r="J75" s="224"/>
      <c r="K75" s="224"/>
      <c r="L75" s="224"/>
    </row>
    <row r="76" spans="1:12">
      <c r="A76" s="243"/>
      <c r="B76" s="247" t="s">
        <v>61</v>
      </c>
      <c r="C76" s="248"/>
      <c r="D76" s="241">
        <f>'CF 2016'!P76</f>
        <v>0</v>
      </c>
      <c r="E76" s="241">
        <f>'CF 2017'!P76</f>
        <v>0</v>
      </c>
      <c r="F76" s="241">
        <f>'CF 2018'!P72</f>
        <v>0</v>
      </c>
      <c r="G76" s="242">
        <f>'CF 2019'!P71</f>
        <v>0</v>
      </c>
      <c r="H76" s="241">
        <f>'CF 2020'!P71</f>
        <v>0</v>
      </c>
      <c r="I76" s="407">
        <f t="shared" si="0"/>
        <v>0</v>
      </c>
      <c r="J76" s="224"/>
      <c r="K76" s="224"/>
      <c r="L76" s="224"/>
    </row>
    <row r="77" spans="1:12">
      <c r="A77" s="243"/>
      <c r="B77" s="248">
        <v>6200</v>
      </c>
      <c r="C77" s="248" t="s">
        <v>62</v>
      </c>
      <c r="D77" s="241">
        <f>'CF 2016'!P77</f>
        <v>194174100</v>
      </c>
      <c r="E77" s="241">
        <f>'CF 2017'!P77</f>
        <v>110170267.31211185</v>
      </c>
      <c r="F77" s="241">
        <f>'CF 2018'!P73</f>
        <v>120481117.85210475</v>
      </c>
      <c r="G77" s="242">
        <f>'CF 2019'!P72</f>
        <v>188156798.39291769</v>
      </c>
      <c r="H77" s="241">
        <f>'CF 2020'!P72</f>
        <v>232876441.92128903</v>
      </c>
      <c r="I77" s="407">
        <f t="shared" si="0"/>
        <v>845858725.47842336</v>
      </c>
      <c r="J77" s="224"/>
      <c r="K77" s="224"/>
      <c r="L77" s="224"/>
    </row>
    <row r="78" spans="1:12">
      <c r="A78" s="243"/>
      <c r="B78" s="248">
        <v>6201</v>
      </c>
      <c r="C78" s="248" t="s">
        <v>63</v>
      </c>
      <c r="D78" s="241">
        <f>'CF 2016'!P78</f>
        <v>46548500</v>
      </c>
      <c r="E78" s="241">
        <f>'CF 2017'!P78</f>
        <v>48964563.249827489</v>
      </c>
      <c r="F78" s="241">
        <f>'CF 2018'!P74</f>
        <v>53547163.48982434</v>
      </c>
      <c r="G78" s="242">
        <f>'CF 2019'!P73</f>
        <v>83625243.730185658</v>
      </c>
      <c r="H78" s="241">
        <f>'CF 2020'!P73</f>
        <v>103500640.85390621</v>
      </c>
      <c r="I78" s="407">
        <f t="shared" si="0"/>
        <v>336186111.3237437</v>
      </c>
      <c r="J78" s="224"/>
      <c r="K78" s="224"/>
      <c r="L78" s="224"/>
    </row>
    <row r="79" spans="1:12">
      <c r="A79" s="243"/>
      <c r="B79" s="248">
        <v>6210</v>
      </c>
      <c r="C79" s="248" t="s">
        <v>64</v>
      </c>
      <c r="D79" s="241">
        <f>'CF 2016'!P79</f>
        <v>7500000</v>
      </c>
      <c r="E79" s="241">
        <f>'CF 2017'!P79</f>
        <v>18361711.218685307</v>
      </c>
      <c r="F79" s="241">
        <f>'CF 2018'!P75</f>
        <v>20080186.308684126</v>
      </c>
      <c r="G79" s="242">
        <f>'CF 2019'!P74</f>
        <v>31359466.398819614</v>
      </c>
      <c r="H79" s="241">
        <f>'CF 2020'!P74</f>
        <v>38812740.320214823</v>
      </c>
      <c r="I79" s="407">
        <f t="shared" ref="I79:I138" si="3">SUM(D79:H79)</f>
        <v>116114104.24640387</v>
      </c>
      <c r="J79" s="224"/>
      <c r="K79" s="224"/>
      <c r="L79" s="224"/>
    </row>
    <row r="80" spans="1:12">
      <c r="A80" s="243"/>
      <c r="B80" s="248">
        <v>6211</v>
      </c>
      <c r="C80" s="248" t="s">
        <v>65</v>
      </c>
      <c r="D80" s="241">
        <f>'CF 2016'!P80</f>
        <v>2500000</v>
      </c>
      <c r="E80" s="241">
        <f>'CF 2017'!P80</f>
        <v>6120570.4062284362</v>
      </c>
      <c r="F80" s="241">
        <f>'CF 2018'!P76</f>
        <v>6693395.4362280425</v>
      </c>
      <c r="G80" s="242">
        <f>'CF 2019'!P75</f>
        <v>10453155.466273207</v>
      </c>
      <c r="H80" s="241">
        <f>'CF 2020'!P75</f>
        <v>12937580.106738277</v>
      </c>
      <c r="I80" s="407">
        <f t="shared" si="3"/>
        <v>38704701.415467963</v>
      </c>
      <c r="J80" s="224"/>
      <c r="K80" s="224"/>
      <c r="L80" s="224"/>
    </row>
    <row r="81" spans="1:12">
      <c r="A81" s="243"/>
      <c r="B81" s="248">
        <v>6220</v>
      </c>
      <c r="C81" s="248" t="s">
        <v>66</v>
      </c>
      <c r="D81" s="241">
        <f>'CF 2016'!P81</f>
        <v>5000000</v>
      </c>
      <c r="E81" s="241">
        <f>'CF 2017'!P81</f>
        <v>12241140.812456872</v>
      </c>
      <c r="F81" s="241">
        <f>'CF 2018'!P77</f>
        <v>13386790.872456085</v>
      </c>
      <c r="G81" s="242">
        <f>'CF 2019'!P76</f>
        <v>20906310.932546414</v>
      </c>
      <c r="H81" s="241">
        <f>'CF 2020'!P76</f>
        <v>25875160.213476554</v>
      </c>
      <c r="I81" s="407">
        <f t="shared" si="3"/>
        <v>77409402.830935925</v>
      </c>
      <c r="J81" s="224"/>
      <c r="K81" s="224"/>
      <c r="L81" s="224"/>
    </row>
    <row r="82" spans="1:12">
      <c r="A82" s="243"/>
      <c r="B82" s="248">
        <v>6221</v>
      </c>
      <c r="C82" s="248" t="s">
        <v>67</v>
      </c>
      <c r="D82" s="241">
        <f>'CF 2016'!P82</f>
        <v>2500000</v>
      </c>
      <c r="E82" s="241">
        <f>'CF 2017'!P82</f>
        <v>6120570.4062284362</v>
      </c>
      <c r="F82" s="241">
        <f>'CF 2018'!P78</f>
        <v>6693395.4362280425</v>
      </c>
      <c r="G82" s="242">
        <f>'CF 2019'!P77</f>
        <v>10453155.466273207</v>
      </c>
      <c r="H82" s="241">
        <f>'CF 2020'!P77</f>
        <v>12937580.106738277</v>
      </c>
      <c r="I82" s="407">
        <f t="shared" si="3"/>
        <v>38704701.415467963</v>
      </c>
      <c r="J82" s="224"/>
      <c r="K82" s="224"/>
      <c r="L82" s="224"/>
    </row>
    <row r="83" spans="1:12">
      <c r="A83" s="243"/>
      <c r="B83" s="248">
        <v>6230</v>
      </c>
      <c r="C83" s="248" t="s">
        <v>68</v>
      </c>
      <c r="D83" s="241">
        <f>'CF 2016'!P83</f>
        <v>17674500</v>
      </c>
      <c r="E83" s="241">
        <f>'CF 2017'!P83</f>
        <v>37947536.518616296</v>
      </c>
      <c r="F83" s="241">
        <f>'CF 2018'!P79</f>
        <v>41499051.704613842</v>
      </c>
      <c r="G83" s="242">
        <f>'CF 2019'!P78</f>
        <v>64809563.890893877</v>
      </c>
      <c r="H83" s="241">
        <f>'CF 2020'!P78</f>
        <v>80212996.661777288</v>
      </c>
      <c r="I83" s="407">
        <f t="shared" si="3"/>
        <v>242143648.77590129</v>
      </c>
      <c r="J83" s="224"/>
      <c r="K83" s="224"/>
      <c r="L83" s="224"/>
    </row>
    <row r="84" spans="1:12">
      <c r="A84" s="243"/>
      <c r="B84" s="248">
        <v>6231</v>
      </c>
      <c r="C84" s="248" t="s">
        <v>69</v>
      </c>
      <c r="D84" s="241">
        <f>'CF 2016'!P84</f>
        <v>31392793</v>
      </c>
      <c r="E84" s="241">
        <f>'CF 2017'!P84</f>
        <v>24482281.624913745</v>
      </c>
      <c r="F84" s="241">
        <f>'CF 2018'!P80</f>
        <v>26773581.74491217</v>
      </c>
      <c r="G84" s="242">
        <f>'CF 2019'!P79</f>
        <v>41812621.865092829</v>
      </c>
      <c r="H84" s="241">
        <f>'CF 2020'!P79</f>
        <v>51750320.426953107</v>
      </c>
      <c r="I84" s="407">
        <f t="shared" si="3"/>
        <v>176211598.66187185</v>
      </c>
      <c r="J84" s="224"/>
      <c r="K84" s="224"/>
      <c r="L84" s="224"/>
    </row>
    <row r="85" spans="1:12">
      <c r="A85" s="243"/>
      <c r="B85" s="248">
        <v>6240</v>
      </c>
      <c r="C85" s="248" t="s">
        <v>70</v>
      </c>
      <c r="D85" s="241">
        <f>'CF 2016'!P85</f>
        <v>115523550</v>
      </c>
      <c r="E85" s="241">
        <f>'CF 2017'!P85</f>
        <v>55085133.656055927</v>
      </c>
      <c r="F85" s="241">
        <f>'CF 2018'!P81</f>
        <v>60240558.926052377</v>
      </c>
      <c r="G85" s="242">
        <f>'CF 2019'!P80</f>
        <v>94078399.196458846</v>
      </c>
      <c r="H85" s="241">
        <f>'CF 2020'!P80</f>
        <v>116438220.96064451</v>
      </c>
      <c r="I85" s="407">
        <f t="shared" si="3"/>
        <v>441365862.73921168</v>
      </c>
      <c r="J85" s="224"/>
      <c r="K85" s="224"/>
      <c r="L85" s="224"/>
    </row>
    <row r="86" spans="1:12">
      <c r="A86" s="243"/>
      <c r="B86" s="248">
        <v>6241</v>
      </c>
      <c r="C86" s="248" t="s">
        <v>71</v>
      </c>
      <c r="D86" s="241">
        <f>'CF 2016'!P86</f>
        <v>41934000</v>
      </c>
      <c r="E86" s="241">
        <f>'CF 2017'!P86</f>
        <v>24482281.624913745</v>
      </c>
      <c r="F86" s="241">
        <f>'CF 2018'!P82</f>
        <v>26773581.74491217</v>
      </c>
      <c r="G86" s="242">
        <f>'CF 2019'!P81</f>
        <v>41812621.865092829</v>
      </c>
      <c r="H86" s="241">
        <f>'CF 2020'!P81</f>
        <v>51750320.426953107</v>
      </c>
      <c r="I86" s="407">
        <f t="shared" si="3"/>
        <v>186752805.66187185</v>
      </c>
      <c r="J86" s="224"/>
      <c r="K86" s="224"/>
      <c r="L86" s="224"/>
    </row>
    <row r="87" spans="1:12">
      <c r="A87" s="243"/>
      <c r="B87" s="248">
        <v>6250</v>
      </c>
      <c r="C87" s="248" t="s">
        <v>72</v>
      </c>
      <c r="D87" s="241">
        <f>'CF 2016'!P87</f>
        <v>410400000</v>
      </c>
      <c r="E87" s="241">
        <f>'CF 2017'!P87</f>
        <v>418647015.78602505</v>
      </c>
      <c r="F87" s="241">
        <f>'CF 2018'!P83</f>
        <v>457828247.83799809</v>
      </c>
      <c r="G87" s="242">
        <f>'CF 2019'!P82</f>
        <v>714995833.89308751</v>
      </c>
      <c r="H87" s="241">
        <f>'CF 2020'!P82</f>
        <v>884930479.30089855</v>
      </c>
      <c r="I87" s="407">
        <f t="shared" si="3"/>
        <v>2886801576.8180094</v>
      </c>
      <c r="J87" s="224"/>
      <c r="K87" s="224"/>
      <c r="L87" s="224"/>
    </row>
    <row r="88" spans="1:12">
      <c r="A88" s="243"/>
      <c r="B88" s="248"/>
      <c r="C88" s="248"/>
      <c r="D88" s="241">
        <f>'CF 2016'!P88</f>
        <v>0</v>
      </c>
      <c r="E88" s="241">
        <f>'CF 2017'!P88</f>
        <v>0</v>
      </c>
      <c r="F88" s="241">
        <f>'CF 2018'!P84</f>
        <v>0</v>
      </c>
      <c r="G88" s="242">
        <f>'CF 2019'!P83</f>
        <v>0</v>
      </c>
      <c r="H88" s="241">
        <f>'CF 2020'!P83</f>
        <v>0</v>
      </c>
      <c r="I88" s="407">
        <f t="shared" si="3"/>
        <v>0</v>
      </c>
      <c r="J88" s="224"/>
      <c r="K88" s="224"/>
      <c r="L88" s="224"/>
    </row>
    <row r="89" spans="1:12">
      <c r="A89" s="243"/>
      <c r="B89" s="247" t="s">
        <v>73</v>
      </c>
      <c r="C89" s="248"/>
      <c r="D89" s="241">
        <f>'CF 2016'!P89</f>
        <v>0</v>
      </c>
      <c r="E89" s="241">
        <f>'CF 2017'!P89</f>
        <v>0</v>
      </c>
      <c r="F89" s="241">
        <f>'CF 2018'!P85</f>
        <v>0</v>
      </c>
      <c r="G89" s="242">
        <f>'CF 2019'!P84</f>
        <v>0</v>
      </c>
      <c r="H89" s="241">
        <f>'CF 2020'!P84</f>
        <v>0</v>
      </c>
      <c r="I89" s="407">
        <f t="shared" si="3"/>
        <v>0</v>
      </c>
      <c r="J89" s="224"/>
      <c r="K89" s="224"/>
      <c r="L89" s="224"/>
    </row>
    <row r="90" spans="1:12">
      <c r="A90" s="243"/>
      <c r="B90" s="248">
        <v>6000</v>
      </c>
      <c r="C90" s="248" t="s">
        <v>74</v>
      </c>
      <c r="D90" s="241">
        <f>'CF 2016'!P90</f>
        <v>0</v>
      </c>
      <c r="E90" s="241">
        <f>'CF 2017'!P90</f>
        <v>0</v>
      </c>
      <c r="F90" s="241">
        <f>'CF 2018'!P86</f>
        <v>0</v>
      </c>
      <c r="G90" s="242">
        <f>'CF 2019'!P85</f>
        <v>0</v>
      </c>
      <c r="H90" s="241">
        <f>'CF 2020'!P85</f>
        <v>0</v>
      </c>
      <c r="I90" s="407">
        <f t="shared" si="3"/>
        <v>0</v>
      </c>
      <c r="J90" s="224"/>
      <c r="K90" s="224"/>
      <c r="L90" s="224"/>
    </row>
    <row r="91" spans="1:12">
      <c r="A91" s="243"/>
      <c r="B91" s="248">
        <v>6001</v>
      </c>
      <c r="C91" s="248" t="s">
        <v>297</v>
      </c>
      <c r="D91" s="241">
        <f>'CF 2016'!P91</f>
        <v>13415105811</v>
      </c>
      <c r="E91" s="241">
        <f>'CF 2017'!P91</f>
        <v>13497847215.282551</v>
      </c>
      <c r="F91" s="241">
        <f>'CF 2018'!P87</f>
        <v>15420463157.158516</v>
      </c>
      <c r="G91" s="242">
        <f>'CF 2019'!P86</f>
        <v>22781820081.801067</v>
      </c>
      <c r="H91" s="241">
        <f>'CF 2020'!P86</f>
        <v>29136000000</v>
      </c>
      <c r="I91" s="407">
        <f t="shared" si="3"/>
        <v>94251236265.242142</v>
      </c>
      <c r="J91" s="224"/>
      <c r="K91" s="224"/>
      <c r="L91" s="224"/>
    </row>
    <row r="92" spans="1:12">
      <c r="A92" s="243"/>
      <c r="B92" s="248">
        <v>6002</v>
      </c>
      <c r="C92" s="248" t="s">
        <v>298</v>
      </c>
      <c r="D92" s="241">
        <f>'CF 2016'!P92</f>
        <v>977745648</v>
      </c>
      <c r="E92" s="241">
        <f>'CF 2017'!P92</f>
        <v>1101702673.1211183</v>
      </c>
      <c r="F92" s="241">
        <f>'CF 2018'!P88</f>
        <v>1204811178.5210474</v>
      </c>
      <c r="G92" s="242">
        <f>'CF 2019'!P87</f>
        <v>1881567983.9291773</v>
      </c>
      <c r="H92" s="241">
        <f>'CF 2020'!P87</f>
        <v>2328764419.2128901</v>
      </c>
      <c r="I92" s="407">
        <f t="shared" si="3"/>
        <v>7494591902.7842331</v>
      </c>
      <c r="J92" s="224"/>
      <c r="K92" s="224"/>
      <c r="L92" s="224"/>
    </row>
    <row r="93" spans="1:12">
      <c r="A93" s="243"/>
      <c r="B93" s="248">
        <v>6020</v>
      </c>
      <c r="C93" s="248" t="s">
        <v>77</v>
      </c>
      <c r="D93" s="241">
        <f>'CF 2016'!P93</f>
        <v>13742401037</v>
      </c>
      <c r="E93" s="241">
        <f>'CF 2017'!P93</f>
        <v>15301426015.571087</v>
      </c>
      <c r="F93" s="241">
        <f>'CF 2018'!P89</f>
        <v>16479664502.098516</v>
      </c>
      <c r="G93" s="242">
        <f>'CF 2019'!P88</f>
        <v>25869571665.683029</v>
      </c>
      <c r="H93" s="241">
        <f>'CF 2020'!P88</f>
        <v>32596294888.834984</v>
      </c>
      <c r="I93" s="407">
        <f t="shared" si="3"/>
        <v>103989358109.18762</v>
      </c>
      <c r="J93" s="224"/>
      <c r="K93" s="224"/>
      <c r="L93" s="224"/>
    </row>
    <row r="94" spans="1:12">
      <c r="A94" s="243"/>
      <c r="B94" s="248">
        <v>6021</v>
      </c>
      <c r="C94" s="248" t="s">
        <v>78</v>
      </c>
      <c r="D94" s="241">
        <f>'CF 2016'!P94</f>
        <v>1136345228</v>
      </c>
      <c r="E94" s="241">
        <f>'CF 2017'!P94</f>
        <v>1101702673.1211183</v>
      </c>
      <c r="F94" s="241">
        <f>'CF 2018'!P90</f>
        <v>1204811178.5210474</v>
      </c>
      <c r="G94" s="242">
        <f>'CF 2019'!P89</f>
        <v>1881567983.9291773</v>
      </c>
      <c r="H94" s="241">
        <f>'CF 2020'!P89</f>
        <v>2328764419.2128901</v>
      </c>
      <c r="I94" s="407">
        <f t="shared" si="3"/>
        <v>7653191482.7842331</v>
      </c>
      <c r="J94" s="224"/>
      <c r="K94" s="224"/>
      <c r="L94" s="224"/>
    </row>
    <row r="95" spans="1:12">
      <c r="A95" s="243"/>
      <c r="B95" s="248">
        <v>6030</v>
      </c>
      <c r="C95" s="248" t="s">
        <v>79</v>
      </c>
      <c r="D95" s="241">
        <f>'CF 2016'!P95</f>
        <v>40825670</v>
      </c>
      <c r="E95" s="241">
        <f>'CF 2017'!P95</f>
        <v>48964563.249827489</v>
      </c>
      <c r="F95" s="241">
        <f>'CF 2018'!P91</f>
        <v>53547163.48982434</v>
      </c>
      <c r="G95" s="242">
        <f>'CF 2019'!P90</f>
        <v>83625243.730185658</v>
      </c>
      <c r="H95" s="241">
        <f>'CF 2020'!P90</f>
        <v>103500640.85390621</v>
      </c>
      <c r="I95" s="407">
        <f t="shared" si="3"/>
        <v>330463281.3237437</v>
      </c>
      <c r="J95" s="224"/>
      <c r="K95" s="224"/>
      <c r="L95" s="224"/>
    </row>
    <row r="96" spans="1:12">
      <c r="A96" s="243"/>
      <c r="B96" s="248">
        <v>6040</v>
      </c>
      <c r="C96" s="248" t="s">
        <v>80</v>
      </c>
      <c r="D96" s="241">
        <f>'CF 2016'!P96</f>
        <v>0</v>
      </c>
      <c r="E96" s="241">
        <f>'CF 2017'!P96</f>
        <v>0</v>
      </c>
      <c r="F96" s="241">
        <f>'CF 2018'!P92</f>
        <v>0</v>
      </c>
      <c r="G96" s="242">
        <f>'CF 2019'!P91</f>
        <v>0</v>
      </c>
      <c r="H96" s="241">
        <f>'CF 2020'!P91</f>
        <v>0</v>
      </c>
      <c r="I96" s="407">
        <f t="shared" si="3"/>
        <v>0</v>
      </c>
      <c r="J96" s="224"/>
      <c r="K96" s="224"/>
      <c r="L96" s="224"/>
    </row>
    <row r="97" spans="1:12">
      <c r="A97" s="243"/>
      <c r="B97" s="248">
        <v>6041</v>
      </c>
      <c r="C97" s="248" t="s">
        <v>81</v>
      </c>
      <c r="D97" s="241">
        <f>'CF 2016'!P97</f>
        <v>0</v>
      </c>
      <c r="E97" s="241">
        <f>'CF 2017'!P97</f>
        <v>0</v>
      </c>
      <c r="F97" s="241">
        <f>'CF 2018'!P93</f>
        <v>0</v>
      </c>
      <c r="G97" s="242">
        <f>'CF 2019'!P92</f>
        <v>0</v>
      </c>
      <c r="H97" s="241">
        <f>'CF 2020'!P92</f>
        <v>0</v>
      </c>
      <c r="I97" s="407">
        <f t="shared" si="3"/>
        <v>0</v>
      </c>
      <c r="J97" s="224"/>
      <c r="K97" s="224"/>
      <c r="L97" s="224"/>
    </row>
    <row r="98" spans="1:12">
      <c r="A98" s="243"/>
      <c r="B98" s="248">
        <v>6050</v>
      </c>
      <c r="C98" s="248" t="s">
        <v>82</v>
      </c>
      <c r="D98" s="241">
        <f>'CF 2016'!P98</f>
        <v>1353198800</v>
      </c>
      <c r="E98" s="241">
        <f>'CF 2017'!P98</f>
        <v>1413202811.4325397</v>
      </c>
      <c r="F98" s="241">
        <f>'CF 2018'!P94</f>
        <v>1539480950.3324497</v>
      </c>
      <c r="G98" s="242">
        <f>'CF 2019'!P93</f>
        <v>2404225757.2428374</v>
      </c>
      <c r="H98" s="241">
        <f>'CF 2020'!P93</f>
        <v>3035000000</v>
      </c>
      <c r="I98" s="407">
        <f t="shared" si="3"/>
        <v>9745108319.0078278</v>
      </c>
      <c r="J98" s="224"/>
      <c r="K98" s="224"/>
      <c r="L98" s="224"/>
    </row>
    <row r="99" spans="1:12">
      <c r="A99" s="243"/>
      <c r="B99" s="248">
        <v>6051</v>
      </c>
      <c r="C99" s="248" t="s">
        <v>83</v>
      </c>
      <c r="D99" s="241">
        <f>'CF 2016'!P99</f>
        <v>7689000</v>
      </c>
      <c r="E99" s="241">
        <f>'CF 2017'!P99</f>
        <v>7344684.487474123</v>
      </c>
      <c r="F99" s="241">
        <f>'CF 2018'!P95</f>
        <v>8032074.5234736493</v>
      </c>
      <c r="G99" s="242">
        <f>'CF 2019'!P94</f>
        <v>12543786.559527846</v>
      </c>
      <c r="H99" s="241">
        <f>'CF 2020'!P94</f>
        <v>15525096.12808593</v>
      </c>
      <c r="I99" s="407">
        <f t="shared" si="3"/>
        <v>51134641.698561549</v>
      </c>
      <c r="J99" s="224"/>
      <c r="K99" s="224"/>
      <c r="L99" s="224"/>
    </row>
    <row r="100" spans="1:12">
      <c r="A100" s="243"/>
      <c r="B100" s="248">
        <v>6052</v>
      </c>
      <c r="C100" s="248" t="s">
        <v>84</v>
      </c>
      <c r="D100" s="241">
        <f>'CF 2016'!P100</f>
        <v>2970000</v>
      </c>
      <c r="E100" s="241">
        <f>'CF 2017'!P100</f>
        <v>6120570.4062284362</v>
      </c>
      <c r="F100" s="241">
        <f>'CF 2018'!P96</f>
        <v>6693395.4362280425</v>
      </c>
      <c r="G100" s="242">
        <f>'CF 2019'!P95</f>
        <v>10453155.466273207</v>
      </c>
      <c r="H100" s="241">
        <f>'CF 2020'!P95</f>
        <v>12937580.106738277</v>
      </c>
      <c r="I100" s="407">
        <f t="shared" si="3"/>
        <v>39174701.415467963</v>
      </c>
      <c r="J100" s="224"/>
      <c r="K100" s="224"/>
      <c r="L100" s="224"/>
    </row>
    <row r="101" spans="1:12">
      <c r="A101" s="243"/>
      <c r="B101" s="248">
        <v>6090</v>
      </c>
      <c r="C101" s="248" t="s">
        <v>85</v>
      </c>
      <c r="D101" s="241">
        <f>'CF 2016'!P101</f>
        <v>5000000</v>
      </c>
      <c r="E101" s="241">
        <f>'CF 2017'!P101</f>
        <v>12241140.812456872</v>
      </c>
      <c r="F101" s="241">
        <f>'CF 2018'!P97</f>
        <v>13386790.872456085</v>
      </c>
      <c r="G101" s="242">
        <f>'CF 2019'!P96</f>
        <v>20906310.932546414</v>
      </c>
      <c r="H101" s="241">
        <f>'CF 2020'!P96</f>
        <v>25875160.213476554</v>
      </c>
      <c r="I101" s="407">
        <f t="shared" si="3"/>
        <v>77409402.830935925</v>
      </c>
      <c r="J101" s="224"/>
      <c r="K101" s="224"/>
      <c r="L101" s="224"/>
    </row>
    <row r="102" spans="1:12">
      <c r="A102" s="243"/>
      <c r="B102" s="248"/>
      <c r="C102" s="248" t="s">
        <v>86</v>
      </c>
      <c r="D102" s="241">
        <f>'CF 2016'!P102</f>
        <v>614320000</v>
      </c>
      <c r="E102" s="241">
        <f>'CF 2017'!P102</f>
        <v>795674152.80969679</v>
      </c>
      <c r="F102" s="241">
        <f>'CF 2018'!P98</f>
        <v>870141406.70964563</v>
      </c>
      <c r="G102" s="242">
        <f>'CF 2019'!P97</f>
        <v>1358910210.6155169</v>
      </c>
      <c r="H102" s="241">
        <f>'CF 2020'!P97</f>
        <v>1681885413.8759766</v>
      </c>
      <c r="I102" s="407">
        <f t="shared" si="3"/>
        <v>5320931184.0108356</v>
      </c>
      <c r="J102" s="224"/>
      <c r="K102" s="224"/>
      <c r="L102" s="224"/>
    </row>
    <row r="103" spans="1:12">
      <c r="A103" s="243"/>
      <c r="B103" s="248"/>
      <c r="C103" s="248" t="s">
        <v>87</v>
      </c>
      <c r="D103" s="241">
        <f>'CF 2016'!P103</f>
        <v>65910000</v>
      </c>
      <c r="E103" s="241">
        <f>'CF 2017'!P103</f>
        <v>0</v>
      </c>
      <c r="F103" s="241">
        <f>'CF 2018'!P99</f>
        <v>0</v>
      </c>
      <c r="G103" s="242">
        <f>'CF 2019'!P98</f>
        <v>0</v>
      </c>
      <c r="H103" s="241">
        <f>'CF 2020'!P98</f>
        <v>0</v>
      </c>
      <c r="I103" s="407">
        <f t="shared" si="3"/>
        <v>65910000</v>
      </c>
      <c r="J103" s="224"/>
      <c r="K103" s="224"/>
      <c r="L103" s="224"/>
    </row>
    <row r="104" spans="1:12">
      <c r="A104" s="243"/>
      <c r="B104" s="248"/>
      <c r="C104" s="248" t="s">
        <v>88</v>
      </c>
      <c r="D104" s="241">
        <f>'CF 2016'!P104</f>
        <v>0</v>
      </c>
      <c r="E104" s="241">
        <f>'CF 2017'!P104</f>
        <v>0</v>
      </c>
      <c r="F104" s="241">
        <f>'CF 2018'!P100</f>
        <v>0</v>
      </c>
      <c r="G104" s="242">
        <f>'CF 2019'!P99</f>
        <v>0</v>
      </c>
      <c r="H104" s="241">
        <f>'CF 2020'!P99</f>
        <v>0</v>
      </c>
      <c r="I104" s="407">
        <f t="shared" si="3"/>
        <v>0</v>
      </c>
      <c r="J104" s="224"/>
      <c r="K104" s="224"/>
      <c r="L104" s="224"/>
    </row>
    <row r="105" spans="1:12">
      <c r="A105" s="243"/>
      <c r="B105" s="248"/>
      <c r="C105" s="248" t="s">
        <v>89</v>
      </c>
      <c r="D105" s="241">
        <f>'CF 2016'!P105</f>
        <v>112281536</v>
      </c>
      <c r="E105" s="241">
        <f>'CF 2017'!P105</f>
        <v>155849512</v>
      </c>
      <c r="F105" s="241">
        <f>'CF 2018'!P101</f>
        <v>69566000</v>
      </c>
      <c r="G105" s="242">
        <f>'CF 2019'!P100</f>
        <v>160512240</v>
      </c>
      <c r="H105" s="241">
        <f>'CF 2020'!P100</f>
        <v>113277304</v>
      </c>
      <c r="I105" s="407">
        <f t="shared" si="3"/>
        <v>611486592</v>
      </c>
      <c r="J105" s="224"/>
      <c r="K105" s="224"/>
      <c r="L105" s="224"/>
    </row>
    <row r="106" spans="1:12">
      <c r="A106" s="243"/>
      <c r="B106" s="548" t="s">
        <v>90</v>
      </c>
      <c r="C106" s="548"/>
      <c r="D106" s="245">
        <f>SUM(D33:D105)</f>
        <v>44300912445.540001</v>
      </c>
      <c r="E106" s="245">
        <f>SUM(E33:E105)</f>
        <v>47856261105.035164</v>
      </c>
      <c r="F106" s="245">
        <f>SUM(F33:F105)</f>
        <v>52362447962.068848</v>
      </c>
      <c r="G106" s="245">
        <f>SUM(G33:G105)</f>
        <v>80317381194.926895</v>
      </c>
      <c r="H106" s="245">
        <f>SUM(H33:H105)</f>
        <v>103099459275.5905</v>
      </c>
      <c r="I106" s="408">
        <f t="shared" si="3"/>
        <v>327936461983.16144</v>
      </c>
    </row>
    <row r="107" spans="1:12">
      <c r="A107" s="243"/>
      <c r="B107" s="248"/>
      <c r="C107" s="248" t="s">
        <v>112</v>
      </c>
      <c r="D107" s="241">
        <v>445220000</v>
      </c>
      <c r="E107" s="241">
        <v>0</v>
      </c>
      <c r="F107" s="241">
        <v>0</v>
      </c>
      <c r="G107" s="242">
        <v>0</v>
      </c>
      <c r="H107" s="241">
        <v>0</v>
      </c>
      <c r="I107" s="407">
        <f t="shared" si="3"/>
        <v>445220000</v>
      </c>
    </row>
    <row r="108" spans="1:12">
      <c r="A108" s="243"/>
      <c r="B108" s="248"/>
      <c r="C108" s="248" t="s">
        <v>420</v>
      </c>
      <c r="D108" s="241">
        <v>125000000</v>
      </c>
      <c r="E108" s="241"/>
      <c r="F108" s="241">
        <v>0</v>
      </c>
      <c r="G108" s="242">
        <v>0</v>
      </c>
      <c r="H108" s="241">
        <v>0</v>
      </c>
      <c r="I108" s="407">
        <f t="shared" si="3"/>
        <v>125000000</v>
      </c>
    </row>
    <row r="109" spans="1:12">
      <c r="A109" s="243"/>
      <c r="B109" s="248"/>
      <c r="C109" s="248" t="str">
        <f>'CF 2017'!C109</f>
        <v>(Alkes untuk bangunan baru) (MFK, MDG'S)</v>
      </c>
      <c r="D109" s="241"/>
      <c r="E109" s="241">
        <v>1200000000</v>
      </c>
      <c r="F109" s="241">
        <v>4200000000</v>
      </c>
      <c r="G109" s="242">
        <v>11800000000</v>
      </c>
      <c r="H109" s="241">
        <v>0</v>
      </c>
      <c r="I109" s="407">
        <f t="shared" si="3"/>
        <v>17200000000</v>
      </c>
    </row>
    <row r="110" spans="1:12">
      <c r="A110" s="243"/>
      <c r="B110" s="248"/>
      <c r="C110" s="248" t="str">
        <f>'CF 2018'!C106</f>
        <v>Pembangunan IPAL</v>
      </c>
      <c r="D110" s="241"/>
      <c r="E110" s="241"/>
      <c r="F110" s="241">
        <v>4500000000</v>
      </c>
      <c r="G110" s="242"/>
      <c r="H110" s="241">
        <v>0</v>
      </c>
      <c r="I110" s="407">
        <f t="shared" si="3"/>
        <v>4500000000</v>
      </c>
    </row>
    <row r="111" spans="1:12" ht="31.5">
      <c r="A111" s="243"/>
      <c r="B111" s="248"/>
      <c r="C111" s="249" t="str">
        <f>'CF 2018'!C108</f>
        <v>Pinbuk ke Yayasan ( untuk angsuran pinjaman pihak ke 3 yang 8 M)</v>
      </c>
      <c r="D111" s="241"/>
      <c r="E111" s="241"/>
      <c r="F111" s="241">
        <v>4700000000</v>
      </c>
      <c r="G111" s="242">
        <v>300000000</v>
      </c>
      <c r="H111" s="241">
        <v>0</v>
      </c>
      <c r="I111" s="407">
        <f t="shared" si="3"/>
        <v>5000000000</v>
      </c>
    </row>
    <row r="112" spans="1:12" ht="35.25" customHeight="1">
      <c r="A112" s="243"/>
      <c r="B112" s="248"/>
      <c r="C112" s="249" t="str">
        <f>'CF 2019'!C112</f>
        <v>Angsuran Hutang Pihak ke 3 (utk Pembangunan A, B dan E)</v>
      </c>
      <c r="D112" s="241"/>
      <c r="E112" s="241"/>
      <c r="F112" s="241"/>
      <c r="G112" s="242">
        <v>3700000000</v>
      </c>
      <c r="H112" s="241">
        <v>9000000000</v>
      </c>
      <c r="I112" s="407">
        <f t="shared" si="3"/>
        <v>12700000000</v>
      </c>
    </row>
    <row r="113" spans="1:10">
      <c r="A113" s="243"/>
      <c r="B113" s="248"/>
      <c r="C113" s="248" t="s">
        <v>231</v>
      </c>
      <c r="D113" s="241">
        <v>40000000</v>
      </c>
      <c r="E113" s="242"/>
      <c r="F113" s="242"/>
      <c r="G113" s="242"/>
      <c r="H113" s="241">
        <v>0</v>
      </c>
      <c r="I113" s="407">
        <f t="shared" si="3"/>
        <v>40000000</v>
      </c>
    </row>
    <row r="114" spans="1:10" ht="31.5">
      <c r="A114" s="243"/>
      <c r="B114" s="248"/>
      <c r="C114" s="250" t="str">
        <f>'CF 2019'!C113</f>
        <v>Angsuran Hutang Pihak ke 3 ( untuk Pembangunan IPAL)</v>
      </c>
      <c r="D114" s="241"/>
      <c r="E114" s="242"/>
      <c r="F114" s="242"/>
      <c r="G114" s="242">
        <v>2000000000</v>
      </c>
      <c r="H114" s="241">
        <v>3000000000</v>
      </c>
      <c r="I114" s="407">
        <f t="shared" si="3"/>
        <v>5000000000</v>
      </c>
    </row>
    <row r="115" spans="1:10">
      <c r="A115" s="243"/>
      <c r="B115" s="248"/>
      <c r="C115" s="248" t="s">
        <v>254</v>
      </c>
      <c r="D115" s="241">
        <v>400000000</v>
      </c>
      <c r="E115" s="241">
        <v>0</v>
      </c>
      <c r="F115" s="241">
        <v>0</v>
      </c>
      <c r="G115" s="242">
        <v>0</v>
      </c>
      <c r="H115" s="241"/>
      <c r="I115" s="407">
        <f t="shared" si="3"/>
        <v>400000000</v>
      </c>
    </row>
    <row r="116" spans="1:10">
      <c r="A116" s="243"/>
      <c r="B116" s="248"/>
      <c r="C116" s="248" t="s">
        <v>344</v>
      </c>
      <c r="D116" s="241">
        <v>97658890</v>
      </c>
      <c r="E116" s="241">
        <v>0</v>
      </c>
      <c r="F116" s="242"/>
      <c r="G116" s="242">
        <v>0</v>
      </c>
      <c r="H116" s="241">
        <v>0</v>
      </c>
      <c r="I116" s="407">
        <f t="shared" si="3"/>
        <v>97658890</v>
      </c>
    </row>
    <row r="117" spans="1:10">
      <c r="A117" s="243"/>
      <c r="B117" s="248"/>
      <c r="C117" s="248" t="s">
        <v>92</v>
      </c>
      <c r="D117" s="241">
        <v>124048775</v>
      </c>
      <c r="E117" s="241">
        <v>0</v>
      </c>
      <c r="F117" s="242"/>
      <c r="G117" s="242">
        <v>0</v>
      </c>
      <c r="H117" s="242"/>
      <c r="I117" s="407">
        <f t="shared" si="3"/>
        <v>124048775</v>
      </c>
    </row>
    <row r="118" spans="1:10">
      <c r="A118" s="243"/>
      <c r="B118" s="251"/>
      <c r="C118" s="252" t="s">
        <v>93</v>
      </c>
      <c r="D118" s="241">
        <v>130746000</v>
      </c>
      <c r="E118" s="241">
        <v>0</v>
      </c>
      <c r="F118" s="242"/>
      <c r="G118" s="242"/>
      <c r="H118" s="242"/>
      <c r="I118" s="407">
        <f t="shared" si="3"/>
        <v>130746000</v>
      </c>
    </row>
    <row r="119" spans="1:10">
      <c r="A119" s="243"/>
      <c r="B119" s="251"/>
      <c r="C119" s="252" t="s">
        <v>94</v>
      </c>
      <c r="D119" s="241">
        <v>169256500</v>
      </c>
      <c r="E119" s="241"/>
      <c r="F119" s="241"/>
      <c r="G119" s="242"/>
      <c r="H119" s="242"/>
      <c r="I119" s="407">
        <f t="shared" si="3"/>
        <v>169256500</v>
      </c>
    </row>
    <row r="120" spans="1:10" ht="31.5">
      <c r="A120" s="243"/>
      <c r="B120" s="251"/>
      <c r="C120" s="252" t="str">
        <f>'CF 2017'!C112</f>
        <v>Pinbuk ke Yayasan ( untuk pembayaran rumah belakang)</v>
      </c>
      <c r="D120" s="241"/>
      <c r="E120" s="241">
        <v>250000000</v>
      </c>
      <c r="F120" s="241"/>
      <c r="G120" s="242"/>
      <c r="H120" s="241">
        <v>0</v>
      </c>
      <c r="I120" s="407">
        <f t="shared" si="3"/>
        <v>250000000</v>
      </c>
    </row>
    <row r="121" spans="1:10" ht="37.5" customHeight="1">
      <c r="A121" s="243"/>
      <c r="B121" s="251"/>
      <c r="C121" s="252" t="str">
        <f>'CF 2017'!C113</f>
        <v>Pinbuk ke Yayasan ( untuk angsuran pinjaman pihak ke 3 yang 8 M)</v>
      </c>
      <c r="D121" s="241"/>
      <c r="E121" s="241">
        <v>3000000000</v>
      </c>
      <c r="F121" s="241"/>
      <c r="G121" s="242"/>
      <c r="H121" s="242"/>
      <c r="I121" s="407">
        <f t="shared" si="3"/>
        <v>3000000000</v>
      </c>
    </row>
    <row r="122" spans="1:10">
      <c r="A122" s="243"/>
      <c r="B122" s="251"/>
      <c r="C122" s="252" t="s">
        <v>145</v>
      </c>
      <c r="D122" s="241">
        <v>500000000</v>
      </c>
      <c r="E122" s="242"/>
      <c r="F122" s="242"/>
      <c r="G122" s="242">
        <v>0</v>
      </c>
      <c r="H122" s="242"/>
      <c r="I122" s="407">
        <f t="shared" si="3"/>
        <v>500000000</v>
      </c>
    </row>
    <row r="123" spans="1:10">
      <c r="A123" s="243"/>
      <c r="B123" s="251"/>
      <c r="C123" s="252" t="s">
        <v>237</v>
      </c>
      <c r="D123" s="241">
        <v>1400000000</v>
      </c>
      <c r="E123" s="242">
        <v>200000000</v>
      </c>
      <c r="F123" s="242"/>
      <c r="G123" s="242"/>
      <c r="H123" s="242"/>
      <c r="I123" s="407">
        <f t="shared" si="3"/>
        <v>1600000000</v>
      </c>
      <c r="J123" s="224">
        <f>+D122+D123+D124+D115</f>
        <v>7800000000</v>
      </c>
    </row>
    <row r="124" spans="1:10">
      <c r="A124" s="243"/>
      <c r="B124" s="251"/>
      <c r="C124" s="252" t="s">
        <v>238</v>
      </c>
      <c r="D124" s="241">
        <v>5500000000</v>
      </c>
      <c r="E124" s="242"/>
      <c r="F124" s="242"/>
      <c r="G124" s="242"/>
      <c r="H124" s="242"/>
      <c r="I124" s="407">
        <f t="shared" si="3"/>
        <v>5500000000</v>
      </c>
    </row>
    <row r="125" spans="1:10">
      <c r="A125" s="243"/>
      <c r="B125" s="251"/>
      <c r="C125" s="248" t="s">
        <v>95</v>
      </c>
      <c r="D125" s="241">
        <v>53000000</v>
      </c>
      <c r="E125" s="242"/>
      <c r="F125" s="242"/>
      <c r="G125" s="242"/>
      <c r="H125" s="242"/>
      <c r="I125" s="407">
        <f t="shared" si="3"/>
        <v>53000000</v>
      </c>
    </row>
    <row r="126" spans="1:10">
      <c r="A126" s="243"/>
      <c r="B126" s="251"/>
      <c r="C126" s="248" t="s">
        <v>221</v>
      </c>
      <c r="D126" s="241">
        <v>102643000</v>
      </c>
      <c r="E126" s="241">
        <v>0</v>
      </c>
      <c r="F126" s="242"/>
      <c r="G126" s="242"/>
      <c r="H126" s="242"/>
      <c r="I126" s="407">
        <f t="shared" si="3"/>
        <v>102643000</v>
      </c>
    </row>
    <row r="127" spans="1:10" ht="63">
      <c r="A127" s="243"/>
      <c r="B127" s="251"/>
      <c r="C127" s="254" t="str">
        <f>'CF 2020'!C114</f>
        <v>Rencana Peningkatan Mutu Pendidikan dan Pembangunan Sekolah di Lingkungan Al-Irsyad Pekalongan</v>
      </c>
      <c r="D127" s="241">
        <v>0</v>
      </c>
      <c r="E127" s="241"/>
      <c r="F127" s="242"/>
      <c r="G127" s="242">
        <v>2000000000</v>
      </c>
      <c r="H127" s="241">
        <v>2400000000</v>
      </c>
      <c r="I127" s="407">
        <f t="shared" si="3"/>
        <v>4400000000</v>
      </c>
    </row>
    <row r="128" spans="1:10" ht="31.5">
      <c r="A128" s="243"/>
      <c r="B128" s="251"/>
      <c r="C128" s="255" t="s">
        <v>97</v>
      </c>
      <c r="D128" s="241">
        <v>520000000</v>
      </c>
      <c r="E128" s="242"/>
      <c r="F128" s="242"/>
      <c r="G128" s="242"/>
      <c r="H128" s="242"/>
      <c r="I128" s="407">
        <f t="shared" si="3"/>
        <v>520000000</v>
      </c>
    </row>
    <row r="129" spans="1:9">
      <c r="A129" s="243"/>
      <c r="B129" s="251"/>
      <c r="C129" s="255" t="s">
        <v>144</v>
      </c>
      <c r="D129" s="241">
        <v>1323577387</v>
      </c>
      <c r="E129" s="241">
        <v>1440000000</v>
      </c>
      <c r="F129" s="241">
        <v>1440000000</v>
      </c>
      <c r="G129" s="242">
        <v>1440000000</v>
      </c>
      <c r="H129" s="242">
        <f>'CF 2020'!P116</f>
        <v>1440000000</v>
      </c>
      <c r="I129" s="407">
        <f t="shared" si="3"/>
        <v>7083577387</v>
      </c>
    </row>
    <row r="130" spans="1:9">
      <c r="A130" s="243"/>
      <c r="B130" s="251"/>
      <c r="C130" s="255" t="s">
        <v>98</v>
      </c>
      <c r="D130" s="241">
        <v>910000000</v>
      </c>
      <c r="E130" s="242"/>
      <c r="F130" s="242"/>
      <c r="G130" s="242"/>
      <c r="H130" s="242"/>
      <c r="I130" s="407">
        <f t="shared" si="3"/>
        <v>910000000</v>
      </c>
    </row>
    <row r="131" spans="1:9">
      <c r="A131" s="243"/>
      <c r="B131" s="251"/>
      <c r="C131" s="255" t="s">
        <v>381</v>
      </c>
      <c r="D131" s="241">
        <v>1250000000</v>
      </c>
      <c r="E131" s="241"/>
      <c r="F131" s="242"/>
      <c r="G131" s="242"/>
      <c r="H131" s="242"/>
      <c r="I131" s="407">
        <f t="shared" si="3"/>
        <v>1250000000</v>
      </c>
    </row>
    <row r="132" spans="1:9">
      <c r="A132" s="243"/>
      <c r="B132" s="251"/>
      <c r="C132" s="255" t="s">
        <v>99</v>
      </c>
      <c r="D132" s="241">
        <v>612674503</v>
      </c>
      <c r="E132" s="241">
        <v>0</v>
      </c>
      <c r="F132" s="242"/>
      <c r="G132" s="242"/>
      <c r="H132" s="242"/>
      <c r="I132" s="407">
        <f t="shared" si="3"/>
        <v>612674503</v>
      </c>
    </row>
    <row r="133" spans="1:9">
      <c r="A133" s="243"/>
      <c r="B133" s="248"/>
      <c r="C133" s="256" t="s">
        <v>100</v>
      </c>
      <c r="D133" s="241">
        <v>121221961</v>
      </c>
      <c r="E133" s="241">
        <v>32026815</v>
      </c>
      <c r="F133" s="242"/>
      <c r="G133" s="242"/>
      <c r="H133" s="242"/>
      <c r="I133" s="407">
        <f t="shared" si="3"/>
        <v>153248776</v>
      </c>
    </row>
    <row r="134" spans="1:9">
      <c r="A134" s="243"/>
      <c r="B134" s="248"/>
      <c r="C134" s="256" t="s">
        <v>101</v>
      </c>
      <c r="D134" s="241">
        <v>1353892128</v>
      </c>
      <c r="E134" s="241">
        <v>1241067784</v>
      </c>
      <c r="F134" s="242"/>
      <c r="G134" s="242"/>
      <c r="H134" s="242"/>
      <c r="I134" s="407">
        <f t="shared" si="3"/>
        <v>2594959912</v>
      </c>
    </row>
    <row r="135" spans="1:9">
      <c r="A135" s="243"/>
      <c r="B135" s="248"/>
      <c r="C135" s="256" t="s">
        <v>89</v>
      </c>
      <c r="D135" s="241">
        <v>38159520</v>
      </c>
      <c r="E135" s="242"/>
      <c r="F135" s="242"/>
      <c r="G135" s="242"/>
      <c r="H135" s="242"/>
      <c r="I135" s="407">
        <f t="shared" si="3"/>
        <v>38159520</v>
      </c>
    </row>
    <row r="136" spans="1:9">
      <c r="A136" s="243"/>
      <c r="B136" s="248"/>
      <c r="C136" s="256" t="str">
        <f>'CF 2017'!C117</f>
        <v>Gedung Baru A, B dan E</v>
      </c>
      <c r="D136" s="241"/>
      <c r="E136" s="241">
        <v>19846125000</v>
      </c>
      <c r="F136" s="241">
        <v>17449875000</v>
      </c>
      <c r="G136" s="242"/>
      <c r="H136" s="242"/>
      <c r="I136" s="407">
        <f t="shared" si="3"/>
        <v>37296000000</v>
      </c>
    </row>
    <row r="137" spans="1:9">
      <c r="A137" s="243"/>
      <c r="B137" s="248"/>
      <c r="C137" s="256" t="str">
        <f>+'CF 2020'!C117</f>
        <v>Rencana Pembangunan Gedung D dan F</v>
      </c>
      <c r="D137" s="241"/>
      <c r="E137" s="241"/>
      <c r="F137" s="241"/>
      <c r="G137" s="242"/>
      <c r="H137" s="242">
        <f>+'CF 2020'!P117</f>
        <v>14536875000</v>
      </c>
      <c r="I137" s="407">
        <f t="shared" si="3"/>
        <v>14536875000</v>
      </c>
    </row>
    <row r="138" spans="1:9">
      <c r="A138" s="549" t="s">
        <v>433</v>
      </c>
      <c r="B138" s="550"/>
      <c r="C138" s="550"/>
      <c r="D138" s="245">
        <f>SUM(D106:D136)</f>
        <v>59518011109.540001</v>
      </c>
      <c r="E138" s="245">
        <f>SUM(E106:E136)</f>
        <v>75065480704.035156</v>
      </c>
      <c r="F138" s="245">
        <f>SUM(F106:F136)</f>
        <v>84652322962.068848</v>
      </c>
      <c r="G138" s="245">
        <f>SUM(G106:G136)</f>
        <v>101557381194.9269</v>
      </c>
      <c r="H138" s="245">
        <f>SUM(H106:H137)</f>
        <v>133476334275.5905</v>
      </c>
      <c r="I138" s="408">
        <f t="shared" si="3"/>
        <v>454269530246.16144</v>
      </c>
    </row>
    <row r="139" spans="1:9">
      <c r="A139" s="243"/>
      <c r="B139" s="247"/>
      <c r="C139" s="248"/>
      <c r="D139" s="241">
        <v>0</v>
      </c>
      <c r="E139" s="242"/>
      <c r="F139" s="242"/>
      <c r="G139" s="242"/>
      <c r="H139" s="242"/>
      <c r="I139" s="408"/>
    </row>
    <row r="140" spans="1:9">
      <c r="A140" s="551" t="s">
        <v>434</v>
      </c>
      <c r="B140" s="552"/>
      <c r="C140" s="552"/>
      <c r="D140" s="257">
        <f t="shared" ref="D140:I140" si="4">D29-D138</f>
        <v>158455851.49249268</v>
      </c>
      <c r="E140" s="257">
        <f t="shared" si="4"/>
        <v>29051040.758270264</v>
      </c>
      <c r="F140" s="257">
        <f t="shared" si="4"/>
        <v>1130494004.7982788</v>
      </c>
      <c r="G140" s="257">
        <f t="shared" si="4"/>
        <v>1418329624.1860352</v>
      </c>
      <c r="H140" s="257">
        <f t="shared" si="4"/>
        <v>366088386.9533844</v>
      </c>
      <c r="I140" s="284">
        <f t="shared" si="4"/>
        <v>366088386.95330811</v>
      </c>
    </row>
    <row r="141" spans="1:9">
      <c r="A141" s="258"/>
      <c r="B141" s="258"/>
      <c r="C141" s="258"/>
      <c r="D141" s="259">
        <f>D140-'CF 2016'!P133</f>
        <v>-1.52587890625E-5</v>
      </c>
      <c r="E141" s="259">
        <f>E140-'CF 2017'!P120</f>
        <v>1.52587890625E-5</v>
      </c>
      <c r="F141" s="259">
        <f>F140-'CF 2018'!P113</f>
        <v>0</v>
      </c>
      <c r="G141" s="259">
        <f>G140-'CF 2019'!P119</f>
        <v>0</v>
      </c>
      <c r="H141" s="259">
        <f>H140-'CF 2020'!P120</f>
        <v>0</v>
      </c>
    </row>
    <row r="142" spans="1:9">
      <c r="A142" s="258"/>
      <c r="B142" s="258"/>
      <c r="C142" s="258"/>
    </row>
    <row r="143" spans="1:9">
      <c r="A143" s="258"/>
      <c r="B143" s="258"/>
      <c r="C143" s="258"/>
    </row>
    <row r="144" spans="1:9">
      <c r="A144" s="258"/>
      <c r="B144" s="258"/>
      <c r="C144" s="258"/>
    </row>
    <row r="145" spans="1:3">
      <c r="A145" s="258"/>
      <c r="B145" s="258"/>
      <c r="C145" s="258"/>
    </row>
    <row r="146" spans="1:3">
      <c r="A146" s="258"/>
      <c r="B146" s="258"/>
      <c r="C146" s="258"/>
    </row>
    <row r="147" spans="1:3">
      <c r="A147" s="258"/>
      <c r="B147" s="258"/>
      <c r="C147" s="258"/>
    </row>
    <row r="148" spans="1:3">
      <c r="A148" s="258"/>
      <c r="B148" s="258"/>
      <c r="C148" s="258"/>
    </row>
    <row r="149" spans="1:3">
      <c r="A149" s="258"/>
      <c r="B149" s="258"/>
      <c r="C149" s="258"/>
    </row>
    <row r="150" spans="1:3">
      <c r="A150" s="258"/>
      <c r="B150" s="258"/>
      <c r="C150" s="258"/>
    </row>
    <row r="151" spans="1:3">
      <c r="A151" s="258"/>
      <c r="B151" s="258"/>
      <c r="C151" s="258"/>
    </row>
    <row r="152" spans="1:3">
      <c r="A152" s="258"/>
      <c r="B152" s="258"/>
      <c r="C152" s="258"/>
    </row>
    <row r="153" spans="1:3">
      <c r="A153" s="258"/>
      <c r="B153" s="258"/>
      <c r="C153" s="258"/>
    </row>
    <row r="154" spans="1:3">
      <c r="A154" s="258"/>
      <c r="B154" s="258"/>
      <c r="C154" s="258"/>
    </row>
    <row r="155" spans="1:3">
      <c r="A155" s="258"/>
      <c r="B155" s="258"/>
      <c r="C155" s="258"/>
    </row>
    <row r="156" spans="1:3">
      <c r="A156" s="258"/>
      <c r="B156" s="258"/>
      <c r="C156" s="258"/>
    </row>
    <row r="157" spans="1:3">
      <c r="A157" s="258"/>
      <c r="B157" s="258"/>
      <c r="C157" s="258"/>
    </row>
    <row r="158" spans="1:3">
      <c r="A158" s="258"/>
      <c r="B158" s="258"/>
      <c r="C158" s="258"/>
    </row>
    <row r="159" spans="1:3">
      <c r="A159" s="258"/>
      <c r="B159" s="258"/>
      <c r="C159" s="258"/>
    </row>
    <row r="160" spans="1:3">
      <c r="A160" s="258"/>
      <c r="B160" s="258"/>
      <c r="C160" s="258"/>
    </row>
    <row r="161" spans="1:3">
      <c r="A161" s="258"/>
      <c r="B161" s="258"/>
      <c r="C161" s="258"/>
    </row>
    <row r="162" spans="1:3">
      <c r="A162" s="258"/>
      <c r="B162" s="258"/>
      <c r="C162" s="258"/>
    </row>
    <row r="163" spans="1:3">
      <c r="A163" s="258"/>
      <c r="B163" s="258"/>
      <c r="C163" s="258"/>
    </row>
    <row r="164" spans="1:3">
      <c r="A164" s="258"/>
      <c r="B164" s="258"/>
      <c r="C164" s="258"/>
    </row>
    <row r="165" spans="1:3">
      <c r="A165" s="258"/>
      <c r="B165" s="258"/>
      <c r="C165" s="258"/>
    </row>
    <row r="166" spans="1:3">
      <c r="A166" s="258"/>
      <c r="B166" s="258"/>
      <c r="C166" s="258"/>
    </row>
    <row r="167" spans="1:3">
      <c r="A167" s="258"/>
      <c r="B167" s="258"/>
      <c r="C167" s="258"/>
    </row>
    <row r="168" spans="1:3">
      <c r="A168" s="258"/>
      <c r="B168" s="258"/>
      <c r="C168" s="258"/>
    </row>
    <row r="169" spans="1:3">
      <c r="A169" s="258"/>
      <c r="B169" s="258"/>
      <c r="C169" s="258"/>
    </row>
    <row r="170" spans="1:3">
      <c r="A170" s="258"/>
      <c r="B170" s="258"/>
      <c r="C170" s="258"/>
    </row>
    <row r="171" spans="1:3">
      <c r="A171" s="258"/>
      <c r="B171" s="258"/>
      <c r="C171" s="258"/>
    </row>
    <row r="172" spans="1:3">
      <c r="A172" s="258"/>
      <c r="B172" s="258"/>
      <c r="C172" s="258"/>
    </row>
    <row r="173" spans="1:3">
      <c r="A173" s="258"/>
      <c r="B173" s="258"/>
      <c r="C173" s="258"/>
    </row>
    <row r="174" spans="1:3">
      <c r="A174" s="258"/>
      <c r="B174" s="258"/>
      <c r="C174" s="258"/>
    </row>
    <row r="175" spans="1:3">
      <c r="A175" s="258"/>
      <c r="B175" s="258"/>
      <c r="C175" s="258"/>
    </row>
    <row r="176" spans="1:3">
      <c r="A176" s="258"/>
      <c r="B176" s="258"/>
      <c r="C176" s="258"/>
    </row>
    <row r="177" spans="1:3">
      <c r="A177" s="258"/>
      <c r="B177" s="258"/>
      <c r="C177" s="258"/>
    </row>
    <row r="178" spans="1:3">
      <c r="A178" s="258"/>
      <c r="B178" s="258"/>
      <c r="C178" s="258"/>
    </row>
    <row r="179" spans="1:3">
      <c r="A179" s="258"/>
      <c r="B179" s="258"/>
      <c r="C179" s="258"/>
    </row>
    <row r="180" spans="1:3">
      <c r="A180" s="258"/>
      <c r="B180" s="258"/>
      <c r="C180" s="258"/>
    </row>
    <row r="181" spans="1:3">
      <c r="A181" s="258"/>
      <c r="B181" s="258"/>
      <c r="C181" s="258"/>
    </row>
    <row r="182" spans="1:3">
      <c r="A182" s="258"/>
      <c r="B182" s="258"/>
      <c r="C182" s="258"/>
    </row>
    <row r="183" spans="1:3">
      <c r="A183" s="258"/>
      <c r="B183" s="258"/>
      <c r="C183" s="258"/>
    </row>
    <row r="184" spans="1:3">
      <c r="A184" s="258"/>
      <c r="B184" s="258"/>
      <c r="C184" s="258"/>
    </row>
    <row r="185" spans="1:3">
      <c r="A185" s="258"/>
      <c r="B185" s="258"/>
      <c r="C185" s="258"/>
    </row>
    <row r="186" spans="1:3">
      <c r="A186" s="258"/>
      <c r="B186" s="258"/>
      <c r="C186" s="258"/>
    </row>
    <row r="187" spans="1:3">
      <c r="A187" s="258"/>
      <c r="B187" s="258"/>
      <c r="C187" s="258"/>
    </row>
    <row r="188" spans="1:3" hidden="1">
      <c r="A188" s="258"/>
      <c r="B188" s="258" t="s">
        <v>340</v>
      </c>
      <c r="C188" s="258"/>
    </row>
    <row r="189" spans="1:3" hidden="1">
      <c r="A189" s="258"/>
      <c r="B189" s="258" t="s">
        <v>342</v>
      </c>
      <c r="C189" s="238" t="s">
        <v>341</v>
      </c>
    </row>
    <row r="190" spans="1:3" hidden="1">
      <c r="A190" s="258"/>
      <c r="B190" s="258" t="s">
        <v>342</v>
      </c>
      <c r="C190" s="260" t="s">
        <v>339</v>
      </c>
    </row>
    <row r="191" spans="1:3" hidden="1">
      <c r="A191" s="258"/>
      <c r="B191" s="258" t="s">
        <v>342</v>
      </c>
      <c r="C191" s="260" t="s">
        <v>383</v>
      </c>
    </row>
    <row r="192" spans="1:3" hidden="1">
      <c r="A192" s="258"/>
      <c r="B192" s="258" t="s">
        <v>342</v>
      </c>
      <c r="C192" s="260" t="s">
        <v>382</v>
      </c>
    </row>
    <row r="193" spans="1:3" hidden="1">
      <c r="A193" s="258"/>
      <c r="B193" s="258"/>
      <c r="C193" s="258"/>
    </row>
    <row r="194" spans="1:3" hidden="1">
      <c r="A194" s="258"/>
      <c r="B194" s="258"/>
      <c r="C194" s="258"/>
    </row>
    <row r="195" spans="1:3" hidden="1">
      <c r="A195" s="258"/>
      <c r="B195" s="258"/>
      <c r="C195" s="258"/>
    </row>
    <row r="196" spans="1:3" hidden="1">
      <c r="A196" s="258"/>
      <c r="B196" s="258"/>
      <c r="C196" s="258"/>
    </row>
    <row r="197" spans="1:3" hidden="1">
      <c r="A197" s="258"/>
      <c r="B197" s="258"/>
      <c r="C197" s="258"/>
    </row>
    <row r="198" spans="1:3">
      <c r="A198" s="258"/>
      <c r="B198" s="258"/>
      <c r="C198" s="258"/>
    </row>
    <row r="199" spans="1:3">
      <c r="A199" s="258"/>
      <c r="B199" s="258"/>
      <c r="C199" s="258"/>
    </row>
    <row r="200" spans="1:3">
      <c r="A200" s="258"/>
      <c r="B200" s="258"/>
      <c r="C200" s="258"/>
    </row>
    <row r="201" spans="1:3">
      <c r="A201" s="258"/>
      <c r="B201" s="258"/>
      <c r="C201" s="258"/>
    </row>
    <row r="202" spans="1:3">
      <c r="A202" s="258"/>
      <c r="B202" s="258"/>
      <c r="C202" s="258"/>
    </row>
    <row r="203" spans="1:3">
      <c r="A203" s="258"/>
      <c r="B203" s="258"/>
      <c r="C203" s="258"/>
    </row>
    <row r="204" spans="1:3">
      <c r="A204" s="258"/>
      <c r="B204" s="258"/>
      <c r="C204" s="258"/>
    </row>
    <row r="205" spans="1:3">
      <c r="A205" s="258"/>
      <c r="B205" s="258"/>
      <c r="C205" s="258"/>
    </row>
    <row r="206" spans="1:3">
      <c r="A206" s="258"/>
      <c r="B206" s="258"/>
      <c r="C206" s="258"/>
    </row>
    <row r="207" spans="1:3">
      <c r="A207" s="258"/>
      <c r="B207" s="258"/>
      <c r="C207" s="258"/>
    </row>
    <row r="208" spans="1:3">
      <c r="A208" s="258"/>
      <c r="B208" s="258"/>
      <c r="C208" s="258"/>
    </row>
    <row r="209" spans="1:3">
      <c r="A209" s="258"/>
      <c r="B209" s="258"/>
      <c r="C209" s="258"/>
    </row>
    <row r="210" spans="1:3">
      <c r="A210" s="258"/>
      <c r="B210" s="258"/>
      <c r="C210" s="258"/>
    </row>
    <row r="211" spans="1:3">
      <c r="A211" s="258"/>
      <c r="B211" s="258"/>
      <c r="C211" s="258"/>
    </row>
    <row r="212" spans="1:3">
      <c r="A212" s="258"/>
      <c r="B212" s="258"/>
      <c r="C212" s="258"/>
    </row>
    <row r="213" spans="1:3">
      <c r="A213" s="258"/>
      <c r="B213" s="258"/>
      <c r="C213" s="258"/>
    </row>
    <row r="214" spans="1:3">
      <c r="A214" s="258"/>
      <c r="B214" s="258"/>
      <c r="C214" s="258"/>
    </row>
    <row r="215" spans="1:3">
      <c r="A215" s="258"/>
      <c r="B215" s="258"/>
      <c r="C215" s="258"/>
    </row>
    <row r="216" spans="1:3">
      <c r="A216" s="258"/>
      <c r="B216" s="258"/>
      <c r="C216" s="258"/>
    </row>
    <row r="217" spans="1:3">
      <c r="A217" s="258"/>
      <c r="B217" s="258"/>
      <c r="C217" s="258"/>
    </row>
    <row r="218" spans="1:3">
      <c r="A218" s="258"/>
      <c r="B218" s="258"/>
      <c r="C218" s="258"/>
    </row>
    <row r="219" spans="1:3">
      <c r="A219" s="258"/>
      <c r="B219" s="258"/>
      <c r="C219" s="258"/>
    </row>
    <row r="220" spans="1:3">
      <c r="A220" s="258"/>
      <c r="B220" s="258"/>
      <c r="C220" s="258"/>
    </row>
    <row r="221" spans="1:3">
      <c r="A221" s="258"/>
      <c r="B221" s="258"/>
      <c r="C221" s="258"/>
    </row>
    <row r="222" spans="1:3">
      <c r="A222" s="258"/>
      <c r="B222" s="258"/>
      <c r="C222" s="258"/>
    </row>
    <row r="223" spans="1:3">
      <c r="A223" s="258"/>
      <c r="B223" s="258"/>
      <c r="C223" s="258"/>
    </row>
    <row r="306" spans="3:3">
      <c r="C306" s="238" t="s">
        <v>135</v>
      </c>
    </row>
    <row r="307" spans="3:3">
      <c r="C307" s="238" t="s">
        <v>136</v>
      </c>
    </row>
    <row r="308" spans="3:3">
      <c r="C308" s="238" t="s">
        <v>137</v>
      </c>
    </row>
    <row r="309" spans="3:3">
      <c r="C309" s="238" t="s">
        <v>138</v>
      </c>
    </row>
    <row r="310" spans="3:3">
      <c r="C310" s="238" t="s">
        <v>139</v>
      </c>
    </row>
    <row r="311" spans="3:3">
      <c r="C311" s="238" t="s">
        <v>140</v>
      </c>
    </row>
    <row r="312" spans="3:3">
      <c r="C312" s="238" t="s">
        <v>141</v>
      </c>
    </row>
    <row r="313" spans="3:3">
      <c r="C313" s="238" t="s">
        <v>146</v>
      </c>
    </row>
  </sheetData>
  <mergeCells count="29">
    <mergeCell ref="B29:C29"/>
    <mergeCell ref="B106:C106"/>
    <mergeCell ref="A138:C138"/>
    <mergeCell ref="A140:C140"/>
    <mergeCell ref="D6:D8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7:C27"/>
    <mergeCell ref="B20:C20"/>
    <mergeCell ref="A6:C8"/>
    <mergeCell ref="A9:C9"/>
    <mergeCell ref="A10:C10"/>
    <mergeCell ref="B11:C11"/>
    <mergeCell ref="B13:C13"/>
    <mergeCell ref="B14:C14"/>
    <mergeCell ref="I6:I8"/>
    <mergeCell ref="E6:E8"/>
    <mergeCell ref="F6:F8"/>
    <mergeCell ref="G6:G8"/>
    <mergeCell ref="H6:H8"/>
  </mergeCells>
  <pageMargins left="0.75" right="0" top="0.75" bottom="0.75" header="0.3" footer="0.3"/>
  <pageSetup scale="8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2:CI336"/>
  <sheetViews>
    <sheetView workbookViewId="0">
      <pane xSplit="3" ySplit="9" topLeftCell="D49" activePane="bottomRight" state="frozen"/>
      <selection pane="topRight" activeCell="D1" sqref="D1"/>
      <selection pane="bottomLeft" activeCell="A4" sqref="A4"/>
      <selection pane="bottomRight" activeCell="C59" sqref="C59"/>
    </sheetView>
  </sheetViews>
  <sheetFormatPr defaultRowHeight="15.75"/>
  <cols>
    <col min="1" max="1" width="2" style="262" customWidth="1"/>
    <col min="2" max="2" width="5.7109375" style="262" customWidth="1"/>
    <col min="3" max="3" width="33" style="262" customWidth="1"/>
    <col min="4" max="15" width="15.7109375" style="283" customWidth="1"/>
    <col min="16" max="16" width="17.140625" style="283" customWidth="1"/>
    <col min="17" max="25" width="15.140625" style="295" customWidth="1"/>
    <col min="26" max="49" width="15.140625" style="136" customWidth="1"/>
    <col min="50" max="64" width="15" style="125" customWidth="1"/>
    <col min="65" max="65" width="9.85546875" style="124" customWidth="1"/>
    <col min="66" max="66" width="12.5703125" style="124" bestFit="1" customWidth="1"/>
    <col min="67" max="87" width="9.140625" style="124"/>
  </cols>
  <sheetData>
    <row r="2" spans="1:87">
      <c r="A2" s="237" t="s">
        <v>537</v>
      </c>
      <c r="B2" s="341"/>
      <c r="C2" s="342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95"/>
      <c r="O2" s="295"/>
      <c r="P2" s="295"/>
      <c r="AX2" s="125">
        <f>+O106+'CF 2017'!P105+'CF 2018'!P101+'CF 2019'!P100</f>
        <v>487281368</v>
      </c>
    </row>
    <row r="3" spans="1:87">
      <c r="A3" s="341" t="s">
        <v>226</v>
      </c>
      <c r="B3" s="341"/>
      <c r="C3" s="342"/>
      <c r="D3" s="227"/>
      <c r="E3" s="227"/>
      <c r="F3" s="227"/>
      <c r="G3" s="343"/>
      <c r="H3" s="343"/>
      <c r="I3" s="343">
        <v>2139828425</v>
      </c>
      <c r="J3" s="227"/>
      <c r="K3" s="227"/>
      <c r="L3" s="227"/>
      <c r="M3" s="227"/>
      <c r="N3" s="295"/>
      <c r="O3" s="295"/>
      <c r="P3" s="295"/>
    </row>
    <row r="4" spans="1:87">
      <c r="A4" s="341" t="s">
        <v>227</v>
      </c>
      <c r="B4" s="341"/>
      <c r="C4" s="342"/>
      <c r="D4" s="330"/>
      <c r="E4" s="330"/>
      <c r="F4" s="330"/>
      <c r="G4" s="344"/>
      <c r="H4" s="343">
        <v>339448122</v>
      </c>
      <c r="I4" s="343"/>
      <c r="J4" s="227"/>
      <c r="K4" s="227"/>
      <c r="L4" s="227"/>
      <c r="M4" s="227"/>
      <c r="N4" s="295"/>
      <c r="O4" s="295"/>
      <c r="P4" s="295"/>
      <c r="AY4" s="125">
        <v>339448122</v>
      </c>
    </row>
    <row r="5" spans="1:87" s="497" customFormat="1">
      <c r="A5" s="494"/>
      <c r="B5" s="494"/>
      <c r="C5" s="494"/>
      <c r="D5" s="343">
        <v>450000</v>
      </c>
      <c r="E5" s="343">
        <v>450000</v>
      </c>
      <c r="F5" s="343">
        <v>450000</v>
      </c>
      <c r="G5" s="343">
        <v>450000</v>
      </c>
      <c r="H5" s="343">
        <v>950000</v>
      </c>
      <c r="I5" s="343">
        <v>5450000</v>
      </c>
      <c r="J5" s="343">
        <v>800000</v>
      </c>
      <c r="K5" s="343">
        <v>6800000</v>
      </c>
      <c r="L5" s="343">
        <v>700000</v>
      </c>
      <c r="M5" s="343">
        <v>700000</v>
      </c>
      <c r="N5" s="495">
        <v>600000</v>
      </c>
      <c r="O5" s="495">
        <v>400000</v>
      </c>
      <c r="P5" s="495">
        <v>18200000</v>
      </c>
      <c r="Q5" s="495"/>
      <c r="R5" s="495"/>
      <c r="S5" s="495"/>
      <c r="T5" s="495"/>
      <c r="U5" s="495"/>
      <c r="V5" s="495"/>
      <c r="W5" s="495"/>
      <c r="X5" s="495"/>
      <c r="Y5" s="495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>
        <f>AY4-I5</f>
        <v>333998122</v>
      </c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496"/>
      <c r="BN5" s="496"/>
      <c r="BO5" s="496"/>
      <c r="BP5" s="496"/>
      <c r="BQ5" s="496"/>
      <c r="BR5" s="496"/>
      <c r="BS5" s="496"/>
      <c r="BT5" s="496"/>
      <c r="BU5" s="496"/>
      <c r="BV5" s="496"/>
      <c r="BW5" s="496"/>
      <c r="BX5" s="496"/>
      <c r="BY5" s="496"/>
      <c r="BZ5" s="496"/>
      <c r="CA5" s="496"/>
      <c r="CB5" s="496"/>
      <c r="CC5" s="496"/>
      <c r="CD5" s="496"/>
      <c r="CE5" s="496"/>
      <c r="CF5" s="496"/>
      <c r="CG5" s="496"/>
      <c r="CH5" s="496"/>
      <c r="CI5" s="496"/>
    </row>
    <row r="6" spans="1:87">
      <c r="A6" s="342"/>
      <c r="B6" s="342"/>
      <c r="C6" s="342"/>
      <c r="D6" s="227"/>
      <c r="E6" s="227"/>
      <c r="F6" s="227"/>
      <c r="G6" s="227"/>
      <c r="H6" s="227"/>
      <c r="I6" s="227"/>
      <c r="J6" s="227"/>
      <c r="K6" s="227"/>
      <c r="L6" s="227"/>
      <c r="M6" s="292"/>
      <c r="N6" s="295"/>
      <c r="O6" s="295"/>
      <c r="P6" s="295"/>
    </row>
    <row r="7" spans="1:87">
      <c r="A7" s="543" t="s">
        <v>1</v>
      </c>
      <c r="B7" s="544"/>
      <c r="C7" s="544"/>
      <c r="D7" s="559" t="s">
        <v>3</v>
      </c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1"/>
      <c r="P7" s="556" t="s">
        <v>235</v>
      </c>
      <c r="Q7" s="328"/>
      <c r="R7" s="328"/>
      <c r="S7" s="328"/>
      <c r="T7" s="328"/>
      <c r="U7" s="328"/>
      <c r="V7" s="328"/>
      <c r="W7" s="328"/>
      <c r="X7" s="328"/>
      <c r="Y7" s="328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78"/>
      <c r="AY7" s="558" t="s">
        <v>235</v>
      </c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</row>
    <row r="8" spans="1:87">
      <c r="A8" s="545"/>
      <c r="B8" s="546"/>
      <c r="C8" s="546"/>
      <c r="D8" s="562" t="s">
        <v>126</v>
      </c>
      <c r="E8" s="563"/>
      <c r="F8" s="563"/>
      <c r="G8" s="563"/>
      <c r="H8" s="563"/>
      <c r="I8" s="563"/>
      <c r="J8" s="563"/>
      <c r="K8" s="563"/>
      <c r="L8" s="563"/>
      <c r="M8" s="563"/>
      <c r="N8" s="563"/>
      <c r="O8" s="564"/>
      <c r="P8" s="557"/>
      <c r="Q8" s="328"/>
      <c r="R8" s="328"/>
      <c r="S8" s="328"/>
      <c r="T8" s="328"/>
      <c r="U8" s="328"/>
      <c r="V8" s="328"/>
      <c r="W8" s="328"/>
      <c r="X8" s="328"/>
      <c r="Y8" s="328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79"/>
      <c r="AY8" s="558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</row>
    <row r="9" spans="1:87">
      <c r="A9" s="545"/>
      <c r="B9" s="546"/>
      <c r="C9" s="546"/>
      <c r="D9" s="241" t="s">
        <v>4</v>
      </c>
      <c r="E9" s="241" t="s">
        <v>5</v>
      </c>
      <c r="F9" s="241" t="s">
        <v>6</v>
      </c>
      <c r="G9" s="241" t="s">
        <v>7</v>
      </c>
      <c r="H9" s="241" t="s">
        <v>8</v>
      </c>
      <c r="I9" s="241" t="s">
        <v>9</v>
      </c>
      <c r="J9" s="241" t="s">
        <v>127</v>
      </c>
      <c r="K9" s="241" t="s">
        <v>129</v>
      </c>
      <c r="L9" s="337" t="s">
        <v>142</v>
      </c>
      <c r="M9" s="241" t="s">
        <v>131</v>
      </c>
      <c r="N9" s="337" t="s">
        <v>132</v>
      </c>
      <c r="O9" s="337" t="s">
        <v>133</v>
      </c>
      <c r="P9" s="557"/>
      <c r="Q9" s="328"/>
      <c r="R9" s="328"/>
      <c r="S9" s="328"/>
      <c r="T9" s="328"/>
      <c r="U9" s="328"/>
      <c r="V9" s="328"/>
      <c r="W9" s="328"/>
      <c r="X9" s="328"/>
      <c r="Y9" s="328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80"/>
      <c r="AY9" s="558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87">
      <c r="A10" s="545" t="s">
        <v>236</v>
      </c>
      <c r="B10" s="546"/>
      <c r="C10" s="546"/>
      <c r="D10" s="241"/>
      <c r="E10" s="241">
        <f>E11-D11</f>
        <v>5.0300000000000011</v>
      </c>
      <c r="F10" s="241">
        <f t="shared" ref="F10:J10" si="0">F11-E11</f>
        <v>3.8399999999999892</v>
      </c>
      <c r="G10" s="241">
        <f t="shared" si="0"/>
        <v>-1.0599999999999881</v>
      </c>
      <c r="H10" s="241">
        <f t="shared" si="0"/>
        <v>-3.1400000000000006</v>
      </c>
      <c r="I10" s="337">
        <f t="shared" si="0"/>
        <v>-10.969999999999999</v>
      </c>
      <c r="J10" s="241">
        <f t="shared" si="0"/>
        <v>1.6699999999999875</v>
      </c>
      <c r="K10" s="239">
        <v>0.04</v>
      </c>
      <c r="L10" s="239">
        <v>0.02</v>
      </c>
      <c r="M10" s="335">
        <f>M11-L11</f>
        <v>2</v>
      </c>
      <c r="N10" s="338">
        <f>N11-M11</f>
        <v>0</v>
      </c>
      <c r="O10" s="239">
        <f t="shared" ref="O10" si="1">O11-N11</f>
        <v>0</v>
      </c>
      <c r="P10" s="329"/>
      <c r="Q10" s="330"/>
      <c r="R10" s="330"/>
      <c r="S10" s="330"/>
      <c r="T10" s="330"/>
      <c r="U10" s="330"/>
      <c r="V10" s="330"/>
      <c r="W10" s="330"/>
      <c r="X10" s="330"/>
      <c r="Y10" s="330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21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87">
      <c r="A11" s="547" t="s">
        <v>134</v>
      </c>
      <c r="B11" s="548"/>
      <c r="C11" s="548"/>
      <c r="D11" s="253">
        <v>80.59</v>
      </c>
      <c r="E11" s="253">
        <v>85.62</v>
      </c>
      <c r="F11" s="253">
        <v>89.46</v>
      </c>
      <c r="G11" s="253">
        <v>88.4</v>
      </c>
      <c r="H11" s="253">
        <v>85.26</v>
      </c>
      <c r="I11" s="354">
        <v>74.290000000000006</v>
      </c>
      <c r="J11" s="253">
        <v>75.959999999999994</v>
      </c>
      <c r="K11" s="241">
        <v>84</v>
      </c>
      <c r="L11" s="241">
        <v>84</v>
      </c>
      <c r="M11" s="241">
        <v>86</v>
      </c>
      <c r="N11" s="337">
        <v>86</v>
      </c>
      <c r="O11" s="241">
        <v>86</v>
      </c>
      <c r="P11" s="331">
        <f>SUM(D11:O11)/12</f>
        <v>83.798333333333332</v>
      </c>
      <c r="Q11" s="227"/>
      <c r="R11" s="227"/>
      <c r="S11" s="227"/>
      <c r="T11" s="227"/>
      <c r="U11" s="227"/>
      <c r="V11" s="227"/>
      <c r="W11" s="227"/>
      <c r="X11" s="227"/>
      <c r="Y11" s="227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87">
      <c r="A12" s="243" t="s">
        <v>10</v>
      </c>
      <c r="B12" s="541" t="s">
        <v>11</v>
      </c>
      <c r="C12" s="541"/>
      <c r="D12" s="241">
        <v>509102793.48072398</v>
      </c>
      <c r="E12" s="241">
        <f>D134</f>
        <v>2295156009.4807243</v>
      </c>
      <c r="F12" s="241">
        <f t="shared" ref="F12:O12" si="2">E134</f>
        <v>989117143.42072487</v>
      </c>
      <c r="G12" s="241">
        <f t="shared" si="2"/>
        <v>852460989.90072536</v>
      </c>
      <c r="H12" s="241">
        <f t="shared" si="2"/>
        <v>1020612314.5707259</v>
      </c>
      <c r="I12" s="337">
        <f t="shared" si="2"/>
        <v>1053167937.2507267</v>
      </c>
      <c r="J12" s="241">
        <f t="shared" si="2"/>
        <v>552924010.34072685</v>
      </c>
      <c r="K12" s="241">
        <f t="shared" si="2"/>
        <v>703371846.34072685</v>
      </c>
      <c r="L12" s="241">
        <f t="shared" si="2"/>
        <v>494023502.40032673</v>
      </c>
      <c r="M12" s="241">
        <f t="shared" si="2"/>
        <v>1254418576.6793394</v>
      </c>
      <c r="N12" s="337">
        <f t="shared" si="2"/>
        <v>1382442602.2761555</v>
      </c>
      <c r="O12" s="241">
        <f t="shared" si="2"/>
        <v>2359253736.1188927</v>
      </c>
      <c r="P12" s="331"/>
      <c r="Q12" s="227"/>
      <c r="R12" s="227"/>
      <c r="S12" s="227"/>
      <c r="T12" s="227"/>
      <c r="U12" s="227"/>
      <c r="V12" s="227"/>
      <c r="W12" s="227"/>
      <c r="X12" s="227"/>
      <c r="Y12" s="227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87">
      <c r="A13" s="243"/>
      <c r="B13" s="462"/>
      <c r="C13" s="462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337"/>
      <c r="O13" s="241"/>
      <c r="P13" s="331"/>
      <c r="Q13" s="227"/>
      <c r="R13" s="227"/>
      <c r="S13" s="227"/>
      <c r="T13" s="227"/>
      <c r="U13" s="227"/>
      <c r="V13" s="227"/>
      <c r="W13" s="227"/>
      <c r="X13" s="227"/>
      <c r="Y13" s="227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87">
      <c r="A14" s="243" t="s">
        <v>12</v>
      </c>
      <c r="B14" s="541" t="s">
        <v>159</v>
      </c>
      <c r="C14" s="5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337"/>
      <c r="O14" s="241"/>
      <c r="P14" s="331"/>
      <c r="Q14" s="227"/>
      <c r="R14" s="227"/>
      <c r="S14" s="227"/>
      <c r="T14" s="227"/>
      <c r="U14" s="227"/>
      <c r="V14" s="227"/>
      <c r="W14" s="227"/>
      <c r="X14" s="227"/>
      <c r="Y14" s="227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87">
      <c r="A15" s="243"/>
      <c r="B15" s="542" t="s">
        <v>13</v>
      </c>
      <c r="C15" s="542"/>
      <c r="D15" s="241">
        <v>1226236460</v>
      </c>
      <c r="E15" s="241">
        <v>1245072187</v>
      </c>
      <c r="F15" s="241">
        <v>1490172832</v>
      </c>
      <c r="G15" s="241">
        <v>1448111058</v>
      </c>
      <c r="H15" s="241">
        <v>1373836626.6800001</v>
      </c>
      <c r="I15" s="241">
        <f>1268597408-113149374-50000000</f>
        <v>1105448034</v>
      </c>
      <c r="J15" s="241">
        <f>'[2]JULI (2)'!$D$29-'[2]JULI (2)'!$E$818</f>
        <v>1117171061</v>
      </c>
      <c r="K15" s="241">
        <f>J15+(K10*J15%)</f>
        <v>1117617929.4244001</v>
      </c>
      <c r="L15" s="241">
        <f>K15+(L10*K15%)</f>
        <v>1117841453.0102849</v>
      </c>
      <c r="M15" s="241">
        <f t="shared" ref="M15:O15" si="3">L15+(M10*L15%)</f>
        <v>1140198282.0704906</v>
      </c>
      <c r="N15" s="337">
        <f t="shared" si="3"/>
        <v>1140198282.0704906</v>
      </c>
      <c r="O15" s="241">
        <f t="shared" si="3"/>
        <v>1140198282.0704906</v>
      </c>
      <c r="P15" s="331">
        <f>SUM(D15:O15)</f>
        <v>14662102487.326155</v>
      </c>
      <c r="Q15" s="227"/>
      <c r="R15" s="227"/>
      <c r="S15" s="227"/>
      <c r="T15" s="227"/>
      <c r="U15" s="227"/>
      <c r="V15" s="227"/>
      <c r="W15" s="227"/>
      <c r="X15" s="227"/>
      <c r="Y15" s="227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87">
      <c r="A16" s="243"/>
      <c r="B16" s="542" t="s">
        <v>14</v>
      </c>
      <c r="C16" s="542"/>
      <c r="D16" s="241">
        <v>271454599</v>
      </c>
      <c r="E16" s="241">
        <v>325014189</v>
      </c>
      <c r="F16" s="241">
        <v>386263938</v>
      </c>
      <c r="G16" s="241">
        <v>348048968</v>
      </c>
      <c r="H16" s="241">
        <v>305974766</v>
      </c>
      <c r="I16" s="241">
        <v>308201859</v>
      </c>
      <c r="J16" s="241">
        <v>305606319</v>
      </c>
      <c r="K16" s="241">
        <f>J16+(K10*J16%)</f>
        <v>305728561.52759999</v>
      </c>
      <c r="L16" s="241">
        <f>K16+(L10*K16%)</f>
        <v>305789707.23990554</v>
      </c>
      <c r="M16" s="241">
        <f t="shared" ref="M16:O16" si="4">L16+(M10*L16%)</f>
        <v>311905501.38470364</v>
      </c>
      <c r="N16" s="337">
        <f t="shared" si="4"/>
        <v>311905501.38470364</v>
      </c>
      <c r="O16" s="241">
        <f t="shared" si="4"/>
        <v>311905501.38470364</v>
      </c>
      <c r="P16" s="331">
        <f t="shared" ref="P16:P81" si="5">SUM(D16:O16)</f>
        <v>3797799410.9216161</v>
      </c>
      <c r="Q16" s="227"/>
      <c r="R16" s="227"/>
      <c r="S16" s="227"/>
      <c r="T16" s="227"/>
      <c r="U16" s="227"/>
      <c r="V16" s="227"/>
      <c r="W16" s="227"/>
      <c r="X16" s="227"/>
      <c r="Y16" s="227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</row>
    <row r="17" spans="1:87" s="182" customFormat="1">
      <c r="A17" s="243"/>
      <c r="B17" s="542" t="str">
        <f>+'CF 2017'!B16:C16</f>
        <v>Pendapatan Alat Jantung</v>
      </c>
      <c r="C17" s="542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337">
        <f>10*4000000</f>
        <v>40000000</v>
      </c>
      <c r="O17" s="241">
        <f>N17</f>
        <v>40000000</v>
      </c>
      <c r="P17" s="331">
        <f t="shared" si="5"/>
        <v>80000000</v>
      </c>
      <c r="Q17" s="227"/>
      <c r="R17" s="227"/>
      <c r="S17" s="227"/>
      <c r="T17" s="227"/>
      <c r="U17" s="227"/>
      <c r="V17" s="227"/>
      <c r="W17" s="227"/>
      <c r="X17" s="227"/>
      <c r="Y17" s="227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124"/>
      <c r="BN17" s="124"/>
      <c r="BO17" s="124"/>
      <c r="BP17" s="124"/>
      <c r="BQ17" s="124"/>
      <c r="BR17" s="124"/>
      <c r="BS17" s="124"/>
      <c r="BT17" s="124"/>
      <c r="BU17" s="124"/>
      <c r="BV17" s="124"/>
      <c r="BW17" s="124"/>
      <c r="BX17" s="124"/>
      <c r="BY17" s="124"/>
      <c r="BZ17" s="124"/>
      <c r="CA17" s="124"/>
      <c r="CB17" s="124"/>
      <c r="CC17" s="124"/>
      <c r="CD17" s="124"/>
      <c r="CE17" s="124"/>
      <c r="CF17" s="124"/>
      <c r="CG17" s="124"/>
      <c r="CH17" s="124"/>
      <c r="CI17" s="124"/>
    </row>
    <row r="18" spans="1:87" s="124" customFormat="1">
      <c r="A18" s="243"/>
      <c r="B18" s="542" t="s">
        <v>233</v>
      </c>
      <c r="C18" s="542"/>
      <c r="D18" s="241">
        <f>1763628016+1684695696</f>
        <v>3448323712</v>
      </c>
      <c r="E18" s="241"/>
      <c r="F18" s="241">
        <f>'[3]MARET (2)'!$E$33</f>
        <v>1810047921</v>
      </c>
      <c r="G18" s="241">
        <f>'[3]APRIL (2)'!$E$24</f>
        <v>1894759925</v>
      </c>
      <c r="H18" s="241">
        <f>'[3]MEI (3)'!$E$19</f>
        <v>2143179750</v>
      </c>
      <c r="I18" s="241">
        <f>'[3]JUNI (2)'!$E$26</f>
        <v>2253989465</v>
      </c>
      <c r="J18" s="241">
        <f>'[3]JULI (2)'!$E$23</f>
        <v>2304494700</v>
      </c>
      <c r="K18" s="241">
        <f>+[3]AGUSTUS!$E$28</f>
        <v>2139828425</v>
      </c>
      <c r="L18" s="241">
        <f>+'[4]2016'!$B$14</f>
        <v>2279816696</v>
      </c>
      <c r="M18" s="241">
        <f>+K212</f>
        <v>2305416497.8800001</v>
      </c>
      <c r="N18" s="337">
        <f t="shared" ref="N18:O18" si="6">+L212</f>
        <v>2305877581.1795759</v>
      </c>
      <c r="O18" s="241">
        <f t="shared" si="6"/>
        <v>2328936356.9913716</v>
      </c>
      <c r="P18" s="331">
        <f t="shared" si="5"/>
        <v>25214671030.050949</v>
      </c>
      <c r="Q18" s="227"/>
      <c r="R18" s="227"/>
      <c r="S18" s="227"/>
      <c r="T18" s="227"/>
      <c r="U18" s="227"/>
      <c r="V18" s="227"/>
      <c r="W18" s="227"/>
      <c r="X18" s="227"/>
      <c r="Y18" s="227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87" s="124" customFormat="1">
      <c r="A19" s="243"/>
      <c r="B19" s="542" t="s">
        <v>234</v>
      </c>
      <c r="C19" s="542"/>
      <c r="D19" s="241">
        <f>4016106360.15-D18</f>
        <v>567782648.1500001</v>
      </c>
      <c r="E19" s="241">
        <v>403859135.04000002</v>
      </c>
      <c r="F19" s="241">
        <f>2132298920.05-F18</f>
        <v>322250999.04999995</v>
      </c>
      <c r="G19" s="241">
        <f>2182686860.23-G18</f>
        <v>287926935.23000002</v>
      </c>
      <c r="H19" s="241">
        <f>2497629488-H18</f>
        <v>354449738</v>
      </c>
      <c r="I19" s="241">
        <f>2759703062-I18-165370828</f>
        <v>340342769</v>
      </c>
      <c r="J19" s="241">
        <f>2856362126-J18</f>
        <v>551867426</v>
      </c>
      <c r="K19" s="241">
        <f>I19+(K10*I19%)</f>
        <v>340478906.10759997</v>
      </c>
      <c r="L19" s="241">
        <f>K19+(L10*K19%)</f>
        <v>340547001.88882148</v>
      </c>
      <c r="M19" s="241">
        <f>+L213</f>
        <v>340547001.88882148</v>
      </c>
      <c r="N19" s="337">
        <f t="shared" ref="N19:O19" si="7">+M213</f>
        <v>343952471.90770972</v>
      </c>
      <c r="O19" s="241">
        <f t="shared" si="7"/>
        <v>347391996.62678683</v>
      </c>
      <c r="P19" s="331">
        <f t="shared" si="5"/>
        <v>4541397028.88974</v>
      </c>
      <c r="Q19" s="227"/>
      <c r="R19" s="227"/>
      <c r="S19" s="227"/>
      <c r="T19" s="227"/>
      <c r="U19" s="227"/>
      <c r="V19" s="227"/>
      <c r="W19" s="227"/>
      <c r="X19" s="227"/>
      <c r="Y19" s="227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87" s="124" customFormat="1">
      <c r="A20" s="243"/>
      <c r="B20" s="542" t="s">
        <v>299</v>
      </c>
      <c r="C20" s="542"/>
      <c r="D20" s="241"/>
      <c r="E20" s="241"/>
      <c r="F20" s="241"/>
      <c r="G20" s="241"/>
      <c r="H20" s="241"/>
      <c r="I20" s="241"/>
      <c r="J20" s="241"/>
      <c r="K20" s="241"/>
      <c r="L20" s="241">
        <v>1000000000</v>
      </c>
      <c r="M20" s="241">
        <v>3000000000</v>
      </c>
      <c r="N20" s="337">
        <v>4000000000</v>
      </c>
      <c r="O20" s="241"/>
      <c r="P20" s="331">
        <f t="shared" si="5"/>
        <v>8000000000</v>
      </c>
      <c r="Q20" s="227"/>
      <c r="R20" s="227"/>
      <c r="S20" s="227"/>
      <c r="T20" s="227"/>
      <c r="U20" s="227"/>
      <c r="V20" s="227"/>
      <c r="W20" s="227"/>
      <c r="X20" s="227"/>
      <c r="Y20" s="227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80"/>
      <c r="AY20" s="80">
        <v>8000000000</v>
      </c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87" s="124" customFormat="1" ht="15.75" customHeight="1">
      <c r="A21" s="243"/>
      <c r="B21" s="542" t="s">
        <v>15</v>
      </c>
      <c r="C21" s="542"/>
      <c r="D21" s="241"/>
      <c r="E21" s="241"/>
      <c r="F21" s="241"/>
      <c r="G21" s="241">
        <v>10000000</v>
      </c>
      <c r="H21" s="241"/>
      <c r="I21" s="241"/>
      <c r="J21" s="241"/>
      <c r="K21" s="241"/>
      <c r="L21" s="241"/>
      <c r="M21" s="241"/>
      <c r="N21" s="337"/>
      <c r="O21" s="241"/>
      <c r="P21" s="331">
        <f t="shared" si="5"/>
        <v>10000000</v>
      </c>
      <c r="Q21" s="227"/>
      <c r="R21" s="227"/>
      <c r="S21" s="227"/>
      <c r="T21" s="227"/>
      <c r="U21" s="227"/>
      <c r="V21" s="227"/>
      <c r="W21" s="227"/>
      <c r="X21" s="227"/>
      <c r="Y21" s="227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87" s="124" customFormat="1">
      <c r="A22" s="243"/>
      <c r="B22" s="542" t="s">
        <v>555</v>
      </c>
      <c r="C22" s="542"/>
      <c r="D22" s="241"/>
      <c r="E22" s="241"/>
      <c r="F22" s="241"/>
      <c r="G22" s="241"/>
      <c r="H22" s="241">
        <v>20250000</v>
      </c>
      <c r="I22" s="241"/>
      <c r="J22" s="241"/>
      <c r="K22" s="241"/>
      <c r="L22" s="241"/>
      <c r="M22" s="241"/>
      <c r="N22" s="337"/>
      <c r="O22" s="241"/>
      <c r="P22" s="331">
        <f t="shared" si="5"/>
        <v>20250000</v>
      </c>
      <c r="Q22" s="227"/>
      <c r="R22" s="227"/>
      <c r="S22" s="227"/>
      <c r="T22" s="227"/>
      <c r="U22" s="227"/>
      <c r="V22" s="227"/>
      <c r="W22" s="227"/>
      <c r="X22" s="227"/>
      <c r="Y22" s="227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87" s="124" customFormat="1">
      <c r="A23" s="243"/>
      <c r="B23" s="542" t="s">
        <v>300</v>
      </c>
      <c r="C23" s="542"/>
      <c r="D23" s="241">
        <v>25313806</v>
      </c>
      <c r="E23" s="241"/>
      <c r="F23" s="241">
        <v>8335066</v>
      </c>
      <c r="G23" s="241"/>
      <c r="H23" s="241"/>
      <c r="I23" s="241">
        <v>35674833</v>
      </c>
      <c r="J23" s="241"/>
      <c r="K23" s="241"/>
      <c r="L23" s="241"/>
      <c r="M23" s="241"/>
      <c r="N23" s="337"/>
      <c r="O23" s="241"/>
      <c r="P23" s="331">
        <f t="shared" si="5"/>
        <v>69323705</v>
      </c>
      <c r="Q23" s="227"/>
      <c r="R23" s="227"/>
      <c r="S23" s="227"/>
      <c r="T23" s="227"/>
      <c r="U23" s="227"/>
      <c r="V23" s="227"/>
      <c r="W23" s="227"/>
      <c r="X23" s="227"/>
      <c r="Y23" s="227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87" s="124" customFormat="1">
      <c r="A24" s="243"/>
      <c r="B24" s="542" t="s">
        <v>17</v>
      </c>
      <c r="C24" s="542"/>
      <c r="D24" s="241"/>
      <c r="E24" s="241"/>
      <c r="F24" s="241"/>
      <c r="G24" s="241"/>
      <c r="H24" s="241"/>
      <c r="I24" s="241">
        <v>5000000</v>
      </c>
      <c r="J24" s="241">
        <v>12000000</v>
      </c>
      <c r="K24" s="241"/>
      <c r="L24" s="241"/>
      <c r="M24" s="241"/>
      <c r="N24" s="337"/>
      <c r="O24" s="241"/>
      <c r="P24" s="331">
        <f t="shared" si="5"/>
        <v>17000000</v>
      </c>
      <c r="Q24" s="227"/>
      <c r="R24" s="227"/>
      <c r="S24" s="227"/>
      <c r="T24" s="227"/>
      <c r="U24" s="227"/>
      <c r="V24" s="227"/>
      <c r="W24" s="227"/>
      <c r="X24" s="227"/>
      <c r="Y24" s="227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87" s="124" customFormat="1">
      <c r="A25" s="243"/>
      <c r="B25" s="542" t="s">
        <v>18</v>
      </c>
      <c r="C25" s="542"/>
      <c r="D25" s="241">
        <v>26000000</v>
      </c>
      <c r="E25" s="241"/>
      <c r="F25" s="241">
        <v>12000000</v>
      </c>
      <c r="G25" s="241"/>
      <c r="H25" s="241"/>
      <c r="I25" s="241"/>
      <c r="J25" s="241"/>
      <c r="K25" s="241"/>
      <c r="L25" s="241"/>
      <c r="M25" s="241"/>
      <c r="N25" s="337"/>
      <c r="O25" s="241"/>
      <c r="P25" s="331">
        <f t="shared" si="5"/>
        <v>38000000</v>
      </c>
      <c r="Q25" s="227"/>
      <c r="R25" s="227"/>
      <c r="S25" s="227"/>
      <c r="T25" s="227"/>
      <c r="U25" s="227"/>
      <c r="V25" s="227"/>
      <c r="W25" s="227"/>
      <c r="X25" s="227"/>
      <c r="Y25" s="227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87" s="124" customFormat="1">
      <c r="A26" s="243"/>
      <c r="B26" s="542" t="s">
        <v>219</v>
      </c>
      <c r="C26" s="542"/>
      <c r="D26" s="241">
        <v>119817100</v>
      </c>
      <c r="E26" s="241">
        <v>113985608</v>
      </c>
      <c r="F26" s="241">
        <v>131553548</v>
      </c>
      <c r="G26" s="241">
        <v>221390411</v>
      </c>
      <c r="H26" s="241">
        <v>272052525</v>
      </c>
      <c r="I26" s="241">
        <v>287442928</v>
      </c>
      <c r="J26" s="241">
        <v>291178944</v>
      </c>
      <c r="K26" s="241">
        <v>242296141</v>
      </c>
      <c r="L26" s="241">
        <f>K26+(K26*K10)</f>
        <v>251987986.63999999</v>
      </c>
      <c r="M26" s="241">
        <f>L26+(L26*L10)</f>
        <v>257027746.37279999</v>
      </c>
      <c r="N26" s="337">
        <f>M26+(M26*M10%)</f>
        <v>262168301.30025598</v>
      </c>
      <c r="O26" s="241">
        <f>N26+(N26*N10%)</f>
        <v>262168301.30025598</v>
      </c>
      <c r="P26" s="331">
        <f t="shared" si="5"/>
        <v>2713069540.6133113</v>
      </c>
      <c r="Q26" s="227"/>
      <c r="R26" s="227"/>
      <c r="S26" s="227"/>
      <c r="T26" s="227"/>
      <c r="U26" s="227"/>
      <c r="V26" s="227"/>
      <c r="W26" s="227"/>
      <c r="X26" s="227"/>
      <c r="Y26" s="227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87" s="124" customFormat="1">
      <c r="A27" s="243"/>
      <c r="B27" s="542" t="s">
        <v>220</v>
      </c>
      <c r="C27" s="542"/>
      <c r="D27" s="241">
        <v>1083726.8500000001</v>
      </c>
      <c r="E27" s="241">
        <v>766658.9</v>
      </c>
      <c r="F27" s="241">
        <v>984887</v>
      </c>
      <c r="G27" s="241">
        <v>915692</v>
      </c>
      <c r="H27" s="241"/>
      <c r="I27" s="241"/>
      <c r="J27" s="241"/>
      <c r="K27" s="241"/>
      <c r="L27" s="241"/>
      <c r="M27" s="241"/>
      <c r="N27" s="337"/>
      <c r="O27" s="241"/>
      <c r="P27" s="331">
        <f t="shared" si="5"/>
        <v>3750964.75</v>
      </c>
      <c r="Q27" s="227"/>
      <c r="R27" s="227"/>
      <c r="S27" s="227"/>
      <c r="T27" s="227"/>
      <c r="U27" s="227"/>
      <c r="V27" s="227"/>
      <c r="W27" s="227"/>
      <c r="X27" s="227"/>
      <c r="Y27" s="227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</row>
    <row r="28" spans="1:87" s="124" customFormat="1">
      <c r="A28" s="243"/>
      <c r="B28" s="541" t="s">
        <v>216</v>
      </c>
      <c r="C28" s="541"/>
      <c r="D28" s="245">
        <f>SUM(D15:D27)</f>
        <v>5686012052</v>
      </c>
      <c r="E28" s="245">
        <f t="shared" ref="E28:O28" si="8">SUM(E15:E27)</f>
        <v>2088697777.9400001</v>
      </c>
      <c r="F28" s="245">
        <f t="shared" si="8"/>
        <v>4161609191.0500002</v>
      </c>
      <c r="G28" s="245">
        <f t="shared" si="8"/>
        <v>4211152989.23</v>
      </c>
      <c r="H28" s="245">
        <f t="shared" si="8"/>
        <v>4469743405.6800003</v>
      </c>
      <c r="I28" s="245">
        <f t="shared" si="8"/>
        <v>4336099888</v>
      </c>
      <c r="J28" s="245">
        <f t="shared" si="8"/>
        <v>4582318450</v>
      </c>
      <c r="K28" s="245">
        <f t="shared" si="8"/>
        <v>4145949963.0595999</v>
      </c>
      <c r="L28" s="245">
        <f t="shared" si="8"/>
        <v>5295982844.7790127</v>
      </c>
      <c r="M28" s="245">
        <f t="shared" si="8"/>
        <v>7355095029.5968161</v>
      </c>
      <c r="N28" s="339">
        <f t="shared" si="8"/>
        <v>8404102137.8427362</v>
      </c>
      <c r="O28" s="245">
        <f t="shared" si="8"/>
        <v>4430600438.3736086</v>
      </c>
      <c r="P28" s="332">
        <f t="shared" si="5"/>
        <v>59167364167.551781</v>
      </c>
      <c r="Q28" s="333"/>
      <c r="R28" s="333"/>
      <c r="S28" s="333"/>
      <c r="T28" s="333"/>
      <c r="U28" s="333"/>
      <c r="V28" s="333"/>
      <c r="W28" s="333"/>
      <c r="X28" s="333"/>
      <c r="Y28" s="33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82">
        <f>+'[5]CF 2016'!$P$25</f>
        <v>51283899227.304123</v>
      </c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</row>
    <row r="29" spans="1:87" s="124" customFormat="1">
      <c r="A29" s="243"/>
      <c r="B29" s="460"/>
      <c r="C29" s="460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339"/>
      <c r="O29" s="245"/>
      <c r="P29" s="332">
        <f t="shared" si="5"/>
        <v>0</v>
      </c>
      <c r="Q29" s="333"/>
      <c r="R29" s="333"/>
      <c r="S29" s="333"/>
      <c r="T29" s="333"/>
      <c r="U29" s="333"/>
      <c r="V29" s="333"/>
      <c r="W29" s="333"/>
      <c r="X29" s="333"/>
      <c r="Y29" s="33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</row>
    <row r="30" spans="1:87" s="124" customFormat="1" ht="31.5" customHeight="1">
      <c r="A30" s="243" t="s">
        <v>19</v>
      </c>
      <c r="B30" s="541" t="s">
        <v>217</v>
      </c>
      <c r="C30" s="541"/>
      <c r="D30" s="245">
        <f t="shared" ref="D30:O30" si="9">+D28+D12</f>
        <v>6195114845.4807243</v>
      </c>
      <c r="E30" s="245">
        <f t="shared" si="9"/>
        <v>4383853787.4207249</v>
      </c>
      <c r="F30" s="245">
        <f t="shared" si="9"/>
        <v>5150726334.4707251</v>
      </c>
      <c r="G30" s="245">
        <f t="shared" si="9"/>
        <v>5063613979.1307259</v>
      </c>
      <c r="H30" s="245">
        <f t="shared" si="9"/>
        <v>5490355720.2507267</v>
      </c>
      <c r="I30" s="245">
        <f t="shared" si="9"/>
        <v>5389267825.2507267</v>
      </c>
      <c r="J30" s="245">
        <f t="shared" si="9"/>
        <v>5135242460.3407269</v>
      </c>
      <c r="K30" s="245">
        <f t="shared" si="9"/>
        <v>4849321809.4003267</v>
      </c>
      <c r="L30" s="245">
        <f t="shared" si="9"/>
        <v>5790006347.1793394</v>
      </c>
      <c r="M30" s="245">
        <f t="shared" si="9"/>
        <v>8609513606.2761555</v>
      </c>
      <c r="N30" s="339">
        <f t="shared" si="9"/>
        <v>9786544740.1188927</v>
      </c>
      <c r="O30" s="245">
        <f t="shared" si="9"/>
        <v>6789854174.4925013</v>
      </c>
      <c r="P30" s="332">
        <f>P28+D12</f>
        <v>59676466961.032501</v>
      </c>
      <c r="Q30" s="333"/>
      <c r="R30" s="333"/>
      <c r="S30" s="333"/>
      <c r="T30" s="333"/>
      <c r="U30" s="333"/>
      <c r="V30" s="333"/>
      <c r="W30" s="333"/>
      <c r="X30" s="333"/>
      <c r="Y30" s="33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</row>
    <row r="31" spans="1:87" s="124" customFormat="1">
      <c r="A31" s="243"/>
      <c r="B31" s="462"/>
      <c r="C31" s="460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337"/>
      <c r="O31" s="241"/>
      <c r="P31" s="331">
        <f t="shared" si="5"/>
        <v>0</v>
      </c>
      <c r="Q31" s="227"/>
      <c r="R31" s="227"/>
      <c r="S31" s="227"/>
      <c r="T31" s="227"/>
      <c r="U31" s="227"/>
      <c r="V31" s="227"/>
      <c r="W31" s="227"/>
      <c r="X31" s="227"/>
      <c r="Y31" s="227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87" s="124" customFormat="1">
      <c r="A32" s="243"/>
      <c r="B32" s="541" t="s">
        <v>20</v>
      </c>
      <c r="C32" s="541"/>
      <c r="D32" s="541"/>
      <c r="E32" s="241"/>
      <c r="F32" s="241"/>
      <c r="G32" s="241"/>
      <c r="H32" s="241"/>
      <c r="I32" s="241"/>
      <c r="J32" s="241"/>
      <c r="K32" s="241"/>
      <c r="L32" s="241"/>
      <c r="M32" s="241"/>
      <c r="N32" s="337"/>
      <c r="O32" s="241"/>
      <c r="P32" s="331">
        <f t="shared" si="5"/>
        <v>0</v>
      </c>
      <c r="Q32" s="227"/>
      <c r="R32" s="227"/>
      <c r="S32" s="227"/>
      <c r="T32" s="227"/>
      <c r="U32" s="227"/>
      <c r="V32" s="227"/>
      <c r="W32" s="227"/>
      <c r="X32" s="227"/>
      <c r="Y32" s="227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6" s="124" customFormat="1">
      <c r="A33" s="243"/>
      <c r="B33" s="247" t="s">
        <v>21</v>
      </c>
      <c r="C33" s="248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337"/>
      <c r="O33" s="241"/>
      <c r="P33" s="331">
        <f t="shared" si="5"/>
        <v>0</v>
      </c>
      <c r="Q33" s="227"/>
      <c r="R33" s="227"/>
      <c r="S33" s="227"/>
      <c r="T33" s="227"/>
      <c r="U33" s="227"/>
      <c r="V33" s="227"/>
      <c r="W33" s="227"/>
      <c r="X33" s="227"/>
      <c r="Y33" s="227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6" s="124" customFormat="1">
      <c r="A34" s="243"/>
      <c r="B34" s="247"/>
      <c r="C34" s="248"/>
      <c r="D34" s="241"/>
      <c r="E34" s="241"/>
      <c r="F34" s="241"/>
      <c r="G34" s="241"/>
      <c r="H34" s="241"/>
      <c r="I34" s="241"/>
      <c r="J34" s="241"/>
      <c r="K34" s="241"/>
      <c r="L34" s="241"/>
      <c r="M34" s="241"/>
      <c r="N34" s="337"/>
      <c r="O34" s="241"/>
      <c r="P34" s="331">
        <f t="shared" si="5"/>
        <v>0</v>
      </c>
      <c r="Q34" s="227"/>
      <c r="R34" s="227"/>
      <c r="S34" s="227"/>
      <c r="T34" s="227"/>
      <c r="U34" s="227"/>
      <c r="V34" s="227"/>
      <c r="W34" s="227"/>
      <c r="X34" s="227"/>
      <c r="Y34" s="227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</row>
    <row r="35" spans="1:66" s="124" customFormat="1">
      <c r="A35" s="243"/>
      <c r="B35" s="248">
        <v>6400</v>
      </c>
      <c r="C35" s="248" t="s">
        <v>22</v>
      </c>
      <c r="D35" s="241">
        <v>494456175</v>
      </c>
      <c r="E35" s="241">
        <v>462525669</v>
      </c>
      <c r="F35" s="241">
        <v>478106827</v>
      </c>
      <c r="G35" s="241">
        <v>523827334</v>
      </c>
      <c r="H35" s="241">
        <v>581732789</v>
      </c>
      <c r="I35" s="241">
        <v>582433766</v>
      </c>
      <c r="J35" s="241">
        <v>596053062</v>
      </c>
      <c r="K35" s="241">
        <v>630000000</v>
      </c>
      <c r="L35" s="241">
        <v>630000000</v>
      </c>
      <c r="M35" s="241">
        <v>630000000</v>
      </c>
      <c r="N35" s="337">
        <v>630000000</v>
      </c>
      <c r="O35" s="241">
        <v>630000000</v>
      </c>
      <c r="P35" s="331">
        <f t="shared" si="5"/>
        <v>6869135622</v>
      </c>
      <c r="Q35" s="227"/>
      <c r="R35" s="227"/>
      <c r="S35" s="227"/>
      <c r="T35" s="227"/>
      <c r="U35" s="227"/>
      <c r="V35" s="227"/>
      <c r="W35" s="227"/>
      <c r="X35" s="227"/>
      <c r="Y35" s="227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80"/>
      <c r="AY35" s="80">
        <v>500</v>
      </c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N35" s="129">
        <v>500</v>
      </c>
    </row>
    <row r="36" spans="1:66" s="124" customFormat="1">
      <c r="A36" s="243"/>
      <c r="B36" s="248">
        <v>6401</v>
      </c>
      <c r="C36" s="248" t="s">
        <v>23</v>
      </c>
      <c r="D36" s="241">
        <v>7219054</v>
      </c>
      <c r="E36" s="241">
        <v>2684105</v>
      </c>
      <c r="F36" s="241">
        <v>4714785</v>
      </c>
      <c r="G36" s="241">
        <v>4666708</v>
      </c>
      <c r="H36" s="241">
        <v>5967257</v>
      </c>
      <c r="I36" s="241">
        <v>7093060</v>
      </c>
      <c r="J36" s="241">
        <v>360000</v>
      </c>
      <c r="K36" s="241">
        <v>5500000</v>
      </c>
      <c r="L36" s="241">
        <v>5500000</v>
      </c>
      <c r="M36" s="241">
        <v>5500000</v>
      </c>
      <c r="N36" s="337">
        <f>+M36+(M36*$N$10%)</f>
        <v>5500000</v>
      </c>
      <c r="O36" s="241">
        <f>+N36+(N36*$O$10%)</f>
        <v>5500000</v>
      </c>
      <c r="P36" s="331">
        <f t="shared" si="5"/>
        <v>60204969</v>
      </c>
      <c r="Q36" s="227"/>
      <c r="R36" s="227"/>
      <c r="S36" s="227"/>
      <c r="T36" s="227"/>
      <c r="U36" s="227"/>
      <c r="V36" s="227"/>
      <c r="W36" s="227"/>
      <c r="X36" s="227"/>
      <c r="Y36" s="227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80"/>
      <c r="AY36" s="80">
        <v>5.5</v>
      </c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N36" s="129">
        <v>5.5</v>
      </c>
    </row>
    <row r="37" spans="1:66" s="124" customFormat="1">
      <c r="A37" s="243"/>
      <c r="B37" s="248">
        <v>6402</v>
      </c>
      <c r="C37" s="248" t="s">
        <v>644</v>
      </c>
      <c r="D37" s="241">
        <v>10410050</v>
      </c>
      <c r="E37" s="241">
        <v>3618300</v>
      </c>
      <c r="F37" s="241">
        <v>8370500</v>
      </c>
      <c r="G37" s="241">
        <v>725000</v>
      </c>
      <c r="H37" s="241">
        <v>4485300</v>
      </c>
      <c r="I37" s="241">
        <v>640800</v>
      </c>
      <c r="J37" s="241"/>
      <c r="K37" s="241">
        <f>+J37</f>
        <v>0</v>
      </c>
      <c r="L37" s="241">
        <v>69456766.5</v>
      </c>
      <c r="M37" s="241">
        <v>2000000</v>
      </c>
      <c r="N37" s="337">
        <f>+M37+(M37*$N$10%)</f>
        <v>2000000</v>
      </c>
      <c r="O37" s="241">
        <f t="shared" ref="O37:O100" si="10">+N37+(N37*$O$10%)</f>
        <v>2000000</v>
      </c>
      <c r="P37" s="331">
        <f t="shared" si="5"/>
        <v>103706716.5</v>
      </c>
      <c r="Q37" s="227"/>
      <c r="R37" s="227"/>
      <c r="S37" s="227"/>
      <c r="T37" s="227"/>
      <c r="U37" s="227"/>
      <c r="V37" s="227"/>
      <c r="W37" s="227"/>
      <c r="X37" s="227"/>
      <c r="Y37" s="227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80"/>
      <c r="AY37" s="80">
        <v>2</v>
      </c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N37" s="129">
        <v>29.582894249999995</v>
      </c>
    </row>
    <row r="38" spans="1:66" s="124" customFormat="1">
      <c r="A38" s="243"/>
      <c r="B38" s="248">
        <v>6403</v>
      </c>
      <c r="C38" s="248" t="s">
        <v>25</v>
      </c>
      <c r="D38" s="241"/>
      <c r="E38" s="241"/>
      <c r="F38" s="241"/>
      <c r="G38" s="241"/>
      <c r="H38" s="241"/>
      <c r="I38" s="241">
        <v>568267130</v>
      </c>
      <c r="J38" s="241"/>
      <c r="K38" s="241"/>
      <c r="L38" s="241">
        <v>0</v>
      </c>
      <c r="M38" s="241">
        <v>0</v>
      </c>
      <c r="N38" s="337">
        <f t="shared" ref="N38:N101" si="11">+M38+(M38*$N$10%)</f>
        <v>0</v>
      </c>
      <c r="O38" s="241">
        <f t="shared" si="10"/>
        <v>0</v>
      </c>
      <c r="P38" s="331">
        <f t="shared" si="5"/>
        <v>568267130</v>
      </c>
      <c r="Q38" s="227"/>
      <c r="R38" s="227"/>
      <c r="S38" s="227"/>
      <c r="T38" s="227"/>
      <c r="U38" s="227"/>
      <c r="V38" s="227"/>
      <c r="W38" s="227"/>
      <c r="X38" s="227"/>
      <c r="Y38" s="227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N38" s="129"/>
    </row>
    <row r="39" spans="1:66" s="124" customFormat="1">
      <c r="A39" s="243"/>
      <c r="B39" s="248">
        <v>6404</v>
      </c>
      <c r="C39" s="248" t="s">
        <v>26</v>
      </c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337">
        <f t="shared" si="11"/>
        <v>0</v>
      </c>
      <c r="O39" s="241">
        <f t="shared" si="10"/>
        <v>0</v>
      </c>
      <c r="P39" s="331">
        <f t="shared" si="5"/>
        <v>0</v>
      </c>
      <c r="Q39" s="227"/>
      <c r="R39" s="227"/>
      <c r="S39" s="227"/>
      <c r="T39" s="227"/>
      <c r="U39" s="227"/>
      <c r="V39" s="227"/>
      <c r="W39" s="227"/>
      <c r="X39" s="227"/>
      <c r="Y39" s="227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80"/>
      <c r="AY39" s="80">
        <v>120</v>
      </c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N39" s="129">
        <v>120</v>
      </c>
    </row>
    <row r="40" spans="1:66" s="124" customFormat="1">
      <c r="A40" s="243"/>
      <c r="B40" s="248">
        <v>6405</v>
      </c>
      <c r="C40" s="248" t="s">
        <v>27</v>
      </c>
      <c r="D40" s="241"/>
      <c r="E40" s="241">
        <v>338197</v>
      </c>
      <c r="F40" s="241">
        <v>338197</v>
      </c>
      <c r="G40" s="241"/>
      <c r="H40" s="241">
        <v>338197</v>
      </c>
      <c r="I40" s="241">
        <v>338197</v>
      </c>
      <c r="J40" s="241"/>
      <c r="K40" s="241">
        <v>350000</v>
      </c>
      <c r="L40" s="241">
        <f>+K40</f>
        <v>350000</v>
      </c>
      <c r="M40" s="241">
        <f>+L40</f>
        <v>350000</v>
      </c>
      <c r="N40" s="337">
        <f t="shared" si="11"/>
        <v>350000</v>
      </c>
      <c r="O40" s="241">
        <f t="shared" si="10"/>
        <v>350000</v>
      </c>
      <c r="P40" s="331">
        <f t="shared" si="5"/>
        <v>3102788</v>
      </c>
      <c r="Q40" s="227"/>
      <c r="R40" s="227"/>
      <c r="S40" s="227"/>
      <c r="T40" s="227"/>
      <c r="U40" s="227"/>
      <c r="V40" s="227"/>
      <c r="W40" s="227"/>
      <c r="X40" s="227"/>
      <c r="Y40" s="227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80"/>
      <c r="AY40" s="80">
        <v>0.25</v>
      </c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N40" s="129">
        <v>0.25</v>
      </c>
    </row>
    <row r="41" spans="1:66" s="124" customFormat="1">
      <c r="A41" s="243"/>
      <c r="B41" s="248">
        <v>6406</v>
      </c>
      <c r="C41" s="248" t="s">
        <v>28</v>
      </c>
      <c r="D41" s="241"/>
      <c r="E41" s="241"/>
      <c r="F41" s="241"/>
      <c r="G41" s="241"/>
      <c r="H41" s="241"/>
      <c r="I41" s="241"/>
      <c r="J41" s="241"/>
      <c r="K41" s="241"/>
      <c r="L41" s="241">
        <v>0</v>
      </c>
      <c r="M41" s="241">
        <v>0</v>
      </c>
      <c r="N41" s="337">
        <f t="shared" si="11"/>
        <v>0</v>
      </c>
      <c r="O41" s="241">
        <f t="shared" si="10"/>
        <v>0</v>
      </c>
      <c r="P41" s="331">
        <f t="shared" si="5"/>
        <v>0</v>
      </c>
      <c r="Q41" s="227"/>
      <c r="R41" s="227"/>
      <c r="S41" s="227"/>
      <c r="T41" s="227"/>
      <c r="U41" s="227"/>
      <c r="V41" s="227"/>
      <c r="W41" s="227"/>
      <c r="X41" s="227"/>
      <c r="Y41" s="227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N41" s="129"/>
    </row>
    <row r="42" spans="1:66" s="124" customFormat="1">
      <c r="A42" s="243"/>
      <c r="B42" s="248">
        <v>6407</v>
      </c>
      <c r="C42" s="248" t="s">
        <v>29</v>
      </c>
      <c r="D42" s="241"/>
      <c r="E42" s="241"/>
      <c r="F42" s="241"/>
      <c r="G42" s="241"/>
      <c r="H42" s="241"/>
      <c r="I42" s="241"/>
      <c r="J42" s="241"/>
      <c r="K42" s="241">
        <v>1000000</v>
      </c>
      <c r="L42" s="241">
        <v>1000000</v>
      </c>
      <c r="M42" s="241">
        <v>1000000</v>
      </c>
      <c r="N42" s="337">
        <f t="shared" si="11"/>
        <v>1000000</v>
      </c>
      <c r="O42" s="241">
        <f t="shared" si="10"/>
        <v>1000000</v>
      </c>
      <c r="P42" s="331">
        <f t="shared" si="5"/>
        <v>5000000</v>
      </c>
      <c r="Q42" s="227"/>
      <c r="R42" s="227"/>
      <c r="S42" s="227"/>
      <c r="T42" s="227"/>
      <c r="U42" s="227"/>
      <c r="V42" s="227"/>
      <c r="W42" s="227"/>
      <c r="X42" s="227"/>
      <c r="Y42" s="227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80"/>
      <c r="AY42" s="80">
        <v>1</v>
      </c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N42" s="129">
        <v>1</v>
      </c>
    </row>
    <row r="43" spans="1:66" s="182" customFormat="1" ht="31.5">
      <c r="A43" s="243"/>
      <c r="B43" s="248">
        <v>6408</v>
      </c>
      <c r="C43" s="250" t="s">
        <v>665</v>
      </c>
      <c r="D43" s="241">
        <v>600000</v>
      </c>
      <c r="E43" s="241">
        <v>5305013</v>
      </c>
      <c r="F43" s="241">
        <v>7150000</v>
      </c>
      <c r="G43" s="241">
        <v>28646000</v>
      </c>
      <c r="H43" s="241">
        <v>13090000</v>
      </c>
      <c r="I43" s="241">
        <v>12400000</v>
      </c>
      <c r="J43" s="241">
        <v>300000</v>
      </c>
      <c r="K43" s="241">
        <v>17000000</v>
      </c>
      <c r="L43" s="241">
        <v>17000000</v>
      </c>
      <c r="M43" s="241">
        <v>17000000</v>
      </c>
      <c r="N43" s="337">
        <f t="shared" si="11"/>
        <v>17000000</v>
      </c>
      <c r="O43" s="241">
        <f t="shared" si="10"/>
        <v>17000000</v>
      </c>
      <c r="P43" s="331">
        <f t="shared" si="5"/>
        <v>152491013</v>
      </c>
      <c r="Q43" s="473"/>
      <c r="R43" s="473"/>
      <c r="S43" s="473"/>
      <c r="T43" s="473"/>
      <c r="U43" s="473"/>
      <c r="V43" s="473"/>
      <c r="W43" s="473"/>
      <c r="X43" s="473"/>
      <c r="Y43" s="473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81"/>
      <c r="AY43" s="181">
        <v>17</v>
      </c>
      <c r="AZ43" s="181"/>
      <c r="BA43" s="181"/>
      <c r="BB43" s="181"/>
      <c r="BC43" s="181"/>
      <c r="BD43" s="181"/>
      <c r="BE43" s="181"/>
      <c r="BF43" s="181"/>
      <c r="BG43" s="181"/>
      <c r="BH43" s="181"/>
      <c r="BI43" s="181"/>
      <c r="BJ43" s="181"/>
      <c r="BK43" s="181"/>
      <c r="BL43" s="181"/>
      <c r="BN43" s="183">
        <v>17</v>
      </c>
    </row>
    <row r="44" spans="1:66" s="124" customFormat="1">
      <c r="A44" s="243"/>
      <c r="B44" s="248">
        <v>6409</v>
      </c>
      <c r="C44" s="248" t="s">
        <v>31</v>
      </c>
      <c r="D44" s="241"/>
      <c r="E44" s="241"/>
      <c r="F44" s="241"/>
      <c r="G44" s="241"/>
      <c r="H44" s="241"/>
      <c r="I44" s="241"/>
      <c r="J44" s="241"/>
      <c r="K44" s="241">
        <v>500000</v>
      </c>
      <c r="L44" s="241">
        <v>500000</v>
      </c>
      <c r="M44" s="241">
        <v>500000</v>
      </c>
      <c r="N44" s="337">
        <f t="shared" si="11"/>
        <v>500000</v>
      </c>
      <c r="O44" s="241">
        <f t="shared" si="10"/>
        <v>500000</v>
      </c>
      <c r="P44" s="331">
        <f t="shared" si="5"/>
        <v>2500000</v>
      </c>
      <c r="Q44" s="227"/>
      <c r="R44" s="227"/>
      <c r="S44" s="227"/>
      <c r="T44" s="227"/>
      <c r="U44" s="227"/>
      <c r="V44" s="227"/>
      <c r="W44" s="227"/>
      <c r="X44" s="227"/>
      <c r="Y44" s="227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80"/>
      <c r="AY44" s="80">
        <v>0.5</v>
      </c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N44" s="129">
        <v>0.5</v>
      </c>
    </row>
    <row r="45" spans="1:66" s="124" customFormat="1">
      <c r="A45" s="243"/>
      <c r="B45" s="248">
        <v>6410</v>
      </c>
      <c r="C45" s="248" t="s">
        <v>32</v>
      </c>
      <c r="D45" s="241">
        <v>30976500</v>
      </c>
      <c r="E45" s="241">
        <v>43390500</v>
      </c>
      <c r="F45" s="241">
        <v>32923150</v>
      </c>
      <c r="G45" s="241">
        <v>34982350</v>
      </c>
      <c r="H45" s="241">
        <v>47240950</v>
      </c>
      <c r="I45" s="241">
        <v>70205050</v>
      </c>
      <c r="J45" s="241">
        <v>65548300</v>
      </c>
      <c r="K45" s="241">
        <v>50000000</v>
      </c>
      <c r="L45" s="241">
        <v>50000000</v>
      </c>
      <c r="M45" s="241">
        <v>50000000</v>
      </c>
      <c r="N45" s="337">
        <f t="shared" si="11"/>
        <v>50000000</v>
      </c>
      <c r="O45" s="241">
        <f t="shared" si="10"/>
        <v>50000000</v>
      </c>
      <c r="P45" s="331">
        <f t="shared" si="5"/>
        <v>575266800</v>
      </c>
      <c r="Q45" s="227"/>
      <c r="R45" s="227"/>
      <c r="S45" s="227"/>
      <c r="T45" s="227"/>
      <c r="U45" s="227"/>
      <c r="V45" s="227"/>
      <c r="W45" s="227"/>
      <c r="X45" s="227"/>
      <c r="Y45" s="227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80"/>
      <c r="AY45" s="80">
        <v>24.756499999999999</v>
      </c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N45" s="129">
        <v>24.756499999999999</v>
      </c>
    </row>
    <row r="46" spans="1:66" s="124" customFormat="1">
      <c r="A46" s="243"/>
      <c r="B46" s="248">
        <v>6411</v>
      </c>
      <c r="C46" s="248" t="s">
        <v>33</v>
      </c>
      <c r="D46" s="241"/>
      <c r="E46" s="241">
        <v>1600000</v>
      </c>
      <c r="F46" s="241">
        <v>800000</v>
      </c>
      <c r="G46" s="241">
        <v>10000000</v>
      </c>
      <c r="H46" s="241">
        <v>700000</v>
      </c>
      <c r="I46" s="241">
        <v>20800000</v>
      </c>
      <c r="J46" s="241">
        <v>950000</v>
      </c>
      <c r="K46" s="241">
        <v>1500000</v>
      </c>
      <c r="L46" s="241">
        <v>4280000</v>
      </c>
      <c r="M46" s="241">
        <v>1500000</v>
      </c>
      <c r="N46" s="337">
        <f t="shared" si="11"/>
        <v>1500000</v>
      </c>
      <c r="O46" s="241">
        <f t="shared" si="10"/>
        <v>1500000</v>
      </c>
      <c r="P46" s="331">
        <f t="shared" si="5"/>
        <v>45130000</v>
      </c>
      <c r="Q46" s="227"/>
      <c r="R46" s="227"/>
      <c r="S46" s="227"/>
      <c r="T46" s="227"/>
      <c r="U46" s="227"/>
      <c r="V46" s="227"/>
      <c r="W46" s="227"/>
      <c r="X46" s="227"/>
      <c r="Y46" s="227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80"/>
      <c r="AY46" s="80">
        <v>1.5</v>
      </c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N46" s="129">
        <v>1.5</v>
      </c>
    </row>
    <row r="47" spans="1:66" s="124" customFormat="1">
      <c r="A47" s="243"/>
      <c r="B47" s="248">
        <v>6412</v>
      </c>
      <c r="C47" s="248" t="s">
        <v>34</v>
      </c>
      <c r="D47" s="241">
        <v>46972856</v>
      </c>
      <c r="E47" s="241">
        <v>50836920</v>
      </c>
      <c r="F47" s="241">
        <v>42785461</v>
      </c>
      <c r="G47" s="241">
        <v>48452338</v>
      </c>
      <c r="H47" s="241">
        <v>52863568</v>
      </c>
      <c r="I47" s="241">
        <v>58242293</v>
      </c>
      <c r="J47" s="241">
        <v>55338770</v>
      </c>
      <c r="K47" s="241">
        <v>60000000</v>
      </c>
      <c r="L47" s="241">
        <v>60000000</v>
      </c>
      <c r="M47" s="241">
        <v>60000000</v>
      </c>
      <c r="N47" s="337">
        <f t="shared" si="11"/>
        <v>60000000</v>
      </c>
      <c r="O47" s="241">
        <f t="shared" si="10"/>
        <v>60000000</v>
      </c>
      <c r="P47" s="331">
        <f t="shared" si="5"/>
        <v>655492206</v>
      </c>
      <c r="Q47" s="227"/>
      <c r="R47" s="227"/>
      <c r="S47" s="227"/>
      <c r="T47" s="227"/>
      <c r="U47" s="227"/>
      <c r="V47" s="227"/>
      <c r="W47" s="227"/>
      <c r="X47" s="227"/>
      <c r="Y47" s="227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80"/>
      <c r="AY47" s="80">
        <v>60</v>
      </c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N47" s="129">
        <v>60</v>
      </c>
    </row>
    <row r="48" spans="1:66" s="124" customFormat="1">
      <c r="A48" s="243"/>
      <c r="B48" s="248">
        <v>6413</v>
      </c>
      <c r="C48" s="248" t="s">
        <v>35</v>
      </c>
      <c r="D48" s="241">
        <v>5774083</v>
      </c>
      <c r="E48" s="241">
        <v>17905218</v>
      </c>
      <c r="F48" s="241">
        <v>19816460</v>
      </c>
      <c r="G48" s="241">
        <v>14122417</v>
      </c>
      <c r="H48" s="241">
        <v>10817302</v>
      </c>
      <c r="I48" s="241">
        <v>12441062</v>
      </c>
      <c r="J48" s="241">
        <v>8977064</v>
      </c>
      <c r="K48" s="241">
        <v>12000000</v>
      </c>
      <c r="L48" s="241">
        <f>K48</f>
        <v>12000000</v>
      </c>
      <c r="M48" s="241">
        <f>K48</f>
        <v>12000000</v>
      </c>
      <c r="N48" s="337">
        <f t="shared" si="11"/>
        <v>12000000</v>
      </c>
      <c r="O48" s="241">
        <f t="shared" si="10"/>
        <v>12000000</v>
      </c>
      <c r="P48" s="331">
        <f t="shared" si="5"/>
        <v>149853606</v>
      </c>
      <c r="Q48" s="227"/>
      <c r="R48" s="227"/>
      <c r="S48" s="227"/>
      <c r="T48" s="227"/>
      <c r="U48" s="227"/>
      <c r="V48" s="227"/>
      <c r="W48" s="227"/>
      <c r="X48" s="227"/>
      <c r="Y48" s="227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80"/>
      <c r="AY48" s="80">
        <v>8.5</v>
      </c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N48" s="129">
        <v>8.5</v>
      </c>
    </row>
    <row r="49" spans="1:66" s="124" customFormat="1">
      <c r="A49" s="243"/>
      <c r="B49" s="248">
        <v>6414</v>
      </c>
      <c r="C49" s="248" t="s">
        <v>36</v>
      </c>
      <c r="D49" s="241"/>
      <c r="E49" s="241"/>
      <c r="F49" s="241"/>
      <c r="G49" s="241"/>
      <c r="H49" s="241"/>
      <c r="I49" s="241"/>
      <c r="J49" s="241"/>
      <c r="K49" s="241">
        <v>0</v>
      </c>
      <c r="L49" s="241">
        <v>0</v>
      </c>
      <c r="M49" s="241">
        <v>0</v>
      </c>
      <c r="N49" s="337">
        <f t="shared" si="11"/>
        <v>0</v>
      </c>
      <c r="O49" s="241">
        <f t="shared" si="10"/>
        <v>0</v>
      </c>
      <c r="P49" s="331">
        <f t="shared" si="5"/>
        <v>0</v>
      </c>
      <c r="Q49" s="227"/>
      <c r="R49" s="227"/>
      <c r="S49" s="227"/>
      <c r="T49" s="227"/>
      <c r="U49" s="227"/>
      <c r="V49" s="227"/>
      <c r="W49" s="227"/>
      <c r="X49" s="227"/>
      <c r="Y49" s="227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N49" s="129"/>
    </row>
    <row r="50" spans="1:66" s="124" customFormat="1">
      <c r="A50" s="243"/>
      <c r="B50" s="248">
        <v>6415</v>
      </c>
      <c r="C50" s="248" t="s">
        <v>37</v>
      </c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337">
        <f t="shared" si="11"/>
        <v>0</v>
      </c>
      <c r="O50" s="241">
        <f t="shared" si="10"/>
        <v>0</v>
      </c>
      <c r="P50" s="331">
        <f t="shared" si="5"/>
        <v>0</v>
      </c>
      <c r="Q50" s="227"/>
      <c r="R50" s="227"/>
      <c r="S50" s="227"/>
      <c r="T50" s="227"/>
      <c r="U50" s="227"/>
      <c r="V50" s="227"/>
      <c r="W50" s="227"/>
      <c r="X50" s="227"/>
      <c r="Y50" s="227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80"/>
      <c r="AY50" s="80">
        <v>2.5</v>
      </c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N50" s="129">
        <v>2.5</v>
      </c>
    </row>
    <row r="51" spans="1:66" s="124" customFormat="1">
      <c r="A51" s="243"/>
      <c r="B51" s="248">
        <v>6416</v>
      </c>
      <c r="C51" s="248" t="s">
        <v>38</v>
      </c>
      <c r="D51" s="241">
        <v>4696200</v>
      </c>
      <c r="E51" s="241">
        <v>6482400</v>
      </c>
      <c r="F51" s="241">
        <v>7689006</v>
      </c>
      <c r="G51" s="241">
        <v>8987100</v>
      </c>
      <c r="H51" s="241">
        <v>13101300</v>
      </c>
      <c r="I51" s="241">
        <v>7713021</v>
      </c>
      <c r="J51" s="241">
        <v>2605900</v>
      </c>
      <c r="K51" s="241">
        <v>13000000</v>
      </c>
      <c r="L51" s="241">
        <v>13000000</v>
      </c>
      <c r="M51" s="241">
        <v>13000000</v>
      </c>
      <c r="N51" s="337">
        <f t="shared" si="11"/>
        <v>13000000</v>
      </c>
      <c r="O51" s="241">
        <f t="shared" si="10"/>
        <v>13000000</v>
      </c>
      <c r="P51" s="331">
        <f t="shared" si="5"/>
        <v>116274927</v>
      </c>
      <c r="Q51" s="227"/>
      <c r="R51" s="227"/>
      <c r="S51" s="227"/>
      <c r="T51" s="227"/>
      <c r="U51" s="227"/>
      <c r="V51" s="227"/>
      <c r="W51" s="227"/>
      <c r="X51" s="227"/>
      <c r="Y51" s="227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80"/>
      <c r="AY51" s="80">
        <v>13</v>
      </c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N51" s="129">
        <v>13</v>
      </c>
    </row>
    <row r="52" spans="1:66" s="124" customFormat="1">
      <c r="A52" s="243"/>
      <c r="B52" s="248">
        <v>6417</v>
      </c>
      <c r="C52" s="248" t="s">
        <v>39</v>
      </c>
      <c r="D52" s="241">
        <v>4440376</v>
      </c>
      <c r="E52" s="241">
        <v>3816703</v>
      </c>
      <c r="F52" s="241">
        <v>805067</v>
      </c>
      <c r="G52" s="241">
        <v>6416786</v>
      </c>
      <c r="H52" s="241">
        <v>3971475</v>
      </c>
      <c r="I52" s="241">
        <v>45000</v>
      </c>
      <c r="J52" s="241">
        <v>15000</v>
      </c>
      <c r="K52" s="241">
        <v>4000000</v>
      </c>
      <c r="L52" s="241">
        <v>4000000</v>
      </c>
      <c r="M52" s="241">
        <v>4000000</v>
      </c>
      <c r="N52" s="337">
        <f t="shared" si="11"/>
        <v>4000000</v>
      </c>
      <c r="O52" s="241">
        <f t="shared" si="10"/>
        <v>4000000</v>
      </c>
      <c r="P52" s="331">
        <f t="shared" si="5"/>
        <v>39510407</v>
      </c>
      <c r="Q52" s="227"/>
      <c r="R52" s="227"/>
      <c r="S52" s="227"/>
      <c r="T52" s="227"/>
      <c r="U52" s="227"/>
      <c r="V52" s="227"/>
      <c r="W52" s="227"/>
      <c r="X52" s="227"/>
      <c r="Y52" s="227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80"/>
      <c r="AY52" s="80">
        <v>4</v>
      </c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N52" s="129">
        <v>4</v>
      </c>
    </row>
    <row r="53" spans="1:66" s="124" customFormat="1">
      <c r="A53" s="243"/>
      <c r="B53" s="248">
        <v>6418</v>
      </c>
      <c r="C53" s="248" t="s">
        <v>40</v>
      </c>
      <c r="D53" s="241">
        <v>15590640</v>
      </c>
      <c r="E53" s="241">
        <v>6825640</v>
      </c>
      <c r="F53" s="241">
        <v>6425640</v>
      </c>
      <c r="G53" s="241">
        <v>10695759</v>
      </c>
      <c r="H53" s="241">
        <v>3477011</v>
      </c>
      <c r="I53" s="241">
        <v>5623619</v>
      </c>
      <c r="J53" s="241"/>
      <c r="K53" s="241">
        <v>6600000</v>
      </c>
      <c r="L53" s="241">
        <v>6600000</v>
      </c>
      <c r="M53" s="241">
        <v>6600000</v>
      </c>
      <c r="N53" s="337">
        <f t="shared" si="11"/>
        <v>6600000</v>
      </c>
      <c r="O53" s="241">
        <f t="shared" si="10"/>
        <v>6600000</v>
      </c>
      <c r="P53" s="331">
        <f t="shared" si="5"/>
        <v>81638309</v>
      </c>
      <c r="Q53" s="227"/>
      <c r="R53" s="227"/>
      <c r="S53" s="227"/>
      <c r="T53" s="227"/>
      <c r="U53" s="227"/>
      <c r="V53" s="227"/>
      <c r="W53" s="227"/>
      <c r="X53" s="227"/>
      <c r="Y53" s="227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80"/>
      <c r="AY53" s="80">
        <v>6.6</v>
      </c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N53" s="129">
        <v>6.6</v>
      </c>
    </row>
    <row r="54" spans="1:66" s="124" customFormat="1">
      <c r="A54" s="243"/>
      <c r="B54" s="248">
        <v>6419</v>
      </c>
      <c r="C54" s="248" t="s">
        <v>41</v>
      </c>
      <c r="D54" s="241">
        <v>6500000</v>
      </c>
      <c r="E54" s="241">
        <v>3000000</v>
      </c>
      <c r="F54" s="241">
        <v>3500000</v>
      </c>
      <c r="G54" s="241">
        <v>3500000</v>
      </c>
      <c r="H54" s="241">
        <v>4000000</v>
      </c>
      <c r="I54" s="241">
        <v>5500000</v>
      </c>
      <c r="J54" s="241">
        <v>9500000</v>
      </c>
      <c r="K54" s="241">
        <v>6000000</v>
      </c>
      <c r="L54" s="241">
        <v>6000000</v>
      </c>
      <c r="M54" s="241">
        <v>6000000</v>
      </c>
      <c r="N54" s="337">
        <f t="shared" si="11"/>
        <v>6000000</v>
      </c>
      <c r="O54" s="241">
        <f t="shared" si="10"/>
        <v>6000000</v>
      </c>
      <c r="P54" s="331">
        <f t="shared" si="5"/>
        <v>65500000</v>
      </c>
      <c r="Q54" s="227"/>
      <c r="R54" s="227"/>
      <c r="S54" s="227"/>
      <c r="T54" s="227"/>
      <c r="U54" s="227"/>
      <c r="V54" s="227"/>
      <c r="W54" s="227"/>
      <c r="X54" s="227"/>
      <c r="Y54" s="227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80"/>
      <c r="AY54" s="80">
        <v>6</v>
      </c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N54" s="129">
        <v>6</v>
      </c>
    </row>
    <row r="55" spans="1:66" s="124" customFormat="1">
      <c r="A55" s="243"/>
      <c r="B55" s="248">
        <v>6420</v>
      </c>
      <c r="C55" s="248" t="s">
        <v>42</v>
      </c>
      <c r="D55" s="241">
        <v>8299000</v>
      </c>
      <c r="E55" s="241">
        <v>8179900</v>
      </c>
      <c r="F55" s="241">
        <v>13200000</v>
      </c>
      <c r="G55" s="241">
        <v>9979650</v>
      </c>
      <c r="H55" s="241">
        <v>8151000</v>
      </c>
      <c r="I55" s="241">
        <v>20043300</v>
      </c>
      <c r="J55" s="241">
        <v>18273405</v>
      </c>
      <c r="K55" s="241">
        <v>2500000</v>
      </c>
      <c r="L55" s="241">
        <v>2500000</v>
      </c>
      <c r="M55" s="241">
        <v>2500000</v>
      </c>
      <c r="N55" s="337">
        <f t="shared" si="11"/>
        <v>2500000</v>
      </c>
      <c r="O55" s="241">
        <f t="shared" si="10"/>
        <v>2500000</v>
      </c>
      <c r="P55" s="331">
        <f t="shared" si="5"/>
        <v>98626255</v>
      </c>
      <c r="Q55" s="227"/>
      <c r="R55" s="227"/>
      <c r="S55" s="227"/>
      <c r="T55" s="227"/>
      <c r="U55" s="227"/>
      <c r="V55" s="227"/>
      <c r="W55" s="227"/>
      <c r="X55" s="227"/>
      <c r="Y55" s="227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80"/>
      <c r="AY55" s="80">
        <v>2.5</v>
      </c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N55" s="129">
        <v>2.5</v>
      </c>
    </row>
    <row r="56" spans="1:66" s="182" customFormat="1">
      <c r="A56" s="451"/>
      <c r="B56" s="414">
        <v>6421</v>
      </c>
      <c r="C56" s="414" t="s">
        <v>570</v>
      </c>
      <c r="D56" s="438"/>
      <c r="E56" s="438"/>
      <c r="F56" s="438">
        <v>2595000</v>
      </c>
      <c r="G56" s="438">
        <v>3695000</v>
      </c>
      <c r="H56" s="438">
        <v>3695000</v>
      </c>
      <c r="I56" s="438">
        <v>32544987</v>
      </c>
      <c r="J56" s="438">
        <v>18212000</v>
      </c>
      <c r="K56" s="438">
        <v>3695000</v>
      </c>
      <c r="L56" s="438">
        <v>3845000</v>
      </c>
      <c r="M56" s="438">
        <v>21695000</v>
      </c>
      <c r="N56" s="453">
        <v>23695000</v>
      </c>
      <c r="O56" s="438">
        <v>3695000</v>
      </c>
      <c r="P56" s="454">
        <f t="shared" si="5"/>
        <v>117366987</v>
      </c>
      <c r="Q56" s="473"/>
      <c r="R56" s="473"/>
      <c r="S56" s="473"/>
      <c r="T56" s="473"/>
      <c r="U56" s="473"/>
      <c r="V56" s="473"/>
      <c r="W56" s="473"/>
      <c r="X56" s="473"/>
      <c r="Y56" s="473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0"/>
      <c r="AV56" s="190"/>
      <c r="AW56" s="190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/>
      <c r="BK56" s="181"/>
      <c r="BL56" s="181"/>
      <c r="BN56" s="183"/>
    </row>
    <row r="57" spans="1:66" s="124" customFormat="1">
      <c r="A57" s="243"/>
      <c r="B57" s="248">
        <v>6422</v>
      </c>
      <c r="C57" s="248" t="s">
        <v>44</v>
      </c>
      <c r="D57" s="241">
        <v>10581800</v>
      </c>
      <c r="E57" s="241">
        <v>10189857</v>
      </c>
      <c r="F57" s="241">
        <v>11114436</v>
      </c>
      <c r="G57" s="241">
        <v>11427799</v>
      </c>
      <c r="H57" s="241">
        <v>11814253</v>
      </c>
      <c r="I57" s="241">
        <v>13558903</v>
      </c>
      <c r="J57" s="241">
        <v>15072225</v>
      </c>
      <c r="K57" s="241">
        <v>15000000</v>
      </c>
      <c r="L57" s="241">
        <v>15000000</v>
      </c>
      <c r="M57" s="241">
        <f t="shared" ref="M57:M58" si="12">+L57</f>
        <v>15000000</v>
      </c>
      <c r="N57" s="337">
        <f t="shared" si="11"/>
        <v>15000000</v>
      </c>
      <c r="O57" s="241">
        <f t="shared" si="10"/>
        <v>15000000</v>
      </c>
      <c r="P57" s="331">
        <f t="shared" si="5"/>
        <v>158759273</v>
      </c>
      <c r="Q57" s="227"/>
      <c r="R57" s="227"/>
      <c r="S57" s="227"/>
      <c r="T57" s="227"/>
      <c r="U57" s="227"/>
      <c r="V57" s="227"/>
      <c r="W57" s="227"/>
      <c r="X57" s="227"/>
      <c r="Y57" s="227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80"/>
      <c r="AY57" s="80">
        <v>11</v>
      </c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N57" s="129">
        <v>11</v>
      </c>
    </row>
    <row r="58" spans="1:66" s="124" customFormat="1">
      <c r="A58" s="243"/>
      <c r="B58" s="248">
        <v>6423</v>
      </c>
      <c r="C58" s="248" t="s">
        <v>45</v>
      </c>
      <c r="D58" s="241">
        <v>8874400</v>
      </c>
      <c r="E58" s="241">
        <v>8874400</v>
      </c>
      <c r="F58" s="241">
        <v>10015200</v>
      </c>
      <c r="G58" s="241">
        <v>9921600</v>
      </c>
      <c r="H58" s="241"/>
      <c r="I58" s="241">
        <v>9921600</v>
      </c>
      <c r="J58" s="241">
        <v>19843200</v>
      </c>
      <c r="K58" s="241">
        <v>13000000</v>
      </c>
      <c r="L58" s="241">
        <f>+K58</f>
        <v>13000000</v>
      </c>
      <c r="M58" s="241">
        <f t="shared" si="12"/>
        <v>13000000</v>
      </c>
      <c r="N58" s="337">
        <f t="shared" si="11"/>
        <v>13000000</v>
      </c>
      <c r="O58" s="241">
        <f t="shared" si="10"/>
        <v>13000000</v>
      </c>
      <c r="P58" s="331">
        <f t="shared" si="5"/>
        <v>132450400</v>
      </c>
      <c r="Q58" s="227"/>
      <c r="R58" s="227"/>
      <c r="S58" s="227"/>
      <c r="T58" s="227"/>
      <c r="U58" s="227"/>
      <c r="V58" s="227"/>
      <c r="W58" s="227"/>
      <c r="X58" s="227"/>
      <c r="Y58" s="227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80"/>
      <c r="AY58" s="80">
        <v>11</v>
      </c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N58" s="129">
        <v>11</v>
      </c>
    </row>
    <row r="59" spans="1:66" s="182" customFormat="1">
      <c r="A59" s="243"/>
      <c r="B59" s="248">
        <v>6424</v>
      </c>
      <c r="C59" s="248" t="s">
        <v>704</v>
      </c>
      <c r="D59" s="241">
        <v>10900151</v>
      </c>
      <c r="E59" s="241">
        <v>44977451</v>
      </c>
      <c r="F59" s="241">
        <v>450000</v>
      </c>
      <c r="G59" s="241">
        <v>450000</v>
      </c>
      <c r="H59" s="241">
        <v>950000</v>
      </c>
      <c r="I59" s="241">
        <v>5450000</v>
      </c>
      <c r="J59" s="241">
        <f>9000000-5116000</f>
        <v>3884000</v>
      </c>
      <c r="K59" s="241">
        <v>30000000</v>
      </c>
      <c r="L59" s="241">
        <v>30000000</v>
      </c>
      <c r="M59" s="241">
        <v>70000000</v>
      </c>
      <c r="N59" s="337">
        <f t="shared" si="11"/>
        <v>70000000</v>
      </c>
      <c r="O59" s="241">
        <f t="shared" si="10"/>
        <v>70000000</v>
      </c>
      <c r="P59" s="331">
        <f t="shared" si="5"/>
        <v>337061602</v>
      </c>
      <c r="Q59" s="473">
        <v>337061602</v>
      </c>
      <c r="R59" s="473">
        <f>+P59-Q59</f>
        <v>0</v>
      </c>
      <c r="S59" s="473"/>
      <c r="T59" s="473"/>
      <c r="U59" s="473"/>
      <c r="V59" s="473"/>
      <c r="W59" s="473"/>
      <c r="X59" s="473"/>
      <c r="Y59" s="473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0"/>
      <c r="AT59" s="190"/>
      <c r="AU59" s="190"/>
      <c r="AV59" s="190"/>
      <c r="AW59" s="190"/>
      <c r="AX59" s="181"/>
      <c r="AY59" s="181"/>
      <c r="AZ59" s="181"/>
      <c r="BA59" s="181"/>
      <c r="BB59" s="181"/>
      <c r="BC59" s="181"/>
      <c r="BD59" s="181"/>
      <c r="BE59" s="181"/>
      <c r="BF59" s="181"/>
      <c r="BG59" s="181"/>
      <c r="BH59" s="181"/>
      <c r="BI59" s="181"/>
      <c r="BJ59" s="181"/>
      <c r="BK59" s="181"/>
      <c r="BL59" s="181"/>
      <c r="BN59" s="183"/>
    </row>
    <row r="60" spans="1:66" s="124" customFormat="1">
      <c r="A60" s="243"/>
      <c r="B60" s="247" t="s">
        <v>47</v>
      </c>
      <c r="C60" s="248"/>
      <c r="D60" s="241"/>
      <c r="E60" s="241"/>
      <c r="F60" s="241"/>
      <c r="G60" s="241"/>
      <c r="H60" s="241"/>
      <c r="I60" s="241"/>
      <c r="J60" s="241"/>
      <c r="K60" s="241">
        <v>0</v>
      </c>
      <c r="L60" s="241">
        <v>0</v>
      </c>
      <c r="M60" s="241">
        <v>0</v>
      </c>
      <c r="N60" s="337">
        <f t="shared" si="11"/>
        <v>0</v>
      </c>
      <c r="O60" s="241">
        <f t="shared" si="10"/>
        <v>0</v>
      </c>
      <c r="P60" s="331">
        <f t="shared" si="5"/>
        <v>0</v>
      </c>
      <c r="Q60" s="227"/>
      <c r="R60" s="227"/>
      <c r="S60" s="227"/>
      <c r="T60" s="227"/>
      <c r="U60" s="227"/>
      <c r="V60" s="227"/>
      <c r="W60" s="227"/>
      <c r="X60" s="227"/>
      <c r="Y60" s="227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N60" s="129"/>
    </row>
    <row r="61" spans="1:66" s="182" customFormat="1">
      <c r="A61" s="243"/>
      <c r="B61" s="248">
        <v>6300</v>
      </c>
      <c r="C61" s="248" t="s">
        <v>643</v>
      </c>
      <c r="D61" s="241">
        <v>17773550</v>
      </c>
      <c r="E61" s="241">
        <v>7067613</v>
      </c>
      <c r="F61" s="241">
        <v>3800000</v>
      </c>
      <c r="G61" s="241">
        <v>2095950</v>
      </c>
      <c r="H61" s="241"/>
      <c r="I61" s="241">
        <v>19121113</v>
      </c>
      <c r="J61" s="241">
        <v>13179263</v>
      </c>
      <c r="K61" s="241">
        <v>0</v>
      </c>
      <c r="L61" s="241">
        <v>0</v>
      </c>
      <c r="M61" s="241">
        <v>0</v>
      </c>
      <c r="N61" s="337">
        <f t="shared" si="11"/>
        <v>0</v>
      </c>
      <c r="O61" s="241">
        <f t="shared" si="10"/>
        <v>0</v>
      </c>
      <c r="P61" s="331">
        <f t="shared" si="5"/>
        <v>63037489</v>
      </c>
      <c r="Q61" s="473"/>
      <c r="R61" s="473"/>
      <c r="S61" s="473"/>
      <c r="T61" s="473"/>
      <c r="U61" s="473"/>
      <c r="V61" s="473"/>
      <c r="W61" s="473"/>
      <c r="X61" s="473"/>
      <c r="Y61" s="473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81"/>
      <c r="AY61" s="181"/>
      <c r="AZ61" s="181"/>
      <c r="BA61" s="181"/>
      <c r="BB61" s="181"/>
      <c r="BC61" s="181"/>
      <c r="BD61" s="181"/>
      <c r="BE61" s="181"/>
      <c r="BF61" s="181"/>
      <c r="BG61" s="181"/>
      <c r="BH61" s="181"/>
      <c r="BI61" s="181"/>
      <c r="BJ61" s="181"/>
      <c r="BK61" s="181"/>
      <c r="BL61" s="181"/>
      <c r="BN61" s="183">
        <v>0</v>
      </c>
    </row>
    <row r="62" spans="1:66" s="124" customFormat="1">
      <c r="A62" s="243"/>
      <c r="B62" s="248">
        <v>6301</v>
      </c>
      <c r="C62" s="248" t="s">
        <v>49</v>
      </c>
      <c r="D62" s="241">
        <v>247500</v>
      </c>
      <c r="E62" s="241"/>
      <c r="F62" s="241"/>
      <c r="G62" s="241"/>
      <c r="H62" s="241"/>
      <c r="I62" s="241"/>
      <c r="J62" s="241"/>
      <c r="K62" s="241">
        <v>0</v>
      </c>
      <c r="L62" s="241">
        <v>0</v>
      </c>
      <c r="M62" s="241">
        <v>0</v>
      </c>
      <c r="N62" s="337">
        <f t="shared" si="11"/>
        <v>0</v>
      </c>
      <c r="O62" s="241">
        <f t="shared" si="10"/>
        <v>0</v>
      </c>
      <c r="P62" s="331">
        <f t="shared" si="5"/>
        <v>247500</v>
      </c>
      <c r="Q62" s="227"/>
      <c r="R62" s="227"/>
      <c r="S62" s="227"/>
      <c r="T62" s="227"/>
      <c r="U62" s="227"/>
      <c r="V62" s="227"/>
      <c r="W62" s="227"/>
      <c r="X62" s="227"/>
      <c r="Y62" s="227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N62" s="129"/>
    </row>
    <row r="63" spans="1:66" s="124" customFormat="1">
      <c r="A63" s="243"/>
      <c r="B63" s="248">
        <v>6302</v>
      </c>
      <c r="C63" s="248" t="s">
        <v>642</v>
      </c>
      <c r="D63" s="241">
        <v>41273889</v>
      </c>
      <c r="E63" s="241">
        <v>42099049</v>
      </c>
      <c r="F63" s="241">
        <v>51599763</v>
      </c>
      <c r="G63" s="241">
        <v>34464507</v>
      </c>
      <c r="H63" s="241">
        <v>72961702</v>
      </c>
      <c r="I63" s="241">
        <v>42190339</v>
      </c>
      <c r="J63" s="241">
        <v>27971000</v>
      </c>
      <c r="K63" s="241">
        <v>40000000</v>
      </c>
      <c r="L63" s="241">
        <f>+K63</f>
        <v>40000000</v>
      </c>
      <c r="M63" s="241">
        <f>+K63</f>
        <v>40000000</v>
      </c>
      <c r="N63" s="337">
        <f t="shared" si="11"/>
        <v>40000000</v>
      </c>
      <c r="O63" s="241">
        <f t="shared" si="10"/>
        <v>40000000</v>
      </c>
      <c r="P63" s="331">
        <f t="shared" si="5"/>
        <v>512560249</v>
      </c>
      <c r="Q63" s="227"/>
      <c r="R63" s="227"/>
      <c r="S63" s="227"/>
      <c r="T63" s="227"/>
      <c r="U63" s="227"/>
      <c r="V63" s="227"/>
      <c r="W63" s="227"/>
      <c r="X63" s="227"/>
      <c r="Y63" s="227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80"/>
      <c r="AY63" s="80">
        <v>17.661297916666669</v>
      </c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N63" s="129">
        <v>17.661297916666669</v>
      </c>
    </row>
    <row r="64" spans="1:66" s="124" customFormat="1">
      <c r="A64" s="243"/>
      <c r="B64" s="248">
        <v>6303</v>
      </c>
      <c r="C64" s="248" t="s">
        <v>51</v>
      </c>
      <c r="D64" s="241">
        <v>11363500</v>
      </c>
      <c r="E64" s="241">
        <v>24404000</v>
      </c>
      <c r="F64" s="241">
        <v>12160000</v>
      </c>
      <c r="G64" s="241">
        <v>18676200</v>
      </c>
      <c r="H64" s="241">
        <v>6325000</v>
      </c>
      <c r="I64" s="241"/>
      <c r="J64" s="241">
        <v>2015000</v>
      </c>
      <c r="K64" s="241">
        <v>5000000</v>
      </c>
      <c r="L64" s="241">
        <v>5000000</v>
      </c>
      <c r="M64" s="241">
        <v>5000000</v>
      </c>
      <c r="N64" s="337">
        <f t="shared" si="11"/>
        <v>5000000</v>
      </c>
      <c r="O64" s="241">
        <f t="shared" si="10"/>
        <v>5000000</v>
      </c>
      <c r="P64" s="331">
        <f t="shared" si="5"/>
        <v>99943700</v>
      </c>
      <c r="Q64" s="227"/>
      <c r="R64" s="227"/>
      <c r="S64" s="227"/>
      <c r="T64" s="227"/>
      <c r="U64" s="227"/>
      <c r="V64" s="227"/>
      <c r="W64" s="227"/>
      <c r="X64" s="227"/>
      <c r="Y64" s="227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80"/>
      <c r="AY64" s="80">
        <v>5</v>
      </c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N64" s="129">
        <v>5</v>
      </c>
    </row>
    <row r="65" spans="1:66" s="124" customFormat="1">
      <c r="A65" s="243"/>
      <c r="B65" s="248">
        <v>6304</v>
      </c>
      <c r="C65" s="248" t="s">
        <v>52</v>
      </c>
      <c r="D65" s="241"/>
      <c r="E65" s="241">
        <v>2280000</v>
      </c>
      <c r="F65" s="241"/>
      <c r="G65" s="241">
        <v>12880000</v>
      </c>
      <c r="H65" s="241"/>
      <c r="I65" s="241">
        <v>12192000</v>
      </c>
      <c r="J65" s="241"/>
      <c r="K65" s="241">
        <v>10000000</v>
      </c>
      <c r="L65" s="241">
        <v>10000000</v>
      </c>
      <c r="M65" s="241">
        <v>10000000</v>
      </c>
      <c r="N65" s="337">
        <f t="shared" si="11"/>
        <v>10000000</v>
      </c>
      <c r="O65" s="241">
        <f t="shared" si="10"/>
        <v>10000000</v>
      </c>
      <c r="P65" s="331">
        <f t="shared" si="5"/>
        <v>77352000</v>
      </c>
      <c r="Q65" s="227"/>
      <c r="R65" s="227"/>
      <c r="S65" s="227"/>
      <c r="T65" s="227"/>
      <c r="U65" s="227"/>
      <c r="V65" s="227"/>
      <c r="W65" s="227"/>
      <c r="X65" s="227"/>
      <c r="Y65" s="227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80"/>
      <c r="AY65" s="80">
        <v>10</v>
      </c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N65" s="129">
        <v>10</v>
      </c>
    </row>
    <row r="66" spans="1:66" s="124" customFormat="1">
      <c r="A66" s="243"/>
      <c r="B66" s="248">
        <v>6306</v>
      </c>
      <c r="C66" s="248" t="s">
        <v>53</v>
      </c>
      <c r="D66" s="241"/>
      <c r="E66" s="241"/>
      <c r="F66" s="241"/>
      <c r="G66" s="241"/>
      <c r="H66" s="241"/>
      <c r="I66" s="241"/>
      <c r="J66" s="241"/>
      <c r="K66" s="241">
        <v>4270000</v>
      </c>
      <c r="L66" s="241">
        <v>4270000</v>
      </c>
      <c r="M66" s="241">
        <v>4270000</v>
      </c>
      <c r="N66" s="337">
        <f t="shared" si="11"/>
        <v>4270000</v>
      </c>
      <c r="O66" s="241">
        <f t="shared" si="10"/>
        <v>4270000</v>
      </c>
      <c r="P66" s="331">
        <f t="shared" si="5"/>
        <v>21350000</v>
      </c>
      <c r="Q66" s="227"/>
      <c r="R66" s="227"/>
      <c r="S66" s="227"/>
      <c r="T66" s="227"/>
      <c r="U66" s="227"/>
      <c r="V66" s="227"/>
      <c r="W66" s="227"/>
      <c r="X66" s="227"/>
      <c r="Y66" s="227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80"/>
      <c r="AY66" s="80">
        <v>4.2699999999999996</v>
      </c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N66" s="129">
        <v>4.2699999999999996</v>
      </c>
    </row>
    <row r="67" spans="1:66" s="182" customFormat="1" ht="31.5">
      <c r="A67" s="243"/>
      <c r="B67" s="248">
        <v>6307</v>
      </c>
      <c r="C67" s="250" t="s">
        <v>664</v>
      </c>
      <c r="D67" s="241">
        <v>51195135</v>
      </c>
      <c r="E67" s="241">
        <v>55979050</v>
      </c>
      <c r="F67" s="241">
        <v>29873772</v>
      </c>
      <c r="G67" s="241">
        <v>64919660</v>
      </c>
      <c r="H67" s="241">
        <v>45372089</v>
      </c>
      <c r="I67" s="241">
        <v>78421580</v>
      </c>
      <c r="J67" s="241">
        <v>60118490</v>
      </c>
      <c r="K67" s="241">
        <v>67000000</v>
      </c>
      <c r="L67" s="241">
        <v>67000000</v>
      </c>
      <c r="M67" s="241">
        <f>+K67</f>
        <v>67000000</v>
      </c>
      <c r="N67" s="337">
        <f t="shared" si="11"/>
        <v>67000000</v>
      </c>
      <c r="O67" s="241">
        <f t="shared" si="10"/>
        <v>67000000</v>
      </c>
      <c r="P67" s="331">
        <f t="shared" si="5"/>
        <v>720879776</v>
      </c>
      <c r="Q67" s="473"/>
      <c r="R67" s="473"/>
      <c r="S67" s="473"/>
      <c r="T67" s="473"/>
      <c r="U67" s="473"/>
      <c r="V67" s="473"/>
      <c r="W67" s="473"/>
      <c r="X67" s="473"/>
      <c r="Y67" s="473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81"/>
      <c r="AY67" s="181">
        <v>67.479608333333331</v>
      </c>
      <c r="AZ67" s="181"/>
      <c r="BA67" s="181"/>
      <c r="BB67" s="181"/>
      <c r="BC67" s="181"/>
      <c r="BD67" s="181"/>
      <c r="BE67" s="181"/>
      <c r="BF67" s="181"/>
      <c r="BG67" s="181"/>
      <c r="BH67" s="181"/>
      <c r="BI67" s="181"/>
      <c r="BJ67" s="181"/>
      <c r="BK67" s="181"/>
      <c r="BL67" s="181"/>
      <c r="BN67" s="183">
        <v>67.479608333333331</v>
      </c>
    </row>
    <row r="68" spans="1:66" s="124" customFormat="1">
      <c r="A68" s="243"/>
      <c r="B68" s="248"/>
      <c r="C68" s="248"/>
      <c r="D68" s="241"/>
      <c r="E68" s="241"/>
      <c r="F68" s="241"/>
      <c r="G68" s="241"/>
      <c r="H68" s="241"/>
      <c r="I68" s="241"/>
      <c r="J68" s="241"/>
      <c r="K68" s="241">
        <v>0</v>
      </c>
      <c r="L68" s="241">
        <v>0</v>
      </c>
      <c r="M68" s="241">
        <v>0</v>
      </c>
      <c r="N68" s="337">
        <f t="shared" si="11"/>
        <v>0</v>
      </c>
      <c r="O68" s="241">
        <f t="shared" si="10"/>
        <v>0</v>
      </c>
      <c r="P68" s="331">
        <f t="shared" si="5"/>
        <v>0</v>
      </c>
      <c r="Q68" s="227"/>
      <c r="R68" s="227"/>
      <c r="S68" s="227"/>
      <c r="T68" s="227"/>
      <c r="U68" s="227"/>
      <c r="V68" s="227"/>
      <c r="W68" s="227"/>
      <c r="X68" s="227"/>
      <c r="Y68" s="227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N68" s="129"/>
    </row>
    <row r="69" spans="1:66" s="124" customFormat="1">
      <c r="A69" s="243"/>
      <c r="B69" s="247" t="s">
        <v>55</v>
      </c>
      <c r="C69" s="248"/>
      <c r="D69" s="241"/>
      <c r="E69" s="241"/>
      <c r="F69" s="241"/>
      <c r="G69" s="241"/>
      <c r="H69" s="241"/>
      <c r="I69" s="241"/>
      <c r="J69" s="241"/>
      <c r="K69" s="241">
        <v>0</v>
      </c>
      <c r="L69" s="241">
        <v>0</v>
      </c>
      <c r="M69" s="241">
        <v>0</v>
      </c>
      <c r="N69" s="337">
        <f t="shared" si="11"/>
        <v>0</v>
      </c>
      <c r="O69" s="241">
        <f t="shared" si="10"/>
        <v>0</v>
      </c>
      <c r="P69" s="331">
        <f t="shared" si="5"/>
        <v>0</v>
      </c>
      <c r="Q69" s="227"/>
      <c r="R69" s="227"/>
      <c r="S69" s="227"/>
      <c r="T69" s="227"/>
      <c r="U69" s="227"/>
      <c r="V69" s="227"/>
      <c r="W69" s="227"/>
      <c r="X69" s="227"/>
      <c r="Y69" s="227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N69" s="129"/>
    </row>
    <row r="70" spans="1:66" s="124" customFormat="1">
      <c r="A70" s="243"/>
      <c r="B70" s="248">
        <v>6500</v>
      </c>
      <c r="C70" s="248" t="s">
        <v>56</v>
      </c>
      <c r="D70" s="241">
        <v>901601</v>
      </c>
      <c r="E70" s="241">
        <v>2246941</v>
      </c>
      <c r="F70" s="241">
        <v>617336.56999999995</v>
      </c>
      <c r="G70" s="241">
        <v>466639.56</v>
      </c>
      <c r="H70" s="241">
        <v>852646</v>
      </c>
      <c r="I70" s="241">
        <v>2334580.91</v>
      </c>
      <c r="J70" s="241">
        <v>84500</v>
      </c>
      <c r="K70" s="241">
        <v>1500000</v>
      </c>
      <c r="L70" s="241">
        <v>1500000</v>
      </c>
      <c r="M70" s="241">
        <v>1500000</v>
      </c>
      <c r="N70" s="337">
        <f t="shared" si="11"/>
        <v>1500000</v>
      </c>
      <c r="O70" s="241">
        <f t="shared" si="10"/>
        <v>1500000</v>
      </c>
      <c r="P70" s="331">
        <f t="shared" si="5"/>
        <v>15004245.039999999</v>
      </c>
      <c r="Q70" s="227"/>
      <c r="R70" s="227"/>
      <c r="S70" s="227"/>
      <c r="T70" s="227"/>
      <c r="U70" s="227"/>
      <c r="V70" s="227"/>
      <c r="W70" s="227"/>
      <c r="X70" s="227"/>
      <c r="Y70" s="227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80"/>
      <c r="AY70" s="80">
        <v>1.5</v>
      </c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N70" s="129">
        <v>1.5</v>
      </c>
    </row>
    <row r="71" spans="1:66" s="124" customFormat="1">
      <c r="A71" s="243"/>
      <c r="B71" s="248">
        <v>6501</v>
      </c>
      <c r="C71" s="248" t="s">
        <v>57</v>
      </c>
      <c r="D71" s="241"/>
      <c r="E71" s="241"/>
      <c r="F71" s="241"/>
      <c r="G71" s="241"/>
      <c r="H71" s="241"/>
      <c r="I71" s="241"/>
      <c r="J71" s="241"/>
      <c r="K71" s="241">
        <v>0</v>
      </c>
      <c r="L71" s="241">
        <v>0</v>
      </c>
      <c r="M71" s="241">
        <v>0</v>
      </c>
      <c r="N71" s="337">
        <f t="shared" si="11"/>
        <v>0</v>
      </c>
      <c r="O71" s="241">
        <f t="shared" si="10"/>
        <v>0</v>
      </c>
      <c r="P71" s="331">
        <f t="shared" si="5"/>
        <v>0</v>
      </c>
      <c r="Q71" s="227"/>
      <c r="R71" s="227"/>
      <c r="S71" s="227"/>
      <c r="T71" s="227"/>
      <c r="U71" s="227"/>
      <c r="V71" s="227"/>
      <c r="W71" s="227"/>
      <c r="X71" s="227"/>
      <c r="Y71" s="227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N71" s="129"/>
    </row>
    <row r="72" spans="1:66" s="124" customFormat="1">
      <c r="A72" s="243"/>
      <c r="B72" s="248"/>
      <c r="C72" s="248"/>
      <c r="D72" s="241"/>
      <c r="E72" s="241"/>
      <c r="F72" s="241"/>
      <c r="G72" s="241"/>
      <c r="H72" s="241"/>
      <c r="I72" s="241"/>
      <c r="J72" s="241"/>
      <c r="K72" s="241">
        <v>0</v>
      </c>
      <c r="L72" s="241">
        <v>0</v>
      </c>
      <c r="M72" s="241">
        <v>0</v>
      </c>
      <c r="N72" s="337">
        <f t="shared" si="11"/>
        <v>0</v>
      </c>
      <c r="O72" s="241">
        <f t="shared" si="10"/>
        <v>0</v>
      </c>
      <c r="P72" s="331">
        <f t="shared" si="5"/>
        <v>0</v>
      </c>
      <c r="Q72" s="227"/>
      <c r="R72" s="227"/>
      <c r="S72" s="227"/>
      <c r="T72" s="227"/>
      <c r="U72" s="227"/>
      <c r="V72" s="227"/>
      <c r="W72" s="227"/>
      <c r="X72" s="227"/>
      <c r="Y72" s="227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N72" s="129"/>
    </row>
    <row r="73" spans="1:66" s="124" customFormat="1">
      <c r="A73" s="243"/>
      <c r="B73" s="247" t="s">
        <v>58</v>
      </c>
      <c r="C73" s="248"/>
      <c r="D73" s="241"/>
      <c r="E73" s="241"/>
      <c r="F73" s="241"/>
      <c r="G73" s="241"/>
      <c r="H73" s="241"/>
      <c r="I73" s="241"/>
      <c r="J73" s="241"/>
      <c r="K73" s="241">
        <v>0</v>
      </c>
      <c r="L73" s="241">
        <v>0</v>
      </c>
      <c r="M73" s="241">
        <v>0</v>
      </c>
      <c r="N73" s="337">
        <f t="shared" si="11"/>
        <v>0</v>
      </c>
      <c r="O73" s="241">
        <f t="shared" si="10"/>
        <v>0</v>
      </c>
      <c r="P73" s="331">
        <f t="shared" si="5"/>
        <v>0</v>
      </c>
      <c r="Q73" s="227"/>
      <c r="R73" s="227"/>
      <c r="S73" s="227"/>
      <c r="T73" s="227"/>
      <c r="U73" s="227"/>
      <c r="V73" s="227"/>
      <c r="W73" s="227"/>
      <c r="X73" s="227"/>
      <c r="Y73" s="227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N73" s="129"/>
    </row>
    <row r="74" spans="1:66" s="124" customFormat="1">
      <c r="A74" s="243"/>
      <c r="B74" s="248">
        <v>6600</v>
      </c>
      <c r="C74" s="248" t="s">
        <v>59</v>
      </c>
      <c r="D74" s="241">
        <v>1503762</v>
      </c>
      <c r="E74" s="241">
        <v>6627864</v>
      </c>
      <c r="F74" s="241">
        <v>5278598</v>
      </c>
      <c r="G74" s="241">
        <v>4089354</v>
      </c>
      <c r="H74" s="241">
        <v>37700969</v>
      </c>
      <c r="I74" s="241">
        <v>7518240</v>
      </c>
      <c r="J74" s="241">
        <v>6355404</v>
      </c>
      <c r="K74" s="241">
        <v>4000000</v>
      </c>
      <c r="L74" s="241">
        <v>4000000</v>
      </c>
      <c r="M74" s="241">
        <v>4000000</v>
      </c>
      <c r="N74" s="337">
        <f t="shared" si="11"/>
        <v>4000000</v>
      </c>
      <c r="O74" s="241">
        <f t="shared" si="10"/>
        <v>4000000</v>
      </c>
      <c r="P74" s="331">
        <f t="shared" si="5"/>
        <v>89074191</v>
      </c>
      <c r="Q74" s="227"/>
      <c r="R74" s="227"/>
      <c r="S74" s="227"/>
      <c r="T74" s="227"/>
      <c r="U74" s="227"/>
      <c r="V74" s="227"/>
      <c r="W74" s="227"/>
      <c r="X74" s="227"/>
      <c r="Y74" s="227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80"/>
      <c r="AY74" s="80">
        <v>4</v>
      </c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N74" s="129">
        <v>4</v>
      </c>
    </row>
    <row r="75" spans="1:66" s="124" customFormat="1">
      <c r="A75" s="243"/>
      <c r="B75" s="248">
        <v>6600</v>
      </c>
      <c r="C75" s="248" t="s">
        <v>60</v>
      </c>
      <c r="D75" s="241"/>
      <c r="E75" s="241"/>
      <c r="F75" s="241"/>
      <c r="G75" s="241">
        <v>15184112</v>
      </c>
      <c r="H75" s="241"/>
      <c r="I75" s="241"/>
      <c r="J75" s="241"/>
      <c r="K75" s="241">
        <v>0</v>
      </c>
      <c r="L75" s="241">
        <v>0</v>
      </c>
      <c r="M75" s="241"/>
      <c r="N75" s="337">
        <f t="shared" si="11"/>
        <v>0</v>
      </c>
      <c r="O75" s="241">
        <f t="shared" si="10"/>
        <v>0</v>
      </c>
      <c r="P75" s="331">
        <f t="shared" si="5"/>
        <v>15184112</v>
      </c>
      <c r="Q75" s="227"/>
      <c r="R75" s="227"/>
      <c r="S75" s="227"/>
      <c r="T75" s="227"/>
      <c r="U75" s="227"/>
      <c r="V75" s="227"/>
      <c r="W75" s="227"/>
      <c r="X75" s="227"/>
      <c r="Y75" s="227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N75" s="129"/>
    </row>
    <row r="76" spans="1:66" s="124" customFormat="1">
      <c r="A76" s="243"/>
      <c r="B76" s="248"/>
      <c r="C76" s="248"/>
      <c r="D76" s="241"/>
      <c r="E76" s="241"/>
      <c r="F76" s="241"/>
      <c r="G76" s="241"/>
      <c r="H76" s="241"/>
      <c r="I76" s="241"/>
      <c r="J76" s="241"/>
      <c r="K76" s="241">
        <v>0</v>
      </c>
      <c r="L76" s="241">
        <v>0</v>
      </c>
      <c r="M76" s="241">
        <v>0</v>
      </c>
      <c r="N76" s="337">
        <f t="shared" si="11"/>
        <v>0</v>
      </c>
      <c r="O76" s="241">
        <f t="shared" si="10"/>
        <v>0</v>
      </c>
      <c r="P76" s="331">
        <f t="shared" si="5"/>
        <v>0</v>
      </c>
      <c r="Q76" s="227"/>
      <c r="R76" s="227"/>
      <c r="S76" s="227"/>
      <c r="T76" s="227"/>
      <c r="U76" s="227"/>
      <c r="V76" s="227"/>
      <c r="W76" s="227"/>
      <c r="X76" s="227"/>
      <c r="Y76" s="227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N76" s="129"/>
    </row>
    <row r="77" spans="1:66" s="124" customFormat="1">
      <c r="A77" s="243"/>
      <c r="B77" s="247" t="s">
        <v>61</v>
      </c>
      <c r="C77" s="248"/>
      <c r="D77" s="241"/>
      <c r="E77" s="241"/>
      <c r="F77" s="241"/>
      <c r="G77" s="241"/>
      <c r="H77" s="241"/>
      <c r="I77" s="241"/>
      <c r="J77" s="241"/>
      <c r="K77" s="241">
        <v>0</v>
      </c>
      <c r="L77" s="241">
        <v>0</v>
      </c>
      <c r="M77" s="241">
        <v>0</v>
      </c>
      <c r="N77" s="337">
        <f t="shared" si="11"/>
        <v>0</v>
      </c>
      <c r="O77" s="241">
        <f t="shared" si="10"/>
        <v>0</v>
      </c>
      <c r="P77" s="331">
        <f t="shared" si="5"/>
        <v>0</v>
      </c>
      <c r="Q77" s="227"/>
      <c r="R77" s="227"/>
      <c r="S77" s="227"/>
      <c r="T77" s="227"/>
      <c r="U77" s="227"/>
      <c r="V77" s="227"/>
      <c r="W77" s="227"/>
      <c r="X77" s="227"/>
      <c r="Y77" s="227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N77" s="129"/>
    </row>
    <row r="78" spans="1:66" s="182" customFormat="1">
      <c r="A78" s="243"/>
      <c r="B78" s="248">
        <v>6200</v>
      </c>
      <c r="C78" s="248" t="s">
        <v>543</v>
      </c>
      <c r="D78" s="241">
        <v>38412700</v>
      </c>
      <c r="E78" s="241">
        <v>30468050</v>
      </c>
      <c r="F78" s="241">
        <v>29160800</v>
      </c>
      <c r="G78" s="241">
        <v>10498400</v>
      </c>
      <c r="H78" s="241">
        <v>3254900</v>
      </c>
      <c r="I78" s="241">
        <v>24896900</v>
      </c>
      <c r="J78" s="241">
        <v>12482350</v>
      </c>
      <c r="K78" s="241">
        <v>9000000</v>
      </c>
      <c r="L78" s="241">
        <v>9000000</v>
      </c>
      <c r="M78" s="241">
        <v>9000000</v>
      </c>
      <c r="N78" s="337">
        <f t="shared" si="11"/>
        <v>9000000</v>
      </c>
      <c r="O78" s="241">
        <f t="shared" si="10"/>
        <v>9000000</v>
      </c>
      <c r="P78" s="331">
        <f t="shared" si="5"/>
        <v>194174100</v>
      </c>
      <c r="Q78" s="473"/>
      <c r="R78" s="473"/>
      <c r="S78" s="473"/>
      <c r="T78" s="473"/>
      <c r="U78" s="473"/>
      <c r="V78" s="473"/>
      <c r="W78" s="473"/>
      <c r="X78" s="473"/>
      <c r="Y78" s="473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81"/>
      <c r="AY78" s="181">
        <v>9</v>
      </c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N78" s="183">
        <v>9</v>
      </c>
    </row>
    <row r="79" spans="1:66" s="182" customFormat="1">
      <c r="A79" s="243"/>
      <c r="B79" s="248">
        <v>6201</v>
      </c>
      <c r="C79" s="248" t="s">
        <v>544</v>
      </c>
      <c r="D79" s="241">
        <v>2260000</v>
      </c>
      <c r="E79" s="241">
        <v>3426000</v>
      </c>
      <c r="F79" s="241">
        <v>5530000</v>
      </c>
      <c r="G79" s="241">
        <v>5267500</v>
      </c>
      <c r="H79" s="241">
        <v>3120000</v>
      </c>
      <c r="I79" s="241">
        <v>4690000</v>
      </c>
      <c r="J79" s="241">
        <v>2255000</v>
      </c>
      <c r="K79" s="241">
        <v>4000000</v>
      </c>
      <c r="L79" s="241">
        <v>4000000</v>
      </c>
      <c r="M79" s="241">
        <v>4000000</v>
      </c>
      <c r="N79" s="337">
        <f t="shared" si="11"/>
        <v>4000000</v>
      </c>
      <c r="O79" s="241">
        <f t="shared" si="10"/>
        <v>4000000</v>
      </c>
      <c r="P79" s="331">
        <f t="shared" si="5"/>
        <v>46548500</v>
      </c>
      <c r="Q79" s="473"/>
      <c r="R79" s="473"/>
      <c r="S79" s="473"/>
      <c r="T79" s="473"/>
      <c r="U79" s="473"/>
      <c r="V79" s="473"/>
      <c r="W79" s="473"/>
      <c r="X79" s="473"/>
      <c r="Y79" s="473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81"/>
      <c r="AY79" s="181">
        <v>4</v>
      </c>
      <c r="AZ79" s="181"/>
      <c r="BA79" s="181"/>
      <c r="BB79" s="181"/>
      <c r="BC79" s="181"/>
      <c r="BD79" s="181"/>
      <c r="BE79" s="181"/>
      <c r="BF79" s="181"/>
      <c r="BG79" s="181"/>
      <c r="BH79" s="181"/>
      <c r="BI79" s="181"/>
      <c r="BJ79" s="181"/>
      <c r="BK79" s="181"/>
      <c r="BL79" s="181"/>
      <c r="BN79" s="183">
        <v>4</v>
      </c>
    </row>
    <row r="80" spans="1:66" s="182" customFormat="1">
      <c r="A80" s="243"/>
      <c r="B80" s="248">
        <v>6210</v>
      </c>
      <c r="C80" s="248" t="s">
        <v>545</v>
      </c>
      <c r="D80" s="241"/>
      <c r="E80" s="241"/>
      <c r="F80" s="241"/>
      <c r="G80" s="241"/>
      <c r="H80" s="241"/>
      <c r="I80" s="241"/>
      <c r="J80" s="241"/>
      <c r="K80" s="241">
        <v>1500000</v>
      </c>
      <c r="L80" s="241">
        <v>1500000</v>
      </c>
      <c r="M80" s="241">
        <v>1500000</v>
      </c>
      <c r="N80" s="337">
        <f t="shared" si="11"/>
        <v>1500000</v>
      </c>
      <c r="O80" s="241">
        <f t="shared" si="10"/>
        <v>1500000</v>
      </c>
      <c r="P80" s="331">
        <f t="shared" si="5"/>
        <v>7500000</v>
      </c>
      <c r="Q80" s="473"/>
      <c r="R80" s="473"/>
      <c r="S80" s="473"/>
      <c r="T80" s="473"/>
      <c r="U80" s="473"/>
      <c r="V80" s="473"/>
      <c r="W80" s="473"/>
      <c r="X80" s="473"/>
      <c r="Y80" s="473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190"/>
      <c r="AV80" s="190"/>
      <c r="AW80" s="190"/>
      <c r="AX80" s="181"/>
      <c r="AY80" s="181">
        <v>1.5</v>
      </c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  <c r="BK80" s="181"/>
      <c r="BL80" s="181"/>
      <c r="BN80" s="183">
        <v>1.5</v>
      </c>
    </row>
    <row r="81" spans="1:66" s="182" customFormat="1">
      <c r="A81" s="243"/>
      <c r="B81" s="248">
        <v>6211</v>
      </c>
      <c r="C81" s="248" t="s">
        <v>546</v>
      </c>
      <c r="D81" s="241"/>
      <c r="E81" s="241"/>
      <c r="F81" s="241"/>
      <c r="G81" s="241"/>
      <c r="H81" s="241"/>
      <c r="I81" s="241"/>
      <c r="J81" s="241"/>
      <c r="K81" s="241">
        <v>500000</v>
      </c>
      <c r="L81" s="241">
        <v>500000</v>
      </c>
      <c r="M81" s="241">
        <v>500000</v>
      </c>
      <c r="N81" s="337">
        <f t="shared" si="11"/>
        <v>500000</v>
      </c>
      <c r="O81" s="241">
        <f t="shared" si="10"/>
        <v>500000</v>
      </c>
      <c r="P81" s="331">
        <f t="shared" si="5"/>
        <v>2500000</v>
      </c>
      <c r="Q81" s="473"/>
      <c r="R81" s="473"/>
      <c r="S81" s="473"/>
      <c r="T81" s="473"/>
      <c r="U81" s="473"/>
      <c r="V81" s="473"/>
      <c r="W81" s="473"/>
      <c r="X81" s="473"/>
      <c r="Y81" s="473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81"/>
      <c r="AY81" s="181">
        <v>0.5</v>
      </c>
      <c r="AZ81" s="181"/>
      <c r="BA81" s="181"/>
      <c r="BB81" s="181"/>
      <c r="BC81" s="181"/>
      <c r="BD81" s="181"/>
      <c r="BE81" s="181"/>
      <c r="BF81" s="181"/>
      <c r="BG81" s="181"/>
      <c r="BH81" s="181"/>
      <c r="BI81" s="181"/>
      <c r="BJ81" s="181"/>
      <c r="BK81" s="181"/>
      <c r="BL81" s="181"/>
      <c r="BN81" s="183">
        <v>0.5</v>
      </c>
    </row>
    <row r="82" spans="1:66" s="182" customFormat="1">
      <c r="A82" s="243"/>
      <c r="B82" s="248">
        <v>6220</v>
      </c>
      <c r="C82" s="248" t="s">
        <v>547</v>
      </c>
      <c r="D82" s="241"/>
      <c r="E82" s="241"/>
      <c r="F82" s="241"/>
      <c r="G82" s="241"/>
      <c r="H82" s="241"/>
      <c r="I82" s="241"/>
      <c r="J82" s="241"/>
      <c r="K82" s="241">
        <v>1000000</v>
      </c>
      <c r="L82" s="241">
        <v>1000000</v>
      </c>
      <c r="M82" s="241">
        <v>1000000</v>
      </c>
      <c r="N82" s="337">
        <f t="shared" si="11"/>
        <v>1000000</v>
      </c>
      <c r="O82" s="241">
        <f t="shared" si="10"/>
        <v>1000000</v>
      </c>
      <c r="P82" s="331">
        <f t="shared" ref="P82:P133" si="13">SUM(D82:O82)</f>
        <v>5000000</v>
      </c>
      <c r="Q82" s="473"/>
      <c r="R82" s="473"/>
      <c r="S82" s="473"/>
      <c r="T82" s="473"/>
      <c r="U82" s="473"/>
      <c r="V82" s="473"/>
      <c r="W82" s="473"/>
      <c r="X82" s="473"/>
      <c r="Y82" s="473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190"/>
      <c r="AV82" s="190"/>
      <c r="AW82" s="190"/>
      <c r="AX82" s="181"/>
      <c r="AY82" s="181">
        <v>1</v>
      </c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N82" s="183">
        <v>1</v>
      </c>
    </row>
    <row r="83" spans="1:66" s="182" customFormat="1">
      <c r="A83" s="243"/>
      <c r="B83" s="248">
        <v>6221</v>
      </c>
      <c r="C83" s="248" t="s">
        <v>548</v>
      </c>
      <c r="D83" s="241"/>
      <c r="E83" s="241"/>
      <c r="F83" s="241"/>
      <c r="G83" s="241"/>
      <c r="H83" s="241"/>
      <c r="I83" s="241"/>
      <c r="J83" s="241"/>
      <c r="K83" s="241">
        <v>500000</v>
      </c>
      <c r="L83" s="241">
        <v>500000</v>
      </c>
      <c r="M83" s="241">
        <v>500000</v>
      </c>
      <c r="N83" s="337">
        <f t="shared" si="11"/>
        <v>500000</v>
      </c>
      <c r="O83" s="241">
        <f t="shared" si="10"/>
        <v>500000</v>
      </c>
      <c r="P83" s="331">
        <f t="shared" si="13"/>
        <v>2500000</v>
      </c>
      <c r="Q83" s="473"/>
      <c r="R83" s="473"/>
      <c r="S83" s="473"/>
      <c r="T83" s="473"/>
      <c r="U83" s="473"/>
      <c r="V83" s="473"/>
      <c r="W83" s="473"/>
      <c r="X83" s="473"/>
      <c r="Y83" s="473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190"/>
      <c r="AV83" s="190"/>
      <c r="AW83" s="190"/>
      <c r="AX83" s="181"/>
      <c r="AY83" s="181">
        <v>0.5</v>
      </c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N83" s="183">
        <v>0.5</v>
      </c>
    </row>
    <row r="84" spans="1:66" s="124" customFormat="1">
      <c r="A84" s="243"/>
      <c r="B84" s="248">
        <v>6230</v>
      </c>
      <c r="C84" s="248" t="s">
        <v>68</v>
      </c>
      <c r="D84" s="241">
        <v>100000</v>
      </c>
      <c r="E84" s="241">
        <v>53000</v>
      </c>
      <c r="F84" s="241"/>
      <c r="G84" s="241">
        <v>190000</v>
      </c>
      <c r="H84" s="241">
        <v>4444000</v>
      </c>
      <c r="I84" s="241">
        <v>725000</v>
      </c>
      <c r="J84" s="241"/>
      <c r="K84" s="241">
        <v>99999.999999999985</v>
      </c>
      <c r="L84" s="241">
        <v>2762500</v>
      </c>
      <c r="M84" s="241">
        <v>3099999.9999999995</v>
      </c>
      <c r="N84" s="337">
        <f t="shared" si="11"/>
        <v>3099999.9999999995</v>
      </c>
      <c r="O84" s="241">
        <f t="shared" si="10"/>
        <v>3099999.9999999995</v>
      </c>
      <c r="P84" s="331">
        <f t="shared" si="13"/>
        <v>17674500</v>
      </c>
      <c r="Q84" s="227"/>
      <c r="R84" s="227"/>
      <c r="S84" s="227"/>
      <c r="T84" s="227"/>
      <c r="U84" s="227"/>
      <c r="V84" s="227"/>
      <c r="W84" s="227"/>
      <c r="X84" s="227"/>
      <c r="Y84" s="227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80"/>
      <c r="AY84" s="80">
        <v>32.255000000000003</v>
      </c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N84" s="129">
        <v>9.9999999999999992E-2</v>
      </c>
    </row>
    <row r="85" spans="1:66" s="124" customFormat="1">
      <c r="A85" s="243"/>
      <c r="B85" s="248">
        <v>6231</v>
      </c>
      <c r="C85" s="248" t="s">
        <v>69</v>
      </c>
      <c r="D85" s="241">
        <v>5629293</v>
      </c>
      <c r="E85" s="241">
        <v>5523000</v>
      </c>
      <c r="F85" s="241">
        <v>2654000</v>
      </c>
      <c r="G85" s="241">
        <v>2062500</v>
      </c>
      <c r="H85" s="241">
        <v>4055000</v>
      </c>
      <c r="I85" s="241">
        <v>2766000</v>
      </c>
      <c r="J85" s="241">
        <v>703000</v>
      </c>
      <c r="K85" s="241">
        <v>2000000</v>
      </c>
      <c r="L85" s="241">
        <v>0</v>
      </c>
      <c r="M85" s="241">
        <v>2000000</v>
      </c>
      <c r="N85" s="337">
        <f t="shared" si="11"/>
        <v>2000000</v>
      </c>
      <c r="O85" s="241">
        <f t="shared" si="10"/>
        <v>2000000</v>
      </c>
      <c r="P85" s="331">
        <f t="shared" si="13"/>
        <v>31392793</v>
      </c>
      <c r="Q85" s="227"/>
      <c r="R85" s="227"/>
      <c r="S85" s="227"/>
      <c r="T85" s="227"/>
      <c r="U85" s="227"/>
      <c r="V85" s="227"/>
      <c r="W85" s="227"/>
      <c r="X85" s="227"/>
      <c r="Y85" s="227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80"/>
      <c r="AY85" s="80">
        <v>8</v>
      </c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N85" s="129">
        <v>0</v>
      </c>
    </row>
    <row r="86" spans="1:66" s="182" customFormat="1">
      <c r="A86" s="243"/>
      <c r="B86" s="248">
        <v>6240</v>
      </c>
      <c r="C86" s="248" t="s">
        <v>549</v>
      </c>
      <c r="D86" s="241">
        <v>937950</v>
      </c>
      <c r="E86" s="241">
        <v>8589700</v>
      </c>
      <c r="F86" s="241">
        <v>46869000</v>
      </c>
      <c r="G86" s="241">
        <v>3783500</v>
      </c>
      <c r="H86" s="241">
        <v>4555000</v>
      </c>
      <c r="I86" s="241">
        <v>26555900</v>
      </c>
      <c r="J86" s="241">
        <v>1732500</v>
      </c>
      <c r="K86" s="241">
        <v>4500000</v>
      </c>
      <c r="L86" s="241">
        <v>4500000</v>
      </c>
      <c r="M86" s="241">
        <v>4500000</v>
      </c>
      <c r="N86" s="337">
        <f t="shared" si="11"/>
        <v>4500000</v>
      </c>
      <c r="O86" s="241">
        <f t="shared" si="10"/>
        <v>4500000</v>
      </c>
      <c r="P86" s="331">
        <f t="shared" si="13"/>
        <v>115523550</v>
      </c>
      <c r="Q86" s="473"/>
      <c r="R86" s="473"/>
      <c r="S86" s="473"/>
      <c r="T86" s="473"/>
      <c r="U86" s="473"/>
      <c r="V86" s="473"/>
      <c r="W86" s="473"/>
      <c r="X86" s="473"/>
      <c r="Y86" s="473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81"/>
      <c r="AY86" s="181">
        <v>4.5</v>
      </c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N86" s="183">
        <v>4.5</v>
      </c>
    </row>
    <row r="87" spans="1:66" s="182" customFormat="1">
      <c r="A87" s="243"/>
      <c r="B87" s="248">
        <v>6241</v>
      </c>
      <c r="C87" s="248" t="s">
        <v>550</v>
      </c>
      <c r="D87" s="241">
        <v>6080000</v>
      </c>
      <c r="E87" s="241">
        <v>4037000</v>
      </c>
      <c r="F87" s="241">
        <v>15752000</v>
      </c>
      <c r="G87" s="241">
        <v>645000</v>
      </c>
      <c r="H87" s="241">
        <v>1110000</v>
      </c>
      <c r="I87" s="241">
        <v>2880000</v>
      </c>
      <c r="J87" s="241">
        <v>1430000</v>
      </c>
      <c r="K87" s="241">
        <v>2000000</v>
      </c>
      <c r="L87" s="241">
        <v>2000000</v>
      </c>
      <c r="M87" s="241">
        <v>2000000</v>
      </c>
      <c r="N87" s="337">
        <f t="shared" si="11"/>
        <v>2000000</v>
      </c>
      <c r="O87" s="241">
        <f t="shared" si="10"/>
        <v>2000000</v>
      </c>
      <c r="P87" s="331">
        <f t="shared" si="13"/>
        <v>41934000</v>
      </c>
      <c r="Q87" s="473"/>
      <c r="R87" s="473"/>
      <c r="S87" s="473"/>
      <c r="T87" s="473"/>
      <c r="U87" s="473"/>
      <c r="V87" s="473"/>
      <c r="W87" s="473"/>
      <c r="X87" s="473"/>
      <c r="Y87" s="473"/>
      <c r="Z87" s="190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81"/>
      <c r="AY87" s="181">
        <v>2</v>
      </c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N87" s="183">
        <v>2</v>
      </c>
    </row>
    <row r="88" spans="1:66" s="124" customFormat="1">
      <c r="A88" s="243"/>
      <c r="B88" s="248">
        <v>6250</v>
      </c>
      <c r="C88" s="248" t="s">
        <v>72</v>
      </c>
      <c r="D88" s="241">
        <v>34200000</v>
      </c>
      <c r="E88" s="241">
        <v>34200000</v>
      </c>
      <c r="F88" s="241">
        <v>34200000</v>
      </c>
      <c r="G88" s="241">
        <v>34200000</v>
      </c>
      <c r="H88" s="241">
        <v>34200000</v>
      </c>
      <c r="I88" s="241">
        <v>68400000</v>
      </c>
      <c r="J88" s="241"/>
      <c r="K88" s="241">
        <v>34200000</v>
      </c>
      <c r="L88" s="241">
        <f>K88</f>
        <v>34200000</v>
      </c>
      <c r="M88" s="241">
        <f>K88</f>
        <v>34200000</v>
      </c>
      <c r="N88" s="337">
        <f t="shared" si="11"/>
        <v>34200000</v>
      </c>
      <c r="O88" s="241">
        <f t="shared" si="10"/>
        <v>34200000</v>
      </c>
      <c r="P88" s="331">
        <f t="shared" si="13"/>
        <v>410400000</v>
      </c>
      <c r="Q88" s="227"/>
      <c r="R88" s="227"/>
      <c r="S88" s="227"/>
      <c r="T88" s="227"/>
      <c r="U88" s="227"/>
      <c r="V88" s="227"/>
      <c r="W88" s="227"/>
      <c r="X88" s="227"/>
      <c r="Y88" s="227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80"/>
      <c r="AY88" s="80">
        <v>39</v>
      </c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N88" s="129">
        <v>39</v>
      </c>
    </row>
    <row r="89" spans="1:66" s="124" customFormat="1">
      <c r="A89" s="243"/>
      <c r="B89" s="248"/>
      <c r="C89" s="248"/>
      <c r="D89" s="241"/>
      <c r="E89" s="241"/>
      <c r="F89" s="241"/>
      <c r="G89" s="241"/>
      <c r="H89" s="241"/>
      <c r="I89" s="241"/>
      <c r="J89" s="241"/>
      <c r="K89" s="241">
        <v>0</v>
      </c>
      <c r="L89" s="241">
        <v>0</v>
      </c>
      <c r="M89" s="241">
        <v>0</v>
      </c>
      <c r="N89" s="337">
        <f t="shared" si="11"/>
        <v>0</v>
      </c>
      <c r="O89" s="241">
        <f t="shared" si="10"/>
        <v>0</v>
      </c>
      <c r="P89" s="331">
        <f t="shared" si="13"/>
        <v>0</v>
      </c>
      <c r="Q89" s="227"/>
      <c r="R89" s="227"/>
      <c r="S89" s="227"/>
      <c r="T89" s="227"/>
      <c r="U89" s="227"/>
      <c r="V89" s="227"/>
      <c r="W89" s="227"/>
      <c r="X89" s="227"/>
      <c r="Y89" s="227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N89" s="129"/>
    </row>
    <row r="90" spans="1:66" s="124" customFormat="1">
      <c r="A90" s="243"/>
      <c r="B90" s="247" t="s">
        <v>73</v>
      </c>
      <c r="C90" s="248"/>
      <c r="D90" s="241"/>
      <c r="E90" s="241"/>
      <c r="F90" s="241"/>
      <c r="G90" s="241"/>
      <c r="H90" s="241"/>
      <c r="I90" s="241"/>
      <c r="J90" s="241"/>
      <c r="K90" s="241">
        <v>0</v>
      </c>
      <c r="L90" s="241">
        <v>0</v>
      </c>
      <c r="M90" s="241">
        <v>0</v>
      </c>
      <c r="N90" s="337">
        <f t="shared" si="11"/>
        <v>0</v>
      </c>
      <c r="O90" s="241">
        <f t="shared" si="10"/>
        <v>0</v>
      </c>
      <c r="P90" s="331">
        <f t="shared" si="13"/>
        <v>0</v>
      </c>
      <c r="Q90" s="227"/>
      <c r="R90" s="227"/>
      <c r="S90" s="227"/>
      <c r="T90" s="227"/>
      <c r="U90" s="227"/>
      <c r="V90" s="227"/>
      <c r="W90" s="227"/>
      <c r="X90" s="227"/>
      <c r="Y90" s="227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N90" s="129"/>
    </row>
    <row r="91" spans="1:66" s="124" customFormat="1">
      <c r="A91" s="243"/>
      <c r="B91" s="248">
        <v>6000</v>
      </c>
      <c r="C91" s="248" t="s">
        <v>74</v>
      </c>
      <c r="D91" s="241"/>
      <c r="E91" s="241"/>
      <c r="F91" s="241"/>
      <c r="G91" s="241"/>
      <c r="H91" s="241"/>
      <c r="I91" s="241"/>
      <c r="J91" s="241"/>
      <c r="K91" s="241">
        <v>0</v>
      </c>
      <c r="L91" s="241">
        <v>0</v>
      </c>
      <c r="M91" s="241">
        <v>0</v>
      </c>
      <c r="N91" s="337">
        <f t="shared" si="11"/>
        <v>0</v>
      </c>
      <c r="O91" s="241">
        <f t="shared" si="10"/>
        <v>0</v>
      </c>
      <c r="P91" s="331">
        <f t="shared" si="13"/>
        <v>0</v>
      </c>
      <c r="Q91" s="227"/>
      <c r="R91" s="227"/>
      <c r="S91" s="227"/>
      <c r="T91" s="227"/>
      <c r="U91" s="227"/>
      <c r="V91" s="227"/>
      <c r="W91" s="227"/>
      <c r="X91" s="227"/>
      <c r="Y91" s="227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N91" s="129"/>
    </row>
    <row r="92" spans="1:66" s="124" customFormat="1">
      <c r="A92" s="243"/>
      <c r="B92" s="248">
        <v>6001</v>
      </c>
      <c r="C92" s="248" t="s">
        <v>640</v>
      </c>
      <c r="D92" s="241">
        <v>974192702</v>
      </c>
      <c r="E92" s="241">
        <v>946395189</v>
      </c>
      <c r="F92" s="241">
        <v>1150419296</v>
      </c>
      <c r="G92" s="241">
        <v>1269255474</v>
      </c>
      <c r="H92" s="241">
        <v>1159150729</v>
      </c>
      <c r="I92" s="241">
        <v>1224910450</v>
      </c>
      <c r="J92" s="241">
        <v>1190781971</v>
      </c>
      <c r="K92" s="241">
        <v>1100000000</v>
      </c>
      <c r="L92" s="241">
        <f>+K92</f>
        <v>1100000000</v>
      </c>
      <c r="M92" s="241">
        <f>+L92</f>
        <v>1100000000</v>
      </c>
      <c r="N92" s="337">
        <f t="shared" si="11"/>
        <v>1100000000</v>
      </c>
      <c r="O92" s="241">
        <f t="shared" si="10"/>
        <v>1100000000</v>
      </c>
      <c r="P92" s="331">
        <f t="shared" si="13"/>
        <v>13415105811</v>
      </c>
      <c r="Q92" s="227"/>
      <c r="R92" s="227"/>
      <c r="S92" s="227"/>
      <c r="T92" s="227"/>
      <c r="U92" s="227"/>
      <c r="V92" s="227"/>
      <c r="W92" s="227"/>
      <c r="X92" s="227"/>
      <c r="Y92" s="227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80"/>
      <c r="AY92" s="80">
        <v>1000</v>
      </c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N92" s="129">
        <v>1000</v>
      </c>
    </row>
    <row r="93" spans="1:66" s="124" customFormat="1" ht="31.5">
      <c r="A93" s="243"/>
      <c r="B93" s="248">
        <v>6002</v>
      </c>
      <c r="C93" s="249" t="s">
        <v>641</v>
      </c>
      <c r="D93" s="241">
        <v>78294378</v>
      </c>
      <c r="E93" s="241">
        <v>53037066</v>
      </c>
      <c r="F93" s="241">
        <v>87054467</v>
      </c>
      <c r="G93" s="241">
        <v>71033248</v>
      </c>
      <c r="H93" s="241">
        <v>51414277</v>
      </c>
      <c r="I93" s="241">
        <v>118735400</v>
      </c>
      <c r="J93" s="241">
        <v>68176812</v>
      </c>
      <c r="K93" s="241">
        <v>90000000</v>
      </c>
      <c r="L93" s="241">
        <v>90000000</v>
      </c>
      <c r="M93" s="241">
        <v>90000000</v>
      </c>
      <c r="N93" s="337">
        <f t="shared" si="11"/>
        <v>90000000</v>
      </c>
      <c r="O93" s="241">
        <f t="shared" si="10"/>
        <v>90000000</v>
      </c>
      <c r="P93" s="331">
        <f t="shared" si="13"/>
        <v>977745648</v>
      </c>
      <c r="Q93" s="227"/>
      <c r="R93" s="227"/>
      <c r="S93" s="227"/>
      <c r="T93" s="227"/>
      <c r="U93" s="227"/>
      <c r="V93" s="227"/>
      <c r="W93" s="227"/>
      <c r="X93" s="227"/>
      <c r="Y93" s="227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80"/>
      <c r="AY93" s="80">
        <v>90</v>
      </c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N93" s="129">
        <v>90</v>
      </c>
    </row>
    <row r="94" spans="1:66" s="124" customFormat="1">
      <c r="A94" s="243"/>
      <c r="B94" s="248">
        <v>6020</v>
      </c>
      <c r="C94" s="248" t="s">
        <v>77</v>
      </c>
      <c r="D94" s="241">
        <v>914329604</v>
      </c>
      <c r="E94" s="241">
        <v>906969099</v>
      </c>
      <c r="F94" s="241">
        <v>1057968297</v>
      </c>
      <c r="G94" s="241">
        <v>1036388172</v>
      </c>
      <c r="H94" s="241">
        <v>1170486312</v>
      </c>
      <c r="I94" s="241">
        <v>1246079170</v>
      </c>
      <c r="J94" s="241">
        <v>1310180383</v>
      </c>
      <c r="K94" s="241">
        <v>1100000000</v>
      </c>
      <c r="L94" s="241">
        <v>1250000000</v>
      </c>
      <c r="M94" s="241">
        <f>+L94</f>
        <v>1250000000</v>
      </c>
      <c r="N94" s="337">
        <f t="shared" si="11"/>
        <v>1250000000</v>
      </c>
      <c r="O94" s="241">
        <f t="shared" si="10"/>
        <v>1250000000</v>
      </c>
      <c r="P94" s="331">
        <f t="shared" si="13"/>
        <v>13742401037</v>
      </c>
      <c r="Q94" s="227"/>
      <c r="R94" s="227"/>
      <c r="S94" s="227"/>
      <c r="T94" s="227"/>
      <c r="U94" s="227"/>
      <c r="V94" s="227"/>
      <c r="W94" s="227"/>
      <c r="X94" s="227"/>
      <c r="Y94" s="227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80"/>
      <c r="AY94" s="80">
        <v>1000</v>
      </c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N94" s="129">
        <v>1000</v>
      </c>
    </row>
    <row r="95" spans="1:66" s="124" customFormat="1">
      <c r="A95" s="243"/>
      <c r="B95" s="248">
        <v>6021</v>
      </c>
      <c r="C95" s="248" t="s">
        <v>78</v>
      </c>
      <c r="D95" s="241">
        <v>149308473</v>
      </c>
      <c r="E95" s="241"/>
      <c r="F95" s="241">
        <v>160548858</v>
      </c>
      <c r="G95" s="241"/>
      <c r="H95" s="241">
        <v>190966215</v>
      </c>
      <c r="I95" s="241"/>
      <c r="J95" s="241">
        <v>185521682</v>
      </c>
      <c r="K95" s="241">
        <v>90000000</v>
      </c>
      <c r="L95" s="241">
        <v>90000000</v>
      </c>
      <c r="M95" s="241">
        <v>90000000</v>
      </c>
      <c r="N95" s="337">
        <f t="shared" si="11"/>
        <v>90000000</v>
      </c>
      <c r="O95" s="241">
        <f t="shared" si="10"/>
        <v>90000000</v>
      </c>
      <c r="P95" s="331">
        <f t="shared" si="13"/>
        <v>1136345228</v>
      </c>
      <c r="Q95" s="227"/>
      <c r="R95" s="227"/>
      <c r="S95" s="227"/>
      <c r="T95" s="227"/>
      <c r="U95" s="227"/>
      <c r="V95" s="227"/>
      <c r="W95" s="227"/>
      <c r="X95" s="227"/>
      <c r="Y95" s="227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80"/>
      <c r="AY95" s="80">
        <v>90</v>
      </c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N95" s="129">
        <v>90</v>
      </c>
    </row>
    <row r="96" spans="1:66" s="124" customFormat="1" ht="16.5" customHeight="1">
      <c r="A96" s="243"/>
      <c r="B96" s="248">
        <v>6030</v>
      </c>
      <c r="C96" s="248" t="s">
        <v>79</v>
      </c>
      <c r="D96" s="241">
        <v>3012250</v>
      </c>
      <c r="E96" s="241">
        <v>2015000</v>
      </c>
      <c r="F96" s="241">
        <v>1566350</v>
      </c>
      <c r="G96" s="241">
        <v>2708750</v>
      </c>
      <c r="H96" s="241">
        <v>5272070</v>
      </c>
      <c r="I96" s="241">
        <v>5286050</v>
      </c>
      <c r="J96" s="241">
        <v>965200</v>
      </c>
      <c r="K96" s="241">
        <v>4000000</v>
      </c>
      <c r="L96" s="241">
        <v>4000000</v>
      </c>
      <c r="M96" s="241">
        <v>4000000</v>
      </c>
      <c r="N96" s="337">
        <f t="shared" si="11"/>
        <v>4000000</v>
      </c>
      <c r="O96" s="241">
        <f t="shared" si="10"/>
        <v>4000000</v>
      </c>
      <c r="P96" s="331">
        <f t="shared" si="13"/>
        <v>40825670</v>
      </c>
      <c r="Q96" s="227"/>
      <c r="R96" s="227"/>
      <c r="S96" s="227"/>
      <c r="T96" s="227"/>
      <c r="U96" s="227"/>
      <c r="V96" s="227"/>
      <c r="W96" s="227"/>
      <c r="X96" s="227"/>
      <c r="Y96" s="227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80"/>
      <c r="AY96" s="80">
        <v>4</v>
      </c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N96" s="129">
        <v>4</v>
      </c>
    </row>
    <row r="97" spans="1:66" s="124" customFormat="1" ht="16.5" customHeight="1">
      <c r="A97" s="243"/>
      <c r="B97" s="248">
        <v>6040</v>
      </c>
      <c r="C97" s="248" t="s">
        <v>80</v>
      </c>
      <c r="D97" s="241"/>
      <c r="E97" s="241"/>
      <c r="F97" s="241"/>
      <c r="G97" s="241"/>
      <c r="H97" s="241"/>
      <c r="I97" s="241"/>
      <c r="J97" s="241"/>
      <c r="K97" s="241">
        <v>0</v>
      </c>
      <c r="L97" s="241">
        <v>0</v>
      </c>
      <c r="M97" s="241">
        <v>0</v>
      </c>
      <c r="N97" s="337">
        <f t="shared" si="11"/>
        <v>0</v>
      </c>
      <c r="O97" s="241">
        <f t="shared" si="10"/>
        <v>0</v>
      </c>
      <c r="P97" s="331">
        <f t="shared" si="13"/>
        <v>0</v>
      </c>
      <c r="Q97" s="227"/>
      <c r="R97" s="227"/>
      <c r="S97" s="227"/>
      <c r="T97" s="227"/>
      <c r="U97" s="227"/>
      <c r="V97" s="227"/>
      <c r="W97" s="227"/>
      <c r="X97" s="227"/>
      <c r="Y97" s="227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N97" s="129"/>
    </row>
    <row r="98" spans="1:66" s="124" customFormat="1">
      <c r="A98" s="243"/>
      <c r="B98" s="248">
        <v>6041</v>
      </c>
      <c r="C98" s="248" t="s">
        <v>81</v>
      </c>
      <c r="D98" s="241"/>
      <c r="E98" s="241"/>
      <c r="F98" s="241"/>
      <c r="G98" s="241"/>
      <c r="H98" s="241"/>
      <c r="I98" s="241"/>
      <c r="J98" s="241"/>
      <c r="K98" s="241">
        <v>0</v>
      </c>
      <c r="L98" s="241">
        <v>0</v>
      </c>
      <c r="M98" s="241">
        <v>0</v>
      </c>
      <c r="N98" s="337">
        <f t="shared" si="11"/>
        <v>0</v>
      </c>
      <c r="O98" s="241">
        <f t="shared" si="10"/>
        <v>0</v>
      </c>
      <c r="P98" s="331">
        <f t="shared" si="13"/>
        <v>0</v>
      </c>
      <c r="Q98" s="227"/>
      <c r="R98" s="227"/>
      <c r="S98" s="227"/>
      <c r="T98" s="227"/>
      <c r="U98" s="227"/>
      <c r="V98" s="227"/>
      <c r="W98" s="227"/>
      <c r="X98" s="227"/>
      <c r="Y98" s="227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N98" s="129"/>
    </row>
    <row r="99" spans="1:66" s="124" customFormat="1">
      <c r="A99" s="243"/>
      <c r="B99" s="248">
        <v>6050</v>
      </c>
      <c r="C99" s="248" t="s">
        <v>82</v>
      </c>
      <c r="D99" s="241">
        <v>135179900</v>
      </c>
      <c r="E99" s="241">
        <v>117806900</v>
      </c>
      <c r="F99" s="241">
        <v>127102800</v>
      </c>
      <c r="G99" s="241">
        <v>101722500</v>
      </c>
      <c r="H99" s="241">
        <v>125173300</v>
      </c>
      <c r="I99" s="241">
        <v>92339300</v>
      </c>
      <c r="J99" s="241">
        <v>78874100</v>
      </c>
      <c r="K99" s="241">
        <v>115000000</v>
      </c>
      <c r="L99" s="241">
        <v>115000000</v>
      </c>
      <c r="M99" s="241">
        <v>115000000</v>
      </c>
      <c r="N99" s="337">
        <f t="shared" si="11"/>
        <v>115000000</v>
      </c>
      <c r="O99" s="241">
        <f t="shared" si="10"/>
        <v>115000000</v>
      </c>
      <c r="P99" s="331">
        <f t="shared" si="13"/>
        <v>1353198800</v>
      </c>
      <c r="Q99" s="227"/>
      <c r="R99" s="227"/>
      <c r="S99" s="227"/>
      <c r="T99" s="227"/>
      <c r="U99" s="227"/>
      <c r="V99" s="227"/>
      <c r="W99" s="227"/>
      <c r="X99" s="227"/>
      <c r="Y99" s="227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80"/>
      <c r="AY99" s="80">
        <v>115</v>
      </c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N99" s="129">
        <v>115</v>
      </c>
    </row>
    <row r="100" spans="1:66" s="124" customFormat="1">
      <c r="A100" s="243"/>
      <c r="B100" s="248">
        <v>6051</v>
      </c>
      <c r="C100" s="248" t="s">
        <v>83</v>
      </c>
      <c r="D100" s="241">
        <v>1763000</v>
      </c>
      <c r="E100" s="241">
        <v>532000</v>
      </c>
      <c r="F100" s="241">
        <v>532000</v>
      </c>
      <c r="G100" s="241">
        <v>665000</v>
      </c>
      <c r="H100" s="241"/>
      <c r="I100" s="241">
        <v>532000</v>
      </c>
      <c r="J100" s="241">
        <v>665000</v>
      </c>
      <c r="K100" s="241">
        <v>600000</v>
      </c>
      <c r="L100" s="241">
        <v>600000</v>
      </c>
      <c r="M100" s="241">
        <v>600000</v>
      </c>
      <c r="N100" s="337">
        <f t="shared" si="11"/>
        <v>600000</v>
      </c>
      <c r="O100" s="241">
        <f t="shared" si="10"/>
        <v>600000</v>
      </c>
      <c r="P100" s="331">
        <f t="shared" si="13"/>
        <v>7689000</v>
      </c>
      <c r="Q100" s="227"/>
      <c r="R100" s="227"/>
      <c r="S100" s="227"/>
      <c r="T100" s="227"/>
      <c r="U100" s="227"/>
      <c r="V100" s="227"/>
      <c r="W100" s="227"/>
      <c r="X100" s="227"/>
      <c r="Y100" s="227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80"/>
      <c r="AY100" s="80">
        <v>0.6</v>
      </c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N100" s="129">
        <v>0.6</v>
      </c>
    </row>
    <row r="101" spans="1:66" s="124" customFormat="1">
      <c r="A101" s="243"/>
      <c r="B101" s="248">
        <v>6052</v>
      </c>
      <c r="C101" s="248" t="s">
        <v>84</v>
      </c>
      <c r="D101" s="241">
        <v>470000</v>
      </c>
      <c r="E101" s="241"/>
      <c r="F101" s="241"/>
      <c r="G101" s="241"/>
      <c r="H101" s="241"/>
      <c r="I101" s="241"/>
      <c r="J101" s="241"/>
      <c r="K101" s="241">
        <v>500000</v>
      </c>
      <c r="L101" s="241">
        <v>500000</v>
      </c>
      <c r="M101" s="241">
        <v>500000</v>
      </c>
      <c r="N101" s="337">
        <f t="shared" si="11"/>
        <v>500000</v>
      </c>
      <c r="O101" s="241">
        <f t="shared" ref="O101:O104" si="14">+N101+(N101*$O$10%)</f>
        <v>500000</v>
      </c>
      <c r="P101" s="331">
        <f t="shared" si="13"/>
        <v>2970000</v>
      </c>
      <c r="Q101" s="227"/>
      <c r="R101" s="227"/>
      <c r="S101" s="227"/>
      <c r="T101" s="227"/>
      <c r="U101" s="227"/>
      <c r="V101" s="227"/>
      <c r="W101" s="227"/>
      <c r="X101" s="227"/>
      <c r="Y101" s="227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80"/>
      <c r="AY101" s="80">
        <v>0.5</v>
      </c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N101" s="129">
        <v>0.5</v>
      </c>
    </row>
    <row r="102" spans="1:66" s="124" customFormat="1">
      <c r="A102" s="243"/>
      <c r="B102" s="248">
        <v>6090</v>
      </c>
      <c r="C102" s="248" t="s">
        <v>85</v>
      </c>
      <c r="D102" s="241"/>
      <c r="E102" s="241"/>
      <c r="F102" s="241"/>
      <c r="G102" s="241"/>
      <c r="H102" s="241"/>
      <c r="I102" s="241"/>
      <c r="J102" s="241"/>
      <c r="K102" s="241">
        <v>1000000</v>
      </c>
      <c r="L102" s="241">
        <v>1000000</v>
      </c>
      <c r="M102" s="241">
        <v>1000000</v>
      </c>
      <c r="N102" s="337">
        <f t="shared" ref="N102:N104" si="15">+M102+(M102*$N$10%)</f>
        <v>1000000</v>
      </c>
      <c r="O102" s="241">
        <f t="shared" si="14"/>
        <v>1000000</v>
      </c>
      <c r="P102" s="331">
        <f t="shared" si="13"/>
        <v>5000000</v>
      </c>
      <c r="Q102" s="227"/>
      <c r="R102" s="227"/>
      <c r="S102" s="227"/>
      <c r="T102" s="227"/>
      <c r="U102" s="227"/>
      <c r="V102" s="227"/>
      <c r="W102" s="227"/>
      <c r="X102" s="227"/>
      <c r="Y102" s="227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80"/>
      <c r="AY102" s="80">
        <v>1</v>
      </c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N102" s="129">
        <v>1</v>
      </c>
    </row>
    <row r="103" spans="1:66" s="124" customFormat="1">
      <c r="A103" s="243"/>
      <c r="B103" s="248"/>
      <c r="C103" s="248" t="s">
        <v>670</v>
      </c>
      <c r="D103" s="241"/>
      <c r="E103" s="241">
        <v>37880000</v>
      </c>
      <c r="F103" s="241">
        <v>28160000</v>
      </c>
      <c r="G103" s="241">
        <v>57600000</v>
      </c>
      <c r="H103" s="241">
        <v>63360000</v>
      </c>
      <c r="I103" s="241">
        <v>40320000</v>
      </c>
      <c r="J103" s="241">
        <v>62000000</v>
      </c>
      <c r="K103" s="241">
        <v>65000000</v>
      </c>
      <c r="L103" s="241">
        <v>65000000</v>
      </c>
      <c r="M103" s="241">
        <v>65000000</v>
      </c>
      <c r="N103" s="337">
        <f t="shared" si="15"/>
        <v>65000000</v>
      </c>
      <c r="O103" s="241">
        <f t="shared" si="14"/>
        <v>65000000</v>
      </c>
      <c r="P103" s="331">
        <f t="shared" si="13"/>
        <v>614320000</v>
      </c>
      <c r="Q103" s="227"/>
      <c r="R103" s="227"/>
      <c r="S103" s="227"/>
      <c r="T103" s="227"/>
      <c r="U103" s="227"/>
      <c r="V103" s="227"/>
      <c r="W103" s="227"/>
      <c r="X103" s="227"/>
      <c r="Y103" s="227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80"/>
      <c r="AY103" s="80">
        <v>65</v>
      </c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N103" s="129">
        <v>65</v>
      </c>
    </row>
    <row r="104" spans="1:66" s="124" customFormat="1">
      <c r="A104" s="243"/>
      <c r="B104" s="248"/>
      <c r="C104" s="248" t="s">
        <v>87</v>
      </c>
      <c r="D104" s="241"/>
      <c r="E104" s="241"/>
      <c r="F104" s="241"/>
      <c r="G104" s="241"/>
      <c r="H104" s="241">
        <v>65910000</v>
      </c>
      <c r="I104" s="241"/>
      <c r="J104" s="241"/>
      <c r="K104" s="241"/>
      <c r="L104" s="241"/>
      <c r="M104" s="241">
        <f t="shared" ref="M104:M105" si="16">AY104*1000000</f>
        <v>0</v>
      </c>
      <c r="N104" s="337">
        <f t="shared" si="15"/>
        <v>0</v>
      </c>
      <c r="O104" s="241">
        <f t="shared" si="14"/>
        <v>0</v>
      </c>
      <c r="P104" s="331">
        <f t="shared" si="13"/>
        <v>65910000</v>
      </c>
      <c r="Q104" s="227"/>
      <c r="R104" s="227"/>
      <c r="S104" s="227"/>
      <c r="T104" s="227"/>
      <c r="U104" s="227"/>
      <c r="V104" s="227"/>
      <c r="W104" s="227"/>
      <c r="X104" s="227"/>
      <c r="Y104" s="227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N104" s="129"/>
    </row>
    <row r="105" spans="1:66" s="124" customFormat="1">
      <c r="A105" s="243"/>
      <c r="B105" s="248"/>
      <c r="C105" s="248" t="s">
        <v>88</v>
      </c>
      <c r="D105" s="241"/>
      <c r="E105" s="241"/>
      <c r="F105" s="241"/>
      <c r="G105" s="241"/>
      <c r="H105" s="241"/>
      <c r="I105" s="241"/>
      <c r="J105" s="241"/>
      <c r="K105" s="241"/>
      <c r="L105" s="241"/>
      <c r="M105" s="241">
        <f t="shared" si="16"/>
        <v>0</v>
      </c>
      <c r="N105" s="337"/>
      <c r="O105" s="241"/>
      <c r="P105" s="331">
        <f t="shared" si="13"/>
        <v>0</v>
      </c>
      <c r="Q105" s="227"/>
      <c r="R105" s="227"/>
      <c r="S105" s="227"/>
      <c r="T105" s="227"/>
      <c r="U105" s="227"/>
      <c r="V105" s="227"/>
      <c r="W105" s="227"/>
      <c r="X105" s="227"/>
      <c r="Y105" s="227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N105" s="129"/>
    </row>
    <row r="106" spans="1:66" s="124" customFormat="1">
      <c r="A106" s="243"/>
      <c r="B106" s="248"/>
      <c r="C106" s="248" t="s">
        <v>89</v>
      </c>
      <c r="D106" s="241"/>
      <c r="E106" s="241"/>
      <c r="F106" s="241"/>
      <c r="G106" s="241"/>
      <c r="H106" s="241">
        <v>10927920</v>
      </c>
      <c r="I106" s="241"/>
      <c r="J106" s="241"/>
      <c r="K106" s="241"/>
      <c r="L106" s="241"/>
      <c r="M106" s="241"/>
      <c r="N106" s="337"/>
      <c r="O106" s="241">
        <f>54656000+46697616</f>
        <v>101353616</v>
      </c>
      <c r="P106" s="331">
        <f t="shared" si="13"/>
        <v>112281536</v>
      </c>
      <c r="Q106" s="227"/>
      <c r="R106" s="227"/>
      <c r="S106" s="227"/>
      <c r="T106" s="227"/>
      <c r="U106" s="227"/>
      <c r="V106" s="227"/>
      <c r="W106" s="227"/>
      <c r="X106" s="227"/>
      <c r="Y106" s="227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N106" s="129"/>
    </row>
    <row r="107" spans="1:66" s="124" customFormat="1">
      <c r="A107" s="243"/>
      <c r="B107" s="548" t="s">
        <v>90</v>
      </c>
      <c r="C107" s="548"/>
      <c r="D107" s="245">
        <f>SUM(D33:D106)</f>
        <v>3134720472</v>
      </c>
      <c r="E107" s="245">
        <f t="shared" ref="E107:O107" si="17">SUM(E33:E106)</f>
        <v>2972186794</v>
      </c>
      <c r="F107" s="245">
        <f t="shared" si="17"/>
        <v>3501647066.5700002</v>
      </c>
      <c r="G107" s="245">
        <f t="shared" si="17"/>
        <v>3479292307.5599999</v>
      </c>
      <c r="H107" s="245">
        <f t="shared" si="17"/>
        <v>3827007531</v>
      </c>
      <c r="I107" s="245">
        <f t="shared" si="17"/>
        <v>4454155810.9099998</v>
      </c>
      <c r="J107" s="245">
        <f t="shared" si="17"/>
        <v>3840424581</v>
      </c>
      <c r="K107" s="245">
        <f t="shared" si="17"/>
        <v>3628815000</v>
      </c>
      <c r="L107" s="245">
        <f t="shared" si="17"/>
        <v>3851864266.5</v>
      </c>
      <c r="M107" s="245">
        <f t="shared" si="17"/>
        <v>3841815000</v>
      </c>
      <c r="N107" s="339">
        <f t="shared" si="17"/>
        <v>3843815000</v>
      </c>
      <c r="O107" s="245">
        <f t="shared" si="17"/>
        <v>3925168616</v>
      </c>
      <c r="P107" s="332">
        <f t="shared" si="13"/>
        <v>44300912445.540001</v>
      </c>
      <c r="Q107" s="333"/>
      <c r="R107" s="333"/>
      <c r="S107" s="333"/>
      <c r="T107" s="333"/>
      <c r="U107" s="333"/>
      <c r="V107" s="333"/>
      <c r="W107" s="333"/>
      <c r="X107" s="333"/>
      <c r="Y107" s="333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  <c r="AU107" s="153"/>
      <c r="AV107" s="153"/>
      <c r="AW107" s="153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N107" s="129">
        <v>3363.3003004999996</v>
      </c>
    </row>
    <row r="108" spans="1:66" s="124" customFormat="1">
      <c r="A108" s="243"/>
      <c r="B108" s="248"/>
      <c r="C108" s="248" t="str">
        <f>+[6]PENGELUARAN!$A$84</f>
        <v>Investasi</v>
      </c>
      <c r="D108" s="241"/>
      <c r="E108" s="241"/>
      <c r="F108" s="241"/>
      <c r="G108" s="241">
        <v>101000000</v>
      </c>
      <c r="H108" s="241"/>
      <c r="I108" s="241"/>
      <c r="J108" s="241">
        <v>150000000</v>
      </c>
      <c r="K108" s="241">
        <v>41000000</v>
      </c>
      <c r="L108" s="241">
        <v>30000000</v>
      </c>
      <c r="M108" s="241">
        <v>17000000</v>
      </c>
      <c r="N108" s="337">
        <f>590220000-350000000</f>
        <v>240220000</v>
      </c>
      <c r="O108" s="241">
        <f>617000000-500000000</f>
        <v>117000000</v>
      </c>
      <c r="P108" s="331">
        <f t="shared" si="13"/>
        <v>696220000</v>
      </c>
      <c r="Q108" s="227"/>
      <c r="R108" s="227"/>
      <c r="S108" s="227"/>
      <c r="T108" s="227"/>
      <c r="U108" s="227"/>
      <c r="V108" s="227"/>
      <c r="W108" s="227"/>
      <c r="X108" s="227"/>
      <c r="Y108" s="227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N108" s="129"/>
    </row>
    <row r="109" spans="1:66" s="182" customFormat="1" ht="32.25" customHeight="1">
      <c r="A109" s="243"/>
      <c r="B109" s="248"/>
      <c r="C109" s="250" t="s">
        <v>585</v>
      </c>
      <c r="D109" s="241"/>
      <c r="E109" s="241"/>
      <c r="F109" s="241"/>
      <c r="G109" s="241"/>
      <c r="H109" s="241"/>
      <c r="I109" s="241"/>
      <c r="J109" s="241"/>
      <c r="K109" s="241">
        <v>50000000</v>
      </c>
      <c r="L109" s="241">
        <v>50000000</v>
      </c>
      <c r="M109" s="241">
        <v>25000000</v>
      </c>
      <c r="N109" s="337"/>
      <c r="O109" s="241">
        <f>N109</f>
        <v>0</v>
      </c>
      <c r="P109" s="331">
        <f t="shared" si="13"/>
        <v>125000000</v>
      </c>
      <c r="Q109" s="473"/>
      <c r="R109" s="473"/>
      <c r="S109" s="473"/>
      <c r="T109" s="473"/>
      <c r="U109" s="473"/>
      <c r="V109" s="473"/>
      <c r="W109" s="473"/>
      <c r="X109" s="473"/>
      <c r="Y109" s="473"/>
      <c r="Z109" s="190"/>
      <c r="AA109" s="190"/>
      <c r="AB109" s="190"/>
      <c r="AC109" s="190"/>
      <c r="AD109" s="190"/>
      <c r="AE109" s="190"/>
      <c r="AF109" s="190"/>
      <c r="AG109" s="190"/>
      <c r="AH109" s="190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190"/>
      <c r="AV109" s="190"/>
      <c r="AW109" s="190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N109" s="183">
        <v>30</v>
      </c>
    </row>
    <row r="110" spans="1:66" s="182" customFormat="1">
      <c r="A110" s="243"/>
      <c r="B110" s="248"/>
      <c r="C110" s="248" t="s">
        <v>551</v>
      </c>
      <c r="D110" s="241"/>
      <c r="E110" s="241"/>
      <c r="F110" s="241"/>
      <c r="G110" s="241"/>
      <c r="H110" s="241"/>
      <c r="I110" s="241"/>
      <c r="J110" s="241"/>
      <c r="K110" s="241"/>
      <c r="L110" s="241">
        <v>40000000</v>
      </c>
      <c r="M110" s="241"/>
      <c r="N110" s="337"/>
      <c r="O110" s="241"/>
      <c r="P110" s="331">
        <f t="shared" si="13"/>
        <v>40000000</v>
      </c>
      <c r="Q110" s="473"/>
      <c r="R110" s="473"/>
      <c r="S110" s="473"/>
      <c r="T110" s="473"/>
      <c r="U110" s="473"/>
      <c r="V110" s="473"/>
      <c r="W110" s="473"/>
      <c r="X110" s="473"/>
      <c r="Y110" s="473"/>
      <c r="Z110" s="190"/>
      <c r="AA110" s="190"/>
      <c r="AB110" s="190"/>
      <c r="AC110" s="190"/>
      <c r="AD110" s="190"/>
      <c r="AE110" s="190"/>
      <c r="AF110" s="190"/>
      <c r="AG110" s="190"/>
      <c r="AH110" s="190"/>
      <c r="AI110" s="190"/>
      <c r="AJ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190"/>
      <c r="AV110" s="190"/>
      <c r="AW110" s="190"/>
      <c r="AX110" s="181"/>
      <c r="AY110" s="181"/>
      <c r="AZ110" s="181" t="s">
        <v>224</v>
      </c>
      <c r="BA110" s="181" t="s">
        <v>156</v>
      </c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N110" s="183"/>
    </row>
    <row r="111" spans="1:66" s="124" customFormat="1">
      <c r="A111" s="243"/>
      <c r="B111" s="248"/>
      <c r="C111" s="248" t="s">
        <v>344</v>
      </c>
      <c r="D111" s="241"/>
      <c r="E111" s="241">
        <v>17208847</v>
      </c>
      <c r="F111" s="241"/>
      <c r="G111" s="241">
        <v>14275966</v>
      </c>
      <c r="H111" s="241">
        <v>25620648</v>
      </c>
      <c r="I111" s="241"/>
      <c r="J111" s="241">
        <v>40553429</v>
      </c>
      <c r="K111" s="241"/>
      <c r="L111" s="241"/>
      <c r="M111" s="241"/>
      <c r="N111" s="337"/>
      <c r="O111" s="241"/>
      <c r="P111" s="331">
        <f t="shared" si="13"/>
        <v>97658890</v>
      </c>
      <c r="Q111" s="227"/>
      <c r="R111" s="227"/>
      <c r="S111" s="227"/>
      <c r="T111" s="227"/>
      <c r="U111" s="227"/>
      <c r="V111" s="227"/>
      <c r="W111" s="227"/>
      <c r="X111" s="227"/>
      <c r="Y111" s="227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</row>
    <row r="112" spans="1:66" s="124" customFormat="1">
      <c r="A112" s="243"/>
      <c r="B112" s="248"/>
      <c r="C112" s="248" t="s">
        <v>92</v>
      </c>
      <c r="D112" s="241">
        <v>50754500</v>
      </c>
      <c r="E112" s="241"/>
      <c r="F112" s="241">
        <v>33362275</v>
      </c>
      <c r="G112" s="241"/>
      <c r="H112" s="241"/>
      <c r="I112" s="241">
        <v>39932000</v>
      </c>
      <c r="J112" s="241"/>
      <c r="K112" s="241"/>
      <c r="L112" s="241"/>
      <c r="M112" s="241"/>
      <c r="N112" s="337"/>
      <c r="O112" s="241"/>
      <c r="P112" s="331">
        <f t="shared" si="13"/>
        <v>124048775</v>
      </c>
      <c r="Q112" s="227"/>
      <c r="R112" s="227"/>
      <c r="S112" s="227"/>
      <c r="T112" s="227"/>
      <c r="U112" s="227"/>
      <c r="V112" s="227"/>
      <c r="W112" s="227"/>
      <c r="X112" s="227"/>
      <c r="Y112" s="227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80">
        <f>+P121+P129+P115+P122+'CF 2017'!P109+'CF 2017'!P110</f>
        <v>9000000000</v>
      </c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N112" s="129"/>
    </row>
    <row r="113" spans="1:66" s="182" customFormat="1">
      <c r="A113" s="243"/>
      <c r="B113" s="251"/>
      <c r="C113" s="461" t="s">
        <v>586</v>
      </c>
      <c r="D113" s="241">
        <v>100000000</v>
      </c>
      <c r="E113" s="241">
        <v>30746000</v>
      </c>
      <c r="F113" s="241"/>
      <c r="G113" s="241"/>
      <c r="H113" s="241"/>
      <c r="I113" s="241"/>
      <c r="J113" s="241"/>
      <c r="K113" s="241"/>
      <c r="L113" s="241"/>
      <c r="M113" s="241"/>
      <c r="N113" s="337"/>
      <c r="O113" s="241"/>
      <c r="P113" s="331">
        <f t="shared" si="13"/>
        <v>130746000</v>
      </c>
      <c r="Q113" s="473"/>
      <c r="R113" s="473"/>
      <c r="S113" s="473"/>
      <c r="T113" s="473"/>
      <c r="U113" s="473"/>
      <c r="V113" s="473"/>
      <c r="W113" s="473"/>
      <c r="X113" s="473"/>
      <c r="Y113" s="473"/>
      <c r="Z113" s="190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190"/>
      <c r="AV113" s="190"/>
      <c r="AW113" s="190"/>
      <c r="AX113" s="181"/>
      <c r="AY113" s="181">
        <v>148000000</v>
      </c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N113" s="183"/>
    </row>
    <row r="114" spans="1:66" s="182" customFormat="1">
      <c r="A114" s="243"/>
      <c r="B114" s="251"/>
      <c r="C114" s="461" t="s">
        <v>552</v>
      </c>
      <c r="D114" s="241"/>
      <c r="E114" s="241">
        <v>51339000</v>
      </c>
      <c r="F114" s="241"/>
      <c r="G114" s="241"/>
      <c r="H114" s="241">
        <v>6775000</v>
      </c>
      <c r="I114" s="241"/>
      <c r="J114" s="241">
        <v>40675000</v>
      </c>
      <c r="K114" s="241"/>
      <c r="L114" s="241">
        <v>70467500</v>
      </c>
      <c r="M114" s="241"/>
      <c r="N114" s="337"/>
      <c r="O114" s="241"/>
      <c r="P114" s="331">
        <f t="shared" si="13"/>
        <v>169256500</v>
      </c>
      <c r="Q114" s="473"/>
      <c r="R114" s="473"/>
      <c r="S114" s="473"/>
      <c r="T114" s="473"/>
      <c r="U114" s="473"/>
      <c r="V114" s="473"/>
      <c r="W114" s="473"/>
      <c r="X114" s="473"/>
      <c r="Y114" s="473"/>
      <c r="Z114" s="190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190"/>
      <c r="AV114" s="190"/>
      <c r="AW114" s="190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</row>
    <row r="115" spans="1:66" s="182" customFormat="1">
      <c r="A115" s="243"/>
      <c r="B115" s="251"/>
      <c r="C115" s="461" t="s">
        <v>553</v>
      </c>
      <c r="D115" s="241"/>
      <c r="E115" s="241"/>
      <c r="F115" s="241"/>
      <c r="G115" s="241"/>
      <c r="H115" s="241"/>
      <c r="I115" s="241"/>
      <c r="J115" s="241"/>
      <c r="K115" s="241"/>
      <c r="L115" s="241"/>
      <c r="M115" s="241">
        <v>500000000</v>
      </c>
      <c r="N115" s="337">
        <v>500000000</v>
      </c>
      <c r="O115" s="241">
        <v>400000000</v>
      </c>
      <c r="P115" s="331">
        <f>SUM(D115:O115)</f>
        <v>1400000000</v>
      </c>
      <c r="Q115" s="473"/>
      <c r="R115" s="473"/>
      <c r="S115" s="473"/>
      <c r="T115" s="473"/>
      <c r="U115" s="473"/>
      <c r="V115" s="473"/>
      <c r="W115" s="473"/>
      <c r="X115" s="473"/>
      <c r="Y115" s="473"/>
      <c r="Z115" s="190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190"/>
      <c r="AV115" s="190"/>
      <c r="AW115" s="190"/>
      <c r="AX115" s="180"/>
      <c r="AY115" s="486">
        <v>1500000000</v>
      </c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N115" s="183"/>
    </row>
    <row r="116" spans="1:66" s="182" customFormat="1">
      <c r="A116" s="243"/>
      <c r="B116" s="251"/>
      <c r="C116" s="248" t="s">
        <v>591</v>
      </c>
      <c r="D116" s="241"/>
      <c r="E116" s="241"/>
      <c r="F116" s="241"/>
      <c r="G116" s="241">
        <v>10600000</v>
      </c>
      <c r="H116" s="241">
        <v>14000000</v>
      </c>
      <c r="I116" s="241">
        <v>14000000</v>
      </c>
      <c r="J116" s="241">
        <v>14400000</v>
      </c>
      <c r="K116" s="241"/>
      <c r="L116" s="241"/>
      <c r="M116" s="241"/>
      <c r="N116" s="337"/>
      <c r="O116" s="241"/>
      <c r="P116" s="331">
        <f t="shared" si="13"/>
        <v>53000000</v>
      </c>
      <c r="Q116" s="473"/>
      <c r="R116" s="473"/>
      <c r="S116" s="473"/>
      <c r="T116" s="473"/>
      <c r="U116" s="473"/>
      <c r="V116" s="473"/>
      <c r="W116" s="473"/>
      <c r="X116" s="473"/>
      <c r="Y116" s="473"/>
      <c r="Z116" s="190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190"/>
      <c r="AV116" s="190"/>
      <c r="AW116" s="190"/>
      <c r="AX116" s="181"/>
      <c r="AY116" s="181"/>
      <c r="AZ116" s="181"/>
      <c r="BA116" s="181"/>
      <c r="BB116" s="181"/>
      <c r="BC116" s="181"/>
      <c r="BD116" s="181"/>
      <c r="BE116" s="181">
        <v>25000000</v>
      </c>
      <c r="BF116" s="181"/>
      <c r="BG116" s="181"/>
      <c r="BH116" s="181"/>
      <c r="BI116" s="181"/>
      <c r="BJ116" s="181"/>
      <c r="BK116" s="181"/>
      <c r="BL116" s="181"/>
      <c r="BN116" s="183"/>
    </row>
    <row r="117" spans="1:66" s="182" customFormat="1">
      <c r="A117" s="243"/>
      <c r="B117" s="251"/>
      <c r="C117" s="248" t="s">
        <v>587</v>
      </c>
      <c r="D117" s="241"/>
      <c r="E117" s="241"/>
      <c r="F117" s="241"/>
      <c r="G117" s="241"/>
      <c r="H117" s="241">
        <v>20528600</v>
      </c>
      <c r="I117" s="241"/>
      <c r="J117" s="241">
        <v>27561600</v>
      </c>
      <c r="K117" s="241">
        <f>35544800+19008000</f>
        <v>54552800</v>
      </c>
      <c r="L117" s="241"/>
      <c r="M117" s="241"/>
      <c r="N117" s="337"/>
      <c r="O117" s="241"/>
      <c r="P117" s="331">
        <f t="shared" si="13"/>
        <v>102643000</v>
      </c>
      <c r="Q117" s="473"/>
      <c r="R117" s="473"/>
      <c r="S117" s="473"/>
      <c r="T117" s="473"/>
      <c r="U117" s="473"/>
      <c r="V117" s="473"/>
      <c r="W117" s="473"/>
      <c r="X117" s="473"/>
      <c r="Y117" s="473"/>
      <c r="Z117" s="190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190"/>
      <c r="AV117" s="190"/>
      <c r="AW117" s="190"/>
      <c r="AX117" s="181"/>
      <c r="AY117" s="181"/>
      <c r="AZ117" s="181"/>
      <c r="BA117" s="181"/>
      <c r="BB117" s="181"/>
      <c r="BC117" s="181"/>
      <c r="BD117" s="181"/>
      <c r="BE117" s="181">
        <v>19000000</v>
      </c>
      <c r="BF117" s="181"/>
      <c r="BG117" s="181"/>
      <c r="BH117" s="181"/>
      <c r="BI117" s="181"/>
      <c r="BJ117" s="181"/>
      <c r="BK117" s="181"/>
      <c r="BL117" s="181"/>
      <c r="BN117" s="183"/>
    </row>
    <row r="118" spans="1:66" s="182" customFormat="1">
      <c r="A118" s="243"/>
      <c r="B118" s="251"/>
      <c r="C118" s="461" t="s">
        <v>582</v>
      </c>
      <c r="D118" s="241">
        <v>260000000</v>
      </c>
      <c r="E118" s="241"/>
      <c r="F118" s="241">
        <v>250000000</v>
      </c>
      <c r="G118" s="241">
        <f>250000000-101000000</f>
        <v>149000000</v>
      </c>
      <c r="H118" s="241"/>
      <c r="I118" s="241"/>
      <c r="J118" s="241">
        <f>75000000+75000000-150000000</f>
        <v>0</v>
      </c>
      <c r="K118" s="241"/>
      <c r="L118" s="241"/>
      <c r="M118" s="241"/>
      <c r="N118" s="337"/>
      <c r="O118" s="241"/>
      <c r="P118" s="331">
        <f>SUM(D118:O118)</f>
        <v>659000000</v>
      </c>
      <c r="Q118" s="473"/>
      <c r="R118" s="473"/>
      <c r="S118" s="473"/>
      <c r="T118" s="473"/>
      <c r="U118" s="473"/>
      <c r="V118" s="473"/>
      <c r="W118" s="473"/>
      <c r="X118" s="473"/>
      <c r="Y118" s="473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>
        <f>N129+N121</f>
        <v>350000000</v>
      </c>
      <c r="AQ118" s="190"/>
      <c r="AR118" s="190"/>
      <c r="AS118" s="190"/>
      <c r="AT118" s="190"/>
      <c r="AU118" s="190"/>
      <c r="AV118" s="190"/>
      <c r="AW118" s="190"/>
      <c r="AX118" s="187"/>
      <c r="AY118" s="187">
        <f>SUM(D118:O118)</f>
        <v>659000000</v>
      </c>
      <c r="AZ118" s="187"/>
      <c r="BA118" s="187"/>
      <c r="BB118" s="187"/>
      <c r="BC118" s="187"/>
      <c r="BD118" s="187"/>
      <c r="BE118" s="187"/>
      <c r="BF118" s="187"/>
      <c r="BG118" s="187"/>
      <c r="BH118" s="187"/>
      <c r="BI118" s="187"/>
      <c r="BJ118" s="187"/>
      <c r="BK118" s="187"/>
      <c r="BL118" s="187"/>
      <c r="BN118" s="183">
        <v>250</v>
      </c>
    </row>
    <row r="119" spans="1:66" s="124" customFormat="1">
      <c r="A119" s="243"/>
      <c r="B119" s="251"/>
      <c r="C119" s="461" t="s">
        <v>554</v>
      </c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337"/>
      <c r="O119" s="241"/>
      <c r="P119" s="331">
        <f t="shared" si="13"/>
        <v>0</v>
      </c>
      <c r="Q119" s="227"/>
      <c r="R119" s="227"/>
      <c r="S119" s="227"/>
      <c r="T119" s="227"/>
      <c r="U119" s="227"/>
      <c r="V119" s="227"/>
      <c r="W119" s="227"/>
      <c r="X119" s="227"/>
      <c r="Y119" s="227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80">
        <f>+N122+N115+N129+N121</f>
        <v>2850000000</v>
      </c>
      <c r="AY119" s="80"/>
      <c r="AZ119" s="80">
        <f>AY127-650000000</f>
        <v>-130000000</v>
      </c>
      <c r="BA119" s="80"/>
      <c r="BB119" s="80"/>
      <c r="BC119" s="80"/>
      <c r="BD119" s="80"/>
      <c r="BE119" s="80">
        <f>SUM(BE115:BE117)</f>
        <v>44000000</v>
      </c>
      <c r="BF119" s="80"/>
      <c r="BG119" s="80"/>
      <c r="BH119" s="80"/>
      <c r="BI119" s="80"/>
      <c r="BJ119" s="80"/>
      <c r="BK119" s="80"/>
      <c r="BL119" s="80"/>
      <c r="BN119" s="129"/>
    </row>
    <row r="120" spans="1:66" s="124" customFormat="1">
      <c r="A120" s="243"/>
      <c r="B120" s="251"/>
      <c r="C120" s="461" t="s">
        <v>556</v>
      </c>
      <c r="D120" s="241"/>
      <c r="E120" s="241"/>
      <c r="F120" s="241"/>
      <c r="G120" s="241"/>
      <c r="H120" s="241"/>
      <c r="I120" s="241"/>
      <c r="J120" s="241"/>
      <c r="K120" s="241">
        <v>250000000</v>
      </c>
      <c r="L120" s="241">
        <v>250000000</v>
      </c>
      <c r="M120" s="241">
        <v>250000000</v>
      </c>
      <c r="N120" s="337">
        <v>250000000</v>
      </c>
      <c r="O120" s="241">
        <v>250000000</v>
      </c>
      <c r="P120" s="331">
        <f t="shared" si="13"/>
        <v>1250000000</v>
      </c>
      <c r="Q120" s="227"/>
      <c r="R120" s="227"/>
      <c r="S120" s="227"/>
      <c r="T120" s="227"/>
      <c r="U120" s="227"/>
      <c r="V120" s="227"/>
      <c r="W120" s="227"/>
      <c r="X120" s="227"/>
      <c r="Y120" s="227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N120" s="129"/>
    </row>
    <row r="121" spans="1:66" s="182" customFormat="1">
      <c r="A121" s="243"/>
      <c r="B121" s="248"/>
      <c r="C121" s="248" t="s">
        <v>588</v>
      </c>
      <c r="D121" s="241"/>
      <c r="E121" s="241"/>
      <c r="F121" s="241"/>
      <c r="G121" s="241"/>
      <c r="H121" s="241"/>
      <c r="I121" s="241"/>
      <c r="J121" s="241"/>
      <c r="K121" s="241"/>
      <c r="L121" s="241"/>
      <c r="M121" s="241">
        <v>200000000</v>
      </c>
      <c r="N121" s="337">
        <v>200000000</v>
      </c>
      <c r="O121" s="241"/>
      <c r="P121" s="331">
        <f>SUM(D121:O121)</f>
        <v>400000000</v>
      </c>
      <c r="Q121" s="473"/>
      <c r="R121" s="473"/>
      <c r="S121" s="473"/>
      <c r="T121" s="473"/>
      <c r="U121" s="473"/>
      <c r="V121" s="473"/>
      <c r="W121" s="473"/>
      <c r="X121" s="473"/>
      <c r="Y121" s="473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AU121" s="190"/>
      <c r="AV121" s="190"/>
      <c r="AW121" s="190"/>
      <c r="AX121" s="180"/>
      <c r="AY121" s="181">
        <v>400000000</v>
      </c>
      <c r="AZ121" s="181">
        <v>70</v>
      </c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N121" s="183"/>
    </row>
    <row r="122" spans="1:66" s="182" customFormat="1">
      <c r="A122" s="243"/>
      <c r="B122" s="251"/>
      <c r="C122" s="461" t="s">
        <v>589</v>
      </c>
      <c r="D122" s="241"/>
      <c r="E122" s="241"/>
      <c r="F122" s="241"/>
      <c r="G122" s="241"/>
      <c r="H122" s="241"/>
      <c r="I122" s="241"/>
      <c r="J122" s="241"/>
      <c r="K122" s="241"/>
      <c r="L122" s="241"/>
      <c r="M122" s="241">
        <v>2000000000</v>
      </c>
      <c r="N122" s="337">
        <v>2000000000</v>
      </c>
      <c r="O122" s="241">
        <v>1500000000</v>
      </c>
      <c r="P122" s="331">
        <f>SUM(D122:O122)</f>
        <v>5500000000</v>
      </c>
      <c r="Q122" s="473"/>
      <c r="R122" s="473"/>
      <c r="S122" s="473"/>
      <c r="T122" s="473"/>
      <c r="U122" s="473"/>
      <c r="V122" s="473"/>
      <c r="W122" s="473"/>
      <c r="X122" s="473"/>
      <c r="Y122" s="473"/>
      <c r="Z122" s="190">
        <f>+N122+N115+N129+N121</f>
        <v>2850000000</v>
      </c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>
        <f>SUM(N111:N122)</f>
        <v>2950000000</v>
      </c>
      <c r="AQ122" s="190"/>
      <c r="AR122" s="190"/>
      <c r="AS122" s="190"/>
      <c r="AT122" s="190"/>
      <c r="AU122" s="190"/>
      <c r="AV122" s="190"/>
      <c r="AW122" s="190"/>
      <c r="AX122" s="180"/>
      <c r="AY122" s="486">
        <v>5500000000</v>
      </c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N122" s="183"/>
    </row>
    <row r="123" spans="1:66" s="124" customFormat="1">
      <c r="A123" s="243"/>
      <c r="B123" s="251"/>
      <c r="C123" s="461" t="s">
        <v>559</v>
      </c>
      <c r="D123" s="241">
        <v>75000000</v>
      </c>
      <c r="E123" s="241">
        <v>75000000</v>
      </c>
      <c r="F123" s="241">
        <v>75000000</v>
      </c>
      <c r="G123" s="241">
        <v>75000000</v>
      </c>
      <c r="H123" s="241">
        <v>75000000</v>
      </c>
      <c r="I123" s="241">
        <v>75000000</v>
      </c>
      <c r="J123" s="241">
        <v>75000000</v>
      </c>
      <c r="K123" s="241">
        <v>87674503</v>
      </c>
      <c r="L123" s="241"/>
      <c r="M123" s="241"/>
      <c r="N123" s="337"/>
      <c r="O123" s="241"/>
      <c r="P123" s="331">
        <f t="shared" si="13"/>
        <v>612674503</v>
      </c>
      <c r="Q123" s="227"/>
      <c r="R123" s="227"/>
      <c r="S123" s="227"/>
      <c r="T123" s="227"/>
      <c r="U123" s="227"/>
      <c r="V123" s="227"/>
      <c r="W123" s="227"/>
      <c r="X123" s="227"/>
      <c r="Y123" s="227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N123" s="129">
        <v>75</v>
      </c>
    </row>
    <row r="124" spans="1:66" s="124" customFormat="1">
      <c r="A124" s="243"/>
      <c r="B124" s="248"/>
      <c r="C124" s="416" t="s">
        <v>560</v>
      </c>
      <c r="D124" s="241">
        <v>10500000</v>
      </c>
      <c r="E124" s="241">
        <v>10431659</v>
      </c>
      <c r="F124" s="241">
        <v>10431659</v>
      </c>
      <c r="G124" s="241">
        <v>10431660</v>
      </c>
      <c r="H124" s="241">
        <v>10431660</v>
      </c>
      <c r="I124" s="241">
        <v>10431660</v>
      </c>
      <c r="J124" s="241">
        <v>10431660</v>
      </c>
      <c r="K124" s="241">
        <v>10431660</v>
      </c>
      <c r="L124" s="241">
        <f>K124</f>
        <v>10431660</v>
      </c>
      <c r="M124" s="241">
        <f t="shared" ref="M124:M125" si="18">L124</f>
        <v>10431660</v>
      </c>
      <c r="N124" s="337">
        <f>M124</f>
        <v>10431660</v>
      </c>
      <c r="O124" s="241">
        <f>N124-4026297</f>
        <v>6405363</v>
      </c>
      <c r="P124" s="331">
        <f t="shared" si="13"/>
        <v>121221961</v>
      </c>
      <c r="Q124" s="227"/>
      <c r="R124" s="227"/>
      <c r="S124" s="227"/>
      <c r="T124" s="227"/>
      <c r="U124" s="227"/>
      <c r="V124" s="227"/>
      <c r="W124" s="227"/>
      <c r="X124" s="227"/>
      <c r="Y124" s="227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125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N124" s="129">
        <v>112.824</v>
      </c>
    </row>
    <row r="125" spans="1:66" s="124" customFormat="1">
      <c r="A125" s="243"/>
      <c r="B125" s="248"/>
      <c r="C125" s="416" t="s">
        <v>561</v>
      </c>
      <c r="D125" s="241">
        <v>112824344</v>
      </c>
      <c r="E125" s="241">
        <v>112824344</v>
      </c>
      <c r="F125" s="241">
        <v>112824344</v>
      </c>
      <c r="G125" s="241">
        <v>112824344</v>
      </c>
      <c r="H125" s="241">
        <v>112824344</v>
      </c>
      <c r="I125" s="241">
        <v>112824344</v>
      </c>
      <c r="J125" s="241">
        <v>112824344</v>
      </c>
      <c r="K125" s="241">
        <v>112824344</v>
      </c>
      <c r="L125" s="241">
        <f>K125</f>
        <v>112824344</v>
      </c>
      <c r="M125" s="241">
        <f t="shared" si="18"/>
        <v>112824344</v>
      </c>
      <c r="N125" s="337">
        <f>M125</f>
        <v>112824344</v>
      </c>
      <c r="O125" s="241">
        <f>N125</f>
        <v>112824344</v>
      </c>
      <c r="P125" s="331">
        <f t="shared" si="13"/>
        <v>1353892128</v>
      </c>
      <c r="Q125" s="227"/>
      <c r="R125" s="227"/>
      <c r="S125" s="227"/>
      <c r="T125" s="227"/>
      <c r="U125" s="227"/>
      <c r="V125" s="227"/>
      <c r="W125" s="227"/>
      <c r="X125" s="227"/>
      <c r="Y125" s="227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N125" s="129">
        <v>120</v>
      </c>
    </row>
    <row r="126" spans="1:66" s="124" customFormat="1">
      <c r="A126" s="243"/>
      <c r="B126" s="248"/>
      <c r="C126" s="416" t="s">
        <v>562</v>
      </c>
      <c r="D126" s="241">
        <v>38159520</v>
      </c>
      <c r="E126" s="241"/>
      <c r="F126" s="241"/>
      <c r="G126" s="241"/>
      <c r="H126" s="241"/>
      <c r="I126" s="241"/>
      <c r="J126" s="241"/>
      <c r="K126" s="241"/>
      <c r="L126" s="241"/>
      <c r="M126" s="241"/>
      <c r="N126" s="337"/>
      <c r="O126" s="241"/>
      <c r="P126" s="331">
        <f t="shared" si="13"/>
        <v>38159520</v>
      </c>
      <c r="Q126" s="227"/>
      <c r="R126" s="227"/>
      <c r="S126" s="227"/>
      <c r="T126" s="227"/>
      <c r="U126" s="227"/>
      <c r="V126" s="227"/>
      <c r="W126" s="227"/>
      <c r="X126" s="227"/>
      <c r="Y126" s="227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N126" s="129">
        <v>10.5</v>
      </c>
    </row>
    <row r="127" spans="1:66" s="182" customFormat="1" ht="16.5" customHeight="1">
      <c r="A127" s="243"/>
      <c r="B127" s="251"/>
      <c r="C127" s="461" t="s">
        <v>590</v>
      </c>
      <c r="D127" s="241"/>
      <c r="E127" s="241"/>
      <c r="F127" s="241">
        <v>195000000</v>
      </c>
      <c r="G127" s="241"/>
      <c r="H127" s="241">
        <v>195000000</v>
      </c>
      <c r="I127" s="241">
        <v>130000000</v>
      </c>
      <c r="J127" s="241"/>
      <c r="K127" s="241"/>
      <c r="L127" s="241"/>
      <c r="M127" s="241"/>
      <c r="N127" s="337"/>
      <c r="O127" s="241"/>
      <c r="P127" s="331">
        <f>SUM(D127:O127)</f>
        <v>520000000</v>
      </c>
      <c r="Q127" s="473"/>
      <c r="R127" s="473"/>
      <c r="S127" s="473"/>
      <c r="T127" s="473"/>
      <c r="U127" s="473"/>
      <c r="V127" s="473"/>
      <c r="W127" s="473"/>
      <c r="X127" s="473"/>
      <c r="Y127" s="473"/>
      <c r="Z127" s="190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81"/>
      <c r="AY127" s="187">
        <f>SUM(D127:L127)</f>
        <v>520000000</v>
      </c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N127" s="183"/>
    </row>
    <row r="128" spans="1:66" s="124" customFormat="1" ht="31.5">
      <c r="A128" s="243"/>
      <c r="B128" s="251"/>
      <c r="C128" s="461" t="s">
        <v>581</v>
      </c>
      <c r="D128" s="241">
        <v>118000000</v>
      </c>
      <c r="E128" s="241">
        <v>125000000</v>
      </c>
      <c r="F128" s="241">
        <v>120000000</v>
      </c>
      <c r="G128" s="241">
        <v>90577387</v>
      </c>
      <c r="H128" s="241">
        <v>150000000</v>
      </c>
      <c r="I128" s="241"/>
      <c r="J128" s="241">
        <v>120000000</v>
      </c>
      <c r="K128" s="241">
        <f>120000000</f>
        <v>120000000</v>
      </c>
      <c r="L128" s="241">
        <v>120000000</v>
      </c>
      <c r="M128" s="241">
        <v>120000000</v>
      </c>
      <c r="N128" s="337">
        <f>M128</f>
        <v>120000000</v>
      </c>
      <c r="O128" s="241">
        <v>120000000</v>
      </c>
      <c r="P128" s="331">
        <f>SUM(D128:O128)</f>
        <v>1323577387</v>
      </c>
      <c r="Q128" s="227"/>
      <c r="R128" s="227"/>
      <c r="S128" s="227"/>
      <c r="T128" s="227"/>
      <c r="U128" s="227"/>
      <c r="V128" s="227"/>
      <c r="W128" s="227"/>
      <c r="X128" s="227"/>
      <c r="Y128" s="227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  <c r="AU128" s="163"/>
      <c r="AV128" s="163"/>
      <c r="AW128" s="163"/>
      <c r="AX128" s="82"/>
      <c r="AY128" s="82">
        <f>SUM(D128:L128)</f>
        <v>963577387</v>
      </c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N128" s="129"/>
    </row>
    <row r="129" spans="1:66" s="182" customFormat="1">
      <c r="A129" s="243"/>
      <c r="B129" s="251"/>
      <c r="C129" s="461" t="s">
        <v>592</v>
      </c>
      <c r="D129" s="241"/>
      <c r="E129" s="241"/>
      <c r="F129" s="241"/>
      <c r="G129" s="241"/>
      <c r="H129" s="241"/>
      <c r="I129" s="241"/>
      <c r="J129" s="241"/>
      <c r="K129" s="241"/>
      <c r="L129" s="241"/>
      <c r="M129" s="241">
        <v>150000000</v>
      </c>
      <c r="N129" s="337">
        <v>150000000</v>
      </c>
      <c r="O129" s="241">
        <v>200000000</v>
      </c>
      <c r="P129" s="331">
        <f>SUM(D129:O129)</f>
        <v>500000000</v>
      </c>
      <c r="Q129" s="473"/>
      <c r="R129" s="473"/>
      <c r="S129" s="473"/>
      <c r="T129" s="473"/>
      <c r="U129" s="473"/>
      <c r="V129" s="473"/>
      <c r="W129" s="473"/>
      <c r="X129" s="473"/>
      <c r="Y129" s="473"/>
      <c r="Z129" s="190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80"/>
      <c r="AY129" s="486">
        <v>729700000</v>
      </c>
      <c r="AZ129" s="181"/>
      <c r="BA129" s="181"/>
      <c r="BB129" s="181"/>
      <c r="BC129" s="181"/>
      <c r="BD129" s="181"/>
      <c r="BE129" s="181">
        <v>60358267</v>
      </c>
      <c r="BF129" s="181"/>
      <c r="BG129" s="181"/>
      <c r="BH129" s="181"/>
      <c r="BI129" s="181"/>
      <c r="BJ129" s="181"/>
      <c r="BK129" s="181"/>
      <c r="BL129" s="181"/>
      <c r="BN129" s="183">
        <v>466.66666666666669</v>
      </c>
    </row>
    <row r="130" spans="1:66" s="124" customFormat="1">
      <c r="A130" s="243"/>
      <c r="B130" s="251"/>
      <c r="C130" s="46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337"/>
      <c r="O130" s="241"/>
      <c r="P130" s="331"/>
      <c r="Q130" s="227"/>
      <c r="R130" s="227"/>
      <c r="S130" s="227"/>
      <c r="T130" s="227"/>
      <c r="U130" s="227"/>
      <c r="V130" s="227"/>
      <c r="W130" s="227"/>
      <c r="X130" s="227"/>
      <c r="Y130" s="227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N130" s="129"/>
    </row>
    <row r="131" spans="1:66" s="124" customFormat="1">
      <c r="A131" s="243"/>
      <c r="B131" s="251"/>
      <c r="C131" s="461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337"/>
      <c r="O131" s="241"/>
      <c r="P131" s="331"/>
      <c r="Q131" s="227"/>
      <c r="R131" s="227"/>
      <c r="S131" s="227"/>
      <c r="T131" s="227"/>
      <c r="U131" s="227"/>
      <c r="V131" s="227"/>
      <c r="W131" s="227"/>
      <c r="X131" s="227"/>
      <c r="Y131" s="227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  <c r="AO131" s="163"/>
      <c r="AP131" s="163"/>
      <c r="AQ131" s="163"/>
      <c r="AR131" s="163"/>
      <c r="AS131" s="163"/>
      <c r="AT131" s="163"/>
      <c r="AU131" s="163"/>
      <c r="AV131" s="163"/>
      <c r="AW131" s="163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N131" s="129"/>
    </row>
    <row r="132" spans="1:66" s="124" customFormat="1">
      <c r="A132" s="549" t="s">
        <v>433</v>
      </c>
      <c r="B132" s="550"/>
      <c r="C132" s="550"/>
      <c r="D132" s="245">
        <f>SUM(D107:D130)</f>
        <v>3899958836</v>
      </c>
      <c r="E132" s="245">
        <f t="shared" ref="E132:O132" si="19">SUM(E107:E130)</f>
        <v>3394736644</v>
      </c>
      <c r="F132" s="245">
        <f t="shared" si="19"/>
        <v>4298265344.5699997</v>
      </c>
      <c r="G132" s="245">
        <f t="shared" si="19"/>
        <v>4043001664.5599999</v>
      </c>
      <c r="H132" s="245">
        <f t="shared" si="19"/>
        <v>4437187783</v>
      </c>
      <c r="I132" s="245">
        <f t="shared" si="19"/>
        <v>4836343814.9099998</v>
      </c>
      <c r="J132" s="245">
        <f t="shared" si="19"/>
        <v>4431870614</v>
      </c>
      <c r="K132" s="245">
        <f t="shared" si="19"/>
        <v>4355298307</v>
      </c>
      <c r="L132" s="245">
        <f t="shared" si="19"/>
        <v>4535587770.5</v>
      </c>
      <c r="M132" s="245">
        <f t="shared" si="19"/>
        <v>7227071004</v>
      </c>
      <c r="N132" s="245">
        <f t="shared" si="19"/>
        <v>7427291004</v>
      </c>
      <c r="O132" s="245">
        <f t="shared" si="19"/>
        <v>6631398323</v>
      </c>
      <c r="P132" s="332">
        <f t="shared" si="13"/>
        <v>59518011109.539993</v>
      </c>
      <c r="Q132" s="333"/>
      <c r="R132" s="333"/>
      <c r="S132" s="333"/>
      <c r="T132" s="333"/>
      <c r="U132" s="333"/>
      <c r="V132" s="333"/>
      <c r="W132" s="333"/>
      <c r="X132" s="333"/>
      <c r="Y132" s="33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3"/>
      <c r="AN132" s="153"/>
      <c r="AO132" s="153"/>
      <c r="AP132" s="153"/>
      <c r="AQ132" s="153"/>
      <c r="AR132" s="153"/>
      <c r="AS132" s="153"/>
      <c r="AT132" s="153"/>
      <c r="AU132" s="153"/>
      <c r="AV132" s="153"/>
      <c r="AW132" s="153"/>
      <c r="AX132" s="82"/>
      <c r="AY132" s="82">
        <v>729700000</v>
      </c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N132" s="129">
        <f>SUM(BN107:BN126)</f>
        <v>3961.6243004999997</v>
      </c>
    </row>
    <row r="133" spans="1:66" s="124" customFormat="1">
      <c r="A133" s="243"/>
      <c r="B133" s="247"/>
      <c r="C133" s="248"/>
      <c r="D133" s="241"/>
      <c r="E133" s="241"/>
      <c r="F133" s="241"/>
      <c r="G133" s="241"/>
      <c r="H133" s="241"/>
      <c r="I133" s="241"/>
      <c r="J133" s="241"/>
      <c r="K133" s="241"/>
      <c r="L133" s="241"/>
      <c r="M133" s="241"/>
      <c r="N133" s="337"/>
      <c r="O133" s="241"/>
      <c r="P133" s="331">
        <f t="shared" si="13"/>
        <v>0</v>
      </c>
      <c r="Q133" s="227"/>
      <c r="R133" s="227"/>
      <c r="S133" s="227"/>
      <c r="T133" s="227"/>
      <c r="U133" s="227"/>
      <c r="V133" s="227"/>
      <c r="W133" s="227"/>
      <c r="X133" s="227"/>
      <c r="Y133" s="227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3"/>
      <c r="AT133" s="163"/>
      <c r="AU133" s="163"/>
      <c r="AV133" s="163"/>
      <c r="AW133" s="163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</row>
    <row r="134" spans="1:66" s="124" customFormat="1">
      <c r="A134" s="551" t="s">
        <v>434</v>
      </c>
      <c r="B134" s="552"/>
      <c r="C134" s="552"/>
      <c r="D134" s="257">
        <f t="shared" ref="D134:P134" si="20">+D30-D132</f>
        <v>2295156009.4807243</v>
      </c>
      <c r="E134" s="257">
        <f t="shared" si="20"/>
        <v>989117143.42072487</v>
      </c>
      <c r="F134" s="257">
        <f t="shared" si="20"/>
        <v>852460989.90072536</v>
      </c>
      <c r="G134" s="257">
        <f t="shared" si="20"/>
        <v>1020612314.5707259</v>
      </c>
      <c r="H134" s="257">
        <f t="shared" si="20"/>
        <v>1053167937.2507267</v>
      </c>
      <c r="I134" s="257">
        <f t="shared" si="20"/>
        <v>552924010.34072685</v>
      </c>
      <c r="J134" s="257">
        <f t="shared" si="20"/>
        <v>703371846.34072685</v>
      </c>
      <c r="K134" s="257">
        <f t="shared" si="20"/>
        <v>494023502.40032673</v>
      </c>
      <c r="L134" s="257">
        <f t="shared" si="20"/>
        <v>1254418576.6793394</v>
      </c>
      <c r="M134" s="257">
        <f t="shared" si="20"/>
        <v>1382442602.2761555</v>
      </c>
      <c r="N134" s="340">
        <f t="shared" si="20"/>
        <v>2359253736.1188927</v>
      </c>
      <c r="O134" s="257">
        <f t="shared" si="20"/>
        <v>158455851.49250126</v>
      </c>
      <c r="P134" s="284">
        <f t="shared" si="20"/>
        <v>158455851.49250793</v>
      </c>
      <c r="Q134" s="334"/>
      <c r="R134" s="334"/>
      <c r="S134" s="334"/>
      <c r="T134" s="334"/>
      <c r="U134" s="334"/>
      <c r="V134" s="334"/>
      <c r="W134" s="334"/>
      <c r="X134" s="334"/>
      <c r="Y134" s="334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22"/>
      <c r="AY134" s="83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>
        <f>+BM30-BM132</f>
        <v>0</v>
      </c>
      <c r="BN134" s="76">
        <f>+BN30-BN132</f>
        <v>-3961.6243004999997</v>
      </c>
    </row>
    <row r="135" spans="1:66" s="124" customFormat="1">
      <c r="A135" s="279"/>
      <c r="B135" s="279"/>
      <c r="C135" s="279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/>
      <c r="Q135" s="333"/>
      <c r="R135" s="333"/>
      <c r="S135" s="333"/>
      <c r="T135" s="333"/>
      <c r="U135" s="333"/>
      <c r="V135" s="333"/>
      <c r="W135" s="333"/>
      <c r="X135" s="333"/>
      <c r="Y135" s="33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</row>
    <row r="136" spans="1:66" s="124" customFormat="1">
      <c r="A136" s="279"/>
      <c r="B136" s="279"/>
      <c r="C136" s="279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>
        <v>158455851.49250793</v>
      </c>
      <c r="Q136" s="333"/>
      <c r="R136" s="333"/>
      <c r="S136" s="333"/>
      <c r="T136" s="333"/>
      <c r="U136" s="333"/>
      <c r="V136" s="333"/>
      <c r="W136" s="333"/>
      <c r="X136" s="333"/>
      <c r="Y136" s="33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</row>
    <row r="137" spans="1:66" s="124" customFormat="1">
      <c r="A137" s="279"/>
      <c r="B137" s="279"/>
      <c r="C137" s="279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>
        <f>+P134-P136</f>
        <v>0</v>
      </c>
      <c r="Q137" s="333"/>
      <c r="R137" s="333"/>
      <c r="S137" s="333"/>
      <c r="T137" s="333"/>
      <c r="U137" s="333"/>
      <c r="V137" s="333"/>
      <c r="W137" s="333"/>
      <c r="X137" s="333"/>
      <c r="Y137" s="33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</row>
    <row r="138" spans="1:66" s="124" customFormat="1">
      <c r="A138" s="279"/>
      <c r="B138" s="279"/>
      <c r="C138" s="279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33"/>
      <c r="R138" s="333"/>
      <c r="S138" s="333"/>
      <c r="T138" s="333"/>
      <c r="U138" s="333"/>
      <c r="V138" s="333"/>
      <c r="W138" s="333"/>
      <c r="X138" s="333"/>
      <c r="Y138" s="33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</row>
    <row r="139" spans="1:66" s="124" customFormat="1">
      <c r="A139" s="279"/>
      <c r="B139" s="279"/>
      <c r="C139" s="279" t="s">
        <v>556</v>
      </c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33"/>
      <c r="R139" s="333"/>
      <c r="S139" s="333"/>
      <c r="T139" s="333"/>
      <c r="U139" s="333"/>
      <c r="V139" s="333"/>
      <c r="W139" s="333"/>
      <c r="X139" s="333"/>
      <c r="Y139" s="33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</row>
    <row r="140" spans="1:66" s="124" customFormat="1">
      <c r="A140" s="279"/>
      <c r="B140" s="279"/>
      <c r="C140" s="279" t="s">
        <v>557</v>
      </c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33"/>
      <c r="R140" s="333"/>
      <c r="S140" s="333"/>
      <c r="T140" s="333"/>
      <c r="U140" s="333"/>
      <c r="V140" s="333"/>
      <c r="W140" s="333"/>
      <c r="X140" s="333"/>
      <c r="Y140" s="33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</row>
    <row r="141" spans="1:66" s="124" customFormat="1">
      <c r="A141" s="279"/>
      <c r="B141" s="279"/>
      <c r="C141" s="279" t="s">
        <v>558</v>
      </c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33"/>
      <c r="R141" s="333"/>
      <c r="S141" s="333"/>
      <c r="T141" s="333"/>
      <c r="U141" s="333"/>
      <c r="V141" s="333"/>
      <c r="W141" s="333"/>
      <c r="X141" s="333"/>
      <c r="Y141" s="33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</row>
    <row r="142" spans="1:66" s="124" customFormat="1">
      <c r="A142" s="279"/>
      <c r="B142" s="279"/>
      <c r="C142" s="279" t="s">
        <v>559</v>
      </c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33"/>
      <c r="R142" s="333"/>
      <c r="S142" s="333"/>
      <c r="T142" s="333"/>
      <c r="U142" s="333"/>
      <c r="V142" s="333"/>
      <c r="W142" s="333"/>
      <c r="X142" s="333"/>
      <c r="Y142" s="33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</row>
    <row r="143" spans="1:66" s="124" customFormat="1">
      <c r="A143" s="279"/>
      <c r="B143" s="279"/>
      <c r="C143" s="279" t="s">
        <v>560</v>
      </c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33"/>
      <c r="R143" s="333"/>
      <c r="S143" s="333"/>
      <c r="T143" s="333"/>
      <c r="U143" s="333"/>
      <c r="V143" s="333"/>
      <c r="W143" s="333"/>
      <c r="X143" s="333"/>
      <c r="Y143" s="33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</row>
    <row r="144" spans="1:66" s="124" customFormat="1">
      <c r="A144" s="279"/>
      <c r="B144" s="279"/>
      <c r="C144" s="279" t="s">
        <v>561</v>
      </c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33"/>
      <c r="R144" s="333"/>
      <c r="S144" s="333"/>
      <c r="T144" s="333"/>
      <c r="U144" s="333"/>
      <c r="V144" s="333"/>
      <c r="W144" s="333"/>
      <c r="X144" s="333"/>
      <c r="Y144" s="33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</row>
    <row r="145" spans="1:66" s="124" customFormat="1">
      <c r="A145" s="279"/>
      <c r="B145" s="279"/>
      <c r="C145" s="279" t="s">
        <v>562</v>
      </c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33"/>
      <c r="R145" s="333"/>
      <c r="S145" s="333"/>
      <c r="T145" s="333"/>
      <c r="U145" s="333"/>
      <c r="V145" s="333"/>
      <c r="W145" s="333"/>
      <c r="X145" s="333"/>
      <c r="Y145" s="33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</row>
    <row r="146" spans="1:66" s="124" customFormat="1">
      <c r="A146" s="279"/>
      <c r="B146" s="279"/>
      <c r="C146" s="279" t="s">
        <v>563</v>
      </c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33"/>
      <c r="R146" s="333"/>
      <c r="S146" s="333"/>
      <c r="T146" s="333"/>
      <c r="U146" s="333"/>
      <c r="V146" s="333"/>
      <c r="W146" s="333"/>
      <c r="X146" s="333"/>
      <c r="Y146" s="33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</row>
    <row r="147" spans="1:66" s="124" customFormat="1">
      <c r="A147" s="279"/>
      <c r="B147" s="279"/>
      <c r="C147" s="279" t="s">
        <v>564</v>
      </c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33"/>
      <c r="R147" s="333"/>
      <c r="S147" s="333"/>
      <c r="T147" s="333"/>
      <c r="U147" s="333"/>
      <c r="V147" s="333"/>
      <c r="W147" s="333"/>
      <c r="X147" s="333"/>
      <c r="Y147" s="33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</row>
    <row r="148" spans="1:66" s="124" customFormat="1">
      <c r="A148" s="279"/>
      <c r="B148" s="279"/>
      <c r="C148" s="279" t="s">
        <v>565</v>
      </c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33"/>
      <c r="R148" s="333"/>
      <c r="S148" s="333"/>
      <c r="T148" s="333"/>
      <c r="U148" s="333"/>
      <c r="V148" s="333"/>
      <c r="W148" s="333"/>
      <c r="X148" s="333"/>
      <c r="Y148" s="33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</row>
    <row r="149" spans="1:66" s="124" customFormat="1">
      <c r="A149" s="279"/>
      <c r="B149" s="279"/>
      <c r="C149" s="279" t="s">
        <v>566</v>
      </c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33"/>
      <c r="R149" s="333"/>
      <c r="S149" s="333"/>
      <c r="T149" s="333"/>
      <c r="U149" s="333"/>
      <c r="V149" s="333"/>
      <c r="W149" s="333"/>
      <c r="X149" s="333"/>
      <c r="Y149" s="33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</row>
    <row r="150" spans="1:66" s="124" customFormat="1">
      <c r="A150" s="279"/>
      <c r="B150" s="279"/>
      <c r="C150" s="279" t="s">
        <v>567</v>
      </c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33"/>
      <c r="R150" s="333"/>
      <c r="S150" s="333"/>
      <c r="T150" s="333"/>
      <c r="U150" s="333"/>
      <c r="V150" s="333"/>
      <c r="W150" s="333"/>
      <c r="X150" s="333"/>
      <c r="Y150" s="33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</row>
    <row r="151" spans="1:66" s="124" customFormat="1">
      <c r="A151" s="279"/>
      <c r="B151" s="279"/>
      <c r="C151" s="279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33"/>
      <c r="R151" s="333"/>
      <c r="S151" s="333"/>
      <c r="T151" s="333"/>
      <c r="U151" s="333"/>
      <c r="V151" s="333"/>
      <c r="W151" s="333"/>
      <c r="X151" s="333"/>
      <c r="Y151" s="33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</row>
    <row r="152" spans="1:66" s="124" customFormat="1">
      <c r="A152" s="279"/>
      <c r="B152" s="279"/>
      <c r="C152" s="279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33"/>
      <c r="R152" s="333"/>
      <c r="S152" s="333"/>
      <c r="T152" s="333"/>
      <c r="U152" s="333"/>
      <c r="V152" s="333"/>
      <c r="W152" s="333"/>
      <c r="X152" s="333"/>
      <c r="Y152" s="33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</row>
    <row r="153" spans="1:66" s="124" customFormat="1">
      <c r="A153" s="279"/>
      <c r="B153" s="279"/>
      <c r="C153" s="279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33"/>
      <c r="R153" s="333"/>
      <c r="S153" s="333"/>
      <c r="T153" s="333"/>
      <c r="U153" s="333"/>
      <c r="V153" s="333"/>
      <c r="W153" s="333"/>
      <c r="X153" s="333"/>
      <c r="Y153" s="33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</row>
    <row r="154" spans="1:66" s="124" customFormat="1">
      <c r="A154" s="279"/>
      <c r="B154" s="279"/>
      <c r="C154" s="279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33"/>
      <c r="R154" s="333"/>
      <c r="S154" s="333"/>
      <c r="T154" s="333"/>
      <c r="U154" s="333"/>
      <c r="V154" s="333"/>
      <c r="W154" s="333"/>
      <c r="X154" s="333"/>
      <c r="Y154" s="33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</row>
    <row r="155" spans="1:66" s="124" customFormat="1">
      <c r="A155" s="279"/>
      <c r="B155" s="279"/>
      <c r="C155" s="279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33"/>
      <c r="R155" s="333"/>
      <c r="S155" s="333"/>
      <c r="T155" s="333"/>
      <c r="U155" s="333"/>
      <c r="V155" s="333"/>
      <c r="W155" s="333"/>
      <c r="X155" s="333"/>
      <c r="Y155" s="33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</row>
    <row r="156" spans="1:66" s="124" customFormat="1">
      <c r="A156" s="279"/>
      <c r="B156" s="279"/>
      <c r="C156" s="279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33"/>
      <c r="R156" s="333"/>
      <c r="S156" s="333"/>
      <c r="T156" s="333"/>
      <c r="U156" s="333"/>
      <c r="V156" s="333"/>
      <c r="W156" s="333"/>
      <c r="X156" s="333"/>
      <c r="Y156" s="33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</row>
    <row r="157" spans="1:66" s="124" customFormat="1">
      <c r="A157" s="279"/>
      <c r="B157" s="279"/>
      <c r="C157" s="279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33"/>
      <c r="R157" s="333"/>
      <c r="S157" s="333"/>
      <c r="T157" s="333"/>
      <c r="U157" s="333"/>
      <c r="V157" s="333"/>
      <c r="W157" s="333"/>
      <c r="X157" s="333"/>
      <c r="Y157" s="33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</row>
    <row r="158" spans="1:66" s="124" customFormat="1">
      <c r="A158" s="279"/>
      <c r="B158" s="279"/>
      <c r="C158" s="279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33"/>
      <c r="R158" s="333"/>
      <c r="S158" s="333"/>
      <c r="T158" s="333"/>
      <c r="U158" s="333"/>
      <c r="V158" s="333"/>
      <c r="W158" s="333"/>
      <c r="X158" s="333"/>
      <c r="Y158" s="33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</row>
    <row r="159" spans="1:66" s="124" customFormat="1">
      <c r="A159" s="279"/>
      <c r="B159" s="279"/>
      <c r="C159" s="279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33"/>
      <c r="R159" s="333"/>
      <c r="S159" s="333"/>
      <c r="T159" s="333"/>
      <c r="U159" s="333"/>
      <c r="V159" s="333"/>
      <c r="W159" s="333"/>
      <c r="X159" s="333"/>
      <c r="Y159" s="33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</row>
    <row r="160" spans="1:66" s="124" customFormat="1">
      <c r="A160" s="279"/>
      <c r="B160" s="279"/>
      <c r="C160" s="279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33"/>
      <c r="R160" s="333"/>
      <c r="S160" s="333"/>
      <c r="T160" s="333"/>
      <c r="U160" s="333"/>
      <c r="V160" s="333"/>
      <c r="W160" s="333"/>
      <c r="X160" s="333"/>
      <c r="Y160" s="33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</row>
    <row r="161" spans="1:66" s="124" customFormat="1">
      <c r="A161" s="279"/>
      <c r="B161" s="279"/>
      <c r="C161" s="279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33"/>
      <c r="R161" s="333"/>
      <c r="S161" s="333"/>
      <c r="T161" s="333"/>
      <c r="U161" s="333"/>
      <c r="V161" s="333"/>
      <c r="W161" s="333"/>
      <c r="X161" s="333"/>
      <c r="Y161" s="33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</row>
    <row r="162" spans="1:66" s="124" customFormat="1">
      <c r="A162" s="279"/>
      <c r="B162" s="279"/>
      <c r="C162" s="279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33"/>
      <c r="R162" s="333"/>
      <c r="S162" s="333"/>
      <c r="T162" s="333"/>
      <c r="U162" s="333"/>
      <c r="V162" s="333"/>
      <c r="W162" s="333"/>
      <c r="X162" s="333"/>
      <c r="Y162" s="33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</row>
    <row r="163" spans="1:66" s="124" customFormat="1">
      <c r="A163" s="279"/>
      <c r="B163" s="279"/>
      <c r="C163" s="279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33"/>
      <c r="R163" s="333"/>
      <c r="S163" s="333"/>
      <c r="T163" s="333"/>
      <c r="U163" s="333"/>
      <c r="V163" s="333"/>
      <c r="W163" s="333"/>
      <c r="X163" s="333"/>
      <c r="Y163" s="33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</row>
    <row r="164" spans="1:66" s="124" customFormat="1">
      <c r="A164" s="279"/>
      <c r="B164" s="279"/>
      <c r="C164" s="279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33"/>
      <c r="R164" s="333"/>
      <c r="S164" s="333"/>
      <c r="T164" s="333"/>
      <c r="U164" s="333"/>
      <c r="V164" s="333"/>
      <c r="W164" s="333"/>
      <c r="X164" s="333"/>
      <c r="Y164" s="33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</row>
    <row r="165" spans="1:66" s="124" customFormat="1">
      <c r="A165" s="279"/>
      <c r="B165" s="279"/>
      <c r="C165" s="279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33"/>
      <c r="R165" s="333"/>
      <c r="S165" s="333"/>
      <c r="T165" s="333"/>
      <c r="U165" s="333"/>
      <c r="V165" s="333"/>
      <c r="W165" s="333"/>
      <c r="X165" s="333"/>
      <c r="Y165" s="33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</row>
    <row r="166" spans="1:66" s="124" customFormat="1">
      <c r="A166" s="279"/>
      <c r="B166" s="279"/>
      <c r="C166" s="279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33"/>
      <c r="R166" s="333"/>
      <c r="S166" s="333"/>
      <c r="T166" s="333"/>
      <c r="U166" s="333"/>
      <c r="V166" s="333"/>
      <c r="W166" s="333"/>
      <c r="X166" s="333"/>
      <c r="Y166" s="33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</row>
    <row r="167" spans="1:66" s="124" customFormat="1">
      <c r="A167" s="279"/>
      <c r="B167" s="279"/>
      <c r="C167" s="279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33"/>
      <c r="R167" s="333"/>
      <c r="S167" s="333"/>
      <c r="T167" s="333"/>
      <c r="U167" s="333"/>
      <c r="V167" s="333"/>
      <c r="W167" s="333"/>
      <c r="X167" s="333"/>
      <c r="Y167" s="33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</row>
    <row r="168" spans="1:66" s="124" customFormat="1">
      <c r="A168" s="279"/>
      <c r="B168" s="279"/>
      <c r="C168" s="279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33"/>
      <c r="R168" s="333"/>
      <c r="S168" s="333"/>
      <c r="T168" s="333"/>
      <c r="U168" s="333"/>
      <c r="V168" s="333"/>
      <c r="W168" s="333"/>
      <c r="X168" s="333"/>
      <c r="Y168" s="33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</row>
    <row r="169" spans="1:66" s="124" customFormat="1">
      <c r="A169" s="279"/>
      <c r="B169" s="279"/>
      <c r="C169" s="279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33"/>
      <c r="R169" s="333"/>
      <c r="S169" s="333"/>
      <c r="T169" s="333"/>
      <c r="U169" s="333"/>
      <c r="V169" s="333"/>
      <c r="W169" s="333"/>
      <c r="X169" s="333"/>
      <c r="Y169" s="33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</row>
    <row r="170" spans="1:66" s="124" customFormat="1">
      <c r="A170" s="279"/>
      <c r="B170" s="279" t="s">
        <v>340</v>
      </c>
      <c r="C170" s="279"/>
      <c r="D170" s="324"/>
      <c r="E170" s="324"/>
      <c r="F170" s="324"/>
      <c r="G170" s="324"/>
      <c r="H170" s="324"/>
      <c r="I170" s="324"/>
      <c r="J170" s="324"/>
      <c r="K170" s="324"/>
      <c r="L170" s="324"/>
      <c r="M170" s="324"/>
      <c r="N170" s="324"/>
      <c r="O170" s="324"/>
      <c r="P170" s="324">
        <v>232455851.49250793</v>
      </c>
      <c r="Q170" s="333"/>
      <c r="R170" s="333"/>
      <c r="S170" s="333"/>
      <c r="T170" s="333"/>
      <c r="U170" s="333"/>
      <c r="V170" s="333"/>
      <c r="W170" s="333"/>
      <c r="X170" s="333"/>
      <c r="Y170" s="33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</row>
    <row r="171" spans="1:66" s="124" customFormat="1">
      <c r="A171" s="279"/>
      <c r="B171" s="279" t="s">
        <v>342</v>
      </c>
      <c r="C171" s="262" t="s">
        <v>341</v>
      </c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33"/>
      <c r="R171" s="333"/>
      <c r="S171" s="333"/>
      <c r="T171" s="333"/>
      <c r="U171" s="333"/>
      <c r="V171" s="333"/>
      <c r="W171" s="333"/>
      <c r="X171" s="333"/>
      <c r="Y171" s="333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</row>
    <row r="172" spans="1:66" s="124" customFormat="1">
      <c r="A172" s="279"/>
      <c r="B172" s="279" t="s">
        <v>342</v>
      </c>
      <c r="C172" s="280" t="s">
        <v>339</v>
      </c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33"/>
      <c r="R172" s="333"/>
      <c r="S172" s="333"/>
      <c r="T172" s="333"/>
      <c r="U172" s="333"/>
      <c r="V172" s="333"/>
      <c r="W172" s="333"/>
      <c r="X172" s="333"/>
      <c r="Y172" s="333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</row>
    <row r="173" spans="1:66" s="124" customFormat="1">
      <c r="A173" s="279"/>
      <c r="B173" s="279" t="s">
        <v>342</v>
      </c>
      <c r="C173" s="280" t="s">
        <v>383</v>
      </c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33"/>
      <c r="R173" s="333"/>
      <c r="S173" s="333"/>
      <c r="T173" s="333"/>
      <c r="U173" s="333"/>
      <c r="V173" s="333"/>
      <c r="W173" s="333"/>
      <c r="X173" s="333"/>
      <c r="Y173" s="33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</row>
    <row r="174" spans="1:66" s="124" customFormat="1">
      <c r="A174" s="279"/>
      <c r="B174" s="279" t="s">
        <v>342</v>
      </c>
      <c r="C174" s="280" t="s">
        <v>382</v>
      </c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33"/>
      <c r="R174" s="333"/>
      <c r="S174" s="333"/>
      <c r="T174" s="333"/>
      <c r="U174" s="333"/>
      <c r="V174" s="333"/>
      <c r="W174" s="333"/>
      <c r="X174" s="333"/>
      <c r="Y174" s="33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</row>
    <row r="175" spans="1:66" s="124" customFormat="1">
      <c r="A175" s="279"/>
      <c r="B175" s="279"/>
      <c r="C175" s="279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33"/>
      <c r="R175" s="333"/>
      <c r="S175" s="333"/>
      <c r="T175" s="333"/>
      <c r="U175" s="333"/>
      <c r="V175" s="333"/>
      <c r="W175" s="333"/>
      <c r="X175" s="333"/>
      <c r="Y175" s="33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</row>
    <row r="176" spans="1:66" s="124" customFormat="1">
      <c r="A176" s="279"/>
      <c r="B176" s="279"/>
      <c r="C176" s="279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33"/>
      <c r="R176" s="333"/>
      <c r="S176" s="333"/>
      <c r="T176" s="333"/>
      <c r="U176" s="333"/>
      <c r="V176" s="333"/>
      <c r="W176" s="333"/>
      <c r="X176" s="333"/>
      <c r="Y176" s="33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</row>
    <row r="177" spans="1:66" s="124" customFormat="1">
      <c r="A177" s="279"/>
      <c r="B177" s="279"/>
      <c r="C177" s="279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33"/>
      <c r="R177" s="333"/>
      <c r="S177" s="333"/>
      <c r="T177" s="333"/>
      <c r="U177" s="333"/>
      <c r="V177" s="333"/>
      <c r="W177" s="333"/>
      <c r="X177" s="333"/>
      <c r="Y177" s="33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</row>
    <row r="178" spans="1:66" s="124" customFormat="1">
      <c r="A178" s="279"/>
      <c r="B178" s="279"/>
      <c r="C178" s="279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33"/>
      <c r="R178" s="333"/>
      <c r="S178" s="333"/>
      <c r="T178" s="333"/>
      <c r="U178" s="333"/>
      <c r="V178" s="333"/>
      <c r="W178" s="333"/>
      <c r="X178" s="333"/>
      <c r="Y178" s="33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</row>
    <row r="179" spans="1:66" s="124" customFormat="1">
      <c r="A179" s="279"/>
      <c r="B179" s="279"/>
      <c r="C179" s="279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33"/>
      <c r="R179" s="333"/>
      <c r="S179" s="333"/>
      <c r="T179" s="333"/>
      <c r="U179" s="333"/>
      <c r="V179" s="333"/>
      <c r="W179" s="333"/>
      <c r="X179" s="333"/>
      <c r="Y179" s="33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</row>
    <row r="180" spans="1:66" s="124" customFormat="1">
      <c r="A180" s="279"/>
      <c r="B180" s="279"/>
      <c r="C180" s="279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33"/>
      <c r="R180" s="333"/>
      <c r="S180" s="333"/>
      <c r="T180" s="333"/>
      <c r="U180" s="333"/>
      <c r="V180" s="333"/>
      <c r="W180" s="333"/>
      <c r="X180" s="333"/>
      <c r="Y180" s="33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</row>
    <row r="181" spans="1:66" s="124" customFormat="1">
      <c r="A181" s="279"/>
      <c r="B181" s="279"/>
      <c r="C181" s="279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33"/>
      <c r="R181" s="333"/>
      <c r="S181" s="333"/>
      <c r="T181" s="333"/>
      <c r="U181" s="333"/>
      <c r="V181" s="333"/>
      <c r="W181" s="333"/>
      <c r="X181" s="333"/>
      <c r="Y181" s="33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</row>
    <row r="182" spans="1:66" s="124" customFormat="1">
      <c r="A182" s="279"/>
      <c r="B182" s="279"/>
      <c r="C182" s="279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33"/>
      <c r="R182" s="333"/>
      <c r="S182" s="333"/>
      <c r="T182" s="333"/>
      <c r="U182" s="333"/>
      <c r="V182" s="333"/>
      <c r="W182" s="333"/>
      <c r="X182" s="333"/>
      <c r="Y182" s="33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</row>
    <row r="183" spans="1:66" s="124" customFormat="1">
      <c r="A183" s="279"/>
      <c r="B183" s="279"/>
      <c r="C183" s="279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33"/>
      <c r="R183" s="333"/>
      <c r="S183" s="333"/>
      <c r="T183" s="333"/>
      <c r="U183" s="333"/>
      <c r="V183" s="333"/>
      <c r="W183" s="333"/>
      <c r="X183" s="333"/>
      <c r="Y183" s="33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</row>
    <row r="184" spans="1:66" s="124" customFormat="1">
      <c r="A184" s="279"/>
      <c r="B184" s="279"/>
      <c r="C184" s="279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33"/>
      <c r="R184" s="333"/>
      <c r="S184" s="333"/>
      <c r="T184" s="333"/>
      <c r="U184" s="333"/>
      <c r="V184" s="333"/>
      <c r="W184" s="333"/>
      <c r="X184" s="333"/>
      <c r="Y184" s="33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</row>
    <row r="185" spans="1:66" s="124" customFormat="1">
      <c r="A185" s="279"/>
      <c r="B185" s="279"/>
      <c r="C185" s="279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33"/>
      <c r="R185" s="333"/>
      <c r="S185" s="333"/>
      <c r="T185" s="333"/>
      <c r="U185" s="333"/>
      <c r="V185" s="333"/>
      <c r="W185" s="333"/>
      <c r="X185" s="333"/>
      <c r="Y185" s="33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</row>
    <row r="186" spans="1:66" s="124" customFormat="1">
      <c r="A186" s="279"/>
      <c r="B186" s="279"/>
      <c r="C186" s="279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33"/>
      <c r="R186" s="333"/>
      <c r="S186" s="333"/>
      <c r="T186" s="333"/>
      <c r="U186" s="333"/>
      <c r="V186" s="333"/>
      <c r="W186" s="333"/>
      <c r="X186" s="333"/>
      <c r="Y186" s="33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</row>
    <row r="187" spans="1:66" s="124" customFormat="1">
      <c r="A187" s="279"/>
      <c r="B187" s="279"/>
      <c r="C187" s="279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33"/>
      <c r="R187" s="333"/>
      <c r="S187" s="333"/>
      <c r="T187" s="333"/>
      <c r="U187" s="333"/>
      <c r="V187" s="333"/>
      <c r="W187" s="333"/>
      <c r="X187" s="333"/>
      <c r="Y187" s="33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</row>
    <row r="188" spans="1:66" s="124" customFormat="1">
      <c r="A188" s="279"/>
      <c r="B188" s="279"/>
      <c r="C188" s="279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33"/>
      <c r="R188" s="333"/>
      <c r="S188" s="333"/>
      <c r="T188" s="333"/>
      <c r="U188" s="333"/>
      <c r="V188" s="333"/>
      <c r="W188" s="333"/>
      <c r="X188" s="333"/>
      <c r="Y188" s="33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</row>
    <row r="189" spans="1:66" s="124" customFormat="1">
      <c r="A189" s="279"/>
      <c r="B189" s="279"/>
      <c r="C189" s="279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33"/>
      <c r="R189" s="333"/>
      <c r="S189" s="333"/>
      <c r="T189" s="333"/>
      <c r="U189" s="333"/>
      <c r="V189" s="333"/>
      <c r="W189" s="333"/>
      <c r="X189" s="333"/>
      <c r="Y189" s="33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</row>
    <row r="190" spans="1:66" s="124" customFormat="1">
      <c r="A190" s="279"/>
      <c r="B190" s="279"/>
      <c r="C190" s="279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33"/>
      <c r="R190" s="333"/>
      <c r="S190" s="333"/>
      <c r="T190" s="333"/>
      <c r="U190" s="333"/>
      <c r="V190" s="333"/>
      <c r="W190" s="333"/>
      <c r="X190" s="333"/>
      <c r="Y190" s="33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</row>
    <row r="191" spans="1:66" s="124" customFormat="1">
      <c r="A191" s="279"/>
      <c r="B191" s="279"/>
      <c r="C191" s="279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33"/>
      <c r="R191" s="333"/>
      <c r="S191" s="333"/>
      <c r="T191" s="333"/>
      <c r="U191" s="333"/>
      <c r="V191" s="333"/>
      <c r="W191" s="333"/>
      <c r="X191" s="333"/>
      <c r="Y191" s="33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</row>
    <row r="192" spans="1:66" s="124" customFormat="1">
      <c r="A192" s="279"/>
      <c r="B192" s="279"/>
      <c r="C192" s="279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33"/>
      <c r="R192" s="333"/>
      <c r="S192" s="333"/>
      <c r="T192" s="333"/>
      <c r="U192" s="333"/>
      <c r="V192" s="333"/>
      <c r="W192" s="333"/>
      <c r="X192" s="333"/>
      <c r="Y192" s="33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</row>
    <row r="193" spans="1:66" s="124" customFormat="1">
      <c r="A193" s="279"/>
      <c r="B193" s="279"/>
      <c r="C193" s="279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33"/>
      <c r="R193" s="333"/>
      <c r="S193" s="333"/>
      <c r="T193" s="333"/>
      <c r="U193" s="333"/>
      <c r="V193" s="333"/>
      <c r="W193" s="333"/>
      <c r="X193" s="333"/>
      <c r="Y193" s="33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</row>
    <row r="194" spans="1:66" s="124" customFormat="1">
      <c r="A194" s="279"/>
      <c r="B194" s="279"/>
      <c r="C194" s="279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33"/>
      <c r="R194" s="333"/>
      <c r="S194" s="333"/>
      <c r="T194" s="333"/>
      <c r="U194" s="333"/>
      <c r="V194" s="333"/>
      <c r="W194" s="333"/>
      <c r="X194" s="333"/>
      <c r="Y194" s="33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</row>
    <row r="195" spans="1:66" s="124" customFormat="1">
      <c r="A195" s="279"/>
      <c r="B195" s="279"/>
      <c r="C195" s="279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33"/>
      <c r="R195" s="333"/>
      <c r="S195" s="333"/>
      <c r="T195" s="333"/>
      <c r="U195" s="333"/>
      <c r="V195" s="333"/>
      <c r="W195" s="333"/>
      <c r="X195" s="333"/>
      <c r="Y195" s="33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</row>
    <row r="196" spans="1:66" s="124" customFormat="1">
      <c r="A196" s="279"/>
      <c r="B196" s="279"/>
      <c r="C196" s="279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33"/>
      <c r="R196" s="333"/>
      <c r="S196" s="333"/>
      <c r="T196" s="333"/>
      <c r="U196" s="333"/>
      <c r="V196" s="333"/>
      <c r="W196" s="333"/>
      <c r="X196" s="333"/>
      <c r="Y196" s="33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</row>
    <row r="197" spans="1:66" s="124" customFormat="1">
      <c r="A197" s="279"/>
      <c r="B197" s="279"/>
      <c r="C197" s="279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33"/>
      <c r="R197" s="333"/>
      <c r="S197" s="333"/>
      <c r="T197" s="333"/>
      <c r="U197" s="333"/>
      <c r="V197" s="333"/>
      <c r="W197" s="333"/>
      <c r="X197" s="333"/>
      <c r="Y197" s="33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</row>
    <row r="198" spans="1:66" s="124" customFormat="1">
      <c r="A198" s="279"/>
      <c r="B198" s="279"/>
      <c r="C198" s="279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33"/>
      <c r="R198" s="333"/>
      <c r="S198" s="333"/>
      <c r="T198" s="333"/>
      <c r="U198" s="333"/>
      <c r="V198" s="333"/>
      <c r="W198" s="333"/>
      <c r="X198" s="333"/>
      <c r="Y198" s="33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</row>
    <row r="199" spans="1:66" s="124" customFormat="1">
      <c r="A199" s="279"/>
      <c r="B199" s="279"/>
      <c r="C199" s="279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33"/>
      <c r="R199" s="333"/>
      <c r="S199" s="333"/>
      <c r="T199" s="333"/>
      <c r="U199" s="333"/>
      <c r="V199" s="333"/>
      <c r="W199" s="333"/>
      <c r="X199" s="333"/>
      <c r="Y199" s="33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</row>
    <row r="200" spans="1:66" s="124" customFormat="1">
      <c r="A200" s="279"/>
      <c r="B200" s="279"/>
      <c r="C200" s="279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33"/>
      <c r="R200" s="333"/>
      <c r="S200" s="333"/>
      <c r="T200" s="333"/>
      <c r="U200" s="333"/>
      <c r="V200" s="333"/>
      <c r="W200" s="333"/>
      <c r="X200" s="333"/>
      <c r="Y200" s="33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</row>
    <row r="201" spans="1:66" s="124" customFormat="1">
      <c r="A201" s="279"/>
      <c r="B201" s="279"/>
      <c r="C201" s="279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33"/>
      <c r="R201" s="333"/>
      <c r="S201" s="333"/>
      <c r="T201" s="333"/>
      <c r="U201" s="333"/>
      <c r="V201" s="333"/>
      <c r="W201" s="333"/>
      <c r="X201" s="333"/>
      <c r="Y201" s="33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</row>
    <row r="202" spans="1:66" s="124" customFormat="1">
      <c r="A202" s="279"/>
      <c r="B202" s="279"/>
      <c r="C202" s="279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33"/>
      <c r="R202" s="333"/>
      <c r="S202" s="333"/>
      <c r="T202" s="333"/>
      <c r="U202" s="333"/>
      <c r="V202" s="333"/>
      <c r="W202" s="333"/>
      <c r="X202" s="333"/>
      <c r="Y202" s="33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</row>
    <row r="203" spans="1:66" s="124" customFormat="1">
      <c r="A203" s="279"/>
      <c r="B203" s="279"/>
      <c r="C203" s="279"/>
      <c r="D203" s="324">
        <f>D30-D107</f>
        <v>3060394373.4807243</v>
      </c>
      <c r="E203" s="324">
        <f t="shared" ref="E203:O203" si="21">E30-E107</f>
        <v>1411666993.4207249</v>
      </c>
      <c r="F203" s="324">
        <f t="shared" si="21"/>
        <v>1649079267.9007249</v>
      </c>
      <c r="G203" s="324">
        <f t="shared" si="21"/>
        <v>1584321671.5707259</v>
      </c>
      <c r="H203" s="324">
        <f t="shared" si="21"/>
        <v>1663348189.2507267</v>
      </c>
      <c r="I203" s="324">
        <f t="shared" si="21"/>
        <v>935112014.34072685</v>
      </c>
      <c r="J203" s="324">
        <f t="shared" si="21"/>
        <v>1294817879.3407269</v>
      </c>
      <c r="K203" s="324">
        <f t="shared" si="21"/>
        <v>1220506809.4003267</v>
      </c>
      <c r="L203" s="324">
        <f t="shared" si="21"/>
        <v>1938142080.6793394</v>
      </c>
      <c r="M203" s="324">
        <f t="shared" si="21"/>
        <v>4767698606.2761555</v>
      </c>
      <c r="N203" s="324">
        <f t="shared" si="21"/>
        <v>5942729740.1188927</v>
      </c>
      <c r="O203" s="324">
        <f t="shared" si="21"/>
        <v>2864685558.4925013</v>
      </c>
      <c r="P203" s="324"/>
      <c r="Q203" s="333"/>
      <c r="R203" s="333"/>
      <c r="S203" s="333"/>
      <c r="T203" s="333"/>
      <c r="U203" s="333"/>
      <c r="V203" s="333"/>
      <c r="W203" s="333"/>
      <c r="X203" s="333"/>
      <c r="Y203" s="33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</row>
    <row r="204" spans="1:66" s="124" customFormat="1">
      <c r="A204" s="279"/>
      <c r="B204" s="279"/>
      <c r="C204" s="279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33"/>
      <c r="R204" s="333"/>
      <c r="S204" s="333"/>
      <c r="T204" s="333"/>
      <c r="U204" s="333"/>
      <c r="V204" s="333"/>
      <c r="W204" s="333"/>
      <c r="X204" s="333"/>
      <c r="Y204" s="33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</row>
    <row r="205" spans="1:66" s="124" customFormat="1">
      <c r="A205" s="279"/>
      <c r="B205" s="279"/>
      <c r="C205" s="279"/>
      <c r="D205" s="324"/>
      <c r="E205" s="324"/>
      <c r="F205" s="324"/>
      <c r="G205" s="324"/>
      <c r="H205" s="324"/>
      <c r="I205" s="324"/>
      <c r="J205" s="324"/>
      <c r="K205" s="324"/>
      <c r="L205" s="324"/>
      <c r="M205" s="324"/>
      <c r="N205" s="324"/>
      <c r="O205" s="324"/>
      <c r="P205" s="324"/>
      <c r="Q205" s="333"/>
      <c r="R205" s="333"/>
      <c r="S205" s="333"/>
      <c r="T205" s="333"/>
      <c r="U205" s="333"/>
      <c r="V205" s="333"/>
      <c r="W205" s="333"/>
      <c r="X205" s="333"/>
      <c r="Y205" s="333"/>
      <c r="Z205" s="153"/>
      <c r="AA205" s="153"/>
      <c r="AB205" s="153"/>
      <c r="AC205" s="153"/>
      <c r="AD205" s="153"/>
      <c r="AE205" s="153"/>
      <c r="AF205" s="153"/>
      <c r="AG205" s="153"/>
      <c r="AH205" s="153"/>
      <c r="AI205" s="153"/>
      <c r="AJ205" s="153"/>
      <c r="AK205" s="153"/>
      <c r="AL205" s="153"/>
      <c r="AM205" s="153"/>
      <c r="AN205" s="153"/>
      <c r="AO205" s="153"/>
      <c r="AP205" s="153"/>
      <c r="AQ205" s="153"/>
      <c r="AR205" s="153"/>
      <c r="AS205" s="153"/>
      <c r="AT205" s="153"/>
      <c r="AU205" s="153"/>
      <c r="AV205" s="153"/>
      <c r="AW205" s="153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</row>
    <row r="206" spans="1:66" s="124" customFormat="1">
      <c r="A206" s="262"/>
      <c r="B206" s="262"/>
      <c r="C206" s="262"/>
      <c r="D206" s="283"/>
      <c r="E206" s="283"/>
      <c r="F206" s="283"/>
      <c r="G206" s="283"/>
      <c r="H206" s="283"/>
      <c r="I206" s="283"/>
      <c r="J206" s="283"/>
      <c r="K206" s="283" t="s">
        <v>126</v>
      </c>
      <c r="L206" s="283"/>
      <c r="M206" s="283"/>
      <c r="N206" s="283"/>
      <c r="O206" s="283"/>
      <c r="P206" s="283"/>
      <c r="Q206" s="295"/>
      <c r="R206" s="295"/>
      <c r="S206" s="295"/>
      <c r="T206" s="295"/>
      <c r="U206" s="295"/>
      <c r="V206" s="295"/>
      <c r="W206" s="295"/>
      <c r="X206" s="295"/>
      <c r="Y206" s="295"/>
      <c r="Z206" s="136"/>
      <c r="AA206" s="136"/>
      <c r="AB206" s="136"/>
      <c r="AC206" s="136"/>
      <c r="AD206" s="136"/>
      <c r="AE206" s="136"/>
      <c r="AF206" s="136"/>
      <c r="AG206" s="136"/>
      <c r="AH206" s="136"/>
      <c r="AI206" s="136"/>
      <c r="AJ206" s="136"/>
      <c r="AK206" s="136"/>
      <c r="AL206" s="136"/>
      <c r="AM206" s="136"/>
      <c r="AN206" s="136"/>
      <c r="AO206" s="136"/>
      <c r="AP206" s="136"/>
      <c r="AQ206" s="136"/>
      <c r="AR206" s="136"/>
      <c r="AS206" s="136"/>
      <c r="AT206" s="136"/>
      <c r="AU206" s="136"/>
      <c r="AV206" s="136"/>
      <c r="AW206" s="136"/>
      <c r="AX206" s="125"/>
      <c r="AY206" s="125"/>
      <c r="AZ206" s="125"/>
      <c r="BA206" s="125"/>
      <c r="BB206" s="125"/>
      <c r="BC206" s="125"/>
      <c r="BD206" s="125"/>
      <c r="BE206" s="125"/>
      <c r="BF206" s="125"/>
      <c r="BG206" s="125"/>
      <c r="BH206" s="125"/>
      <c r="BI206" s="125"/>
      <c r="BJ206" s="125"/>
      <c r="BK206" s="125"/>
      <c r="BL206" s="125"/>
    </row>
    <row r="207" spans="1:66" s="124" customFormat="1">
      <c r="A207" s="262"/>
      <c r="B207" s="262"/>
      <c r="C207" s="262"/>
      <c r="D207" s="283"/>
      <c r="E207" s="283"/>
      <c r="F207" s="283"/>
      <c r="G207" s="283"/>
      <c r="H207" s="283"/>
      <c r="I207" s="283"/>
      <c r="J207" s="283"/>
      <c r="K207" s="283" t="s">
        <v>129</v>
      </c>
      <c r="L207" s="283" t="s">
        <v>142</v>
      </c>
      <c r="M207" s="283" t="s">
        <v>131</v>
      </c>
      <c r="N207" s="283" t="s">
        <v>132</v>
      </c>
      <c r="O207" s="283" t="s">
        <v>133</v>
      </c>
      <c r="P207" s="283"/>
      <c r="Q207" s="295"/>
      <c r="R207" s="295"/>
      <c r="S207" s="295"/>
      <c r="T207" s="295"/>
      <c r="U207" s="295"/>
      <c r="V207" s="295"/>
      <c r="W207" s="295"/>
      <c r="X207" s="295"/>
      <c r="Y207" s="295"/>
      <c r="Z207" s="136"/>
      <c r="AA207" s="136"/>
      <c r="AB207" s="136"/>
      <c r="AC207" s="136"/>
      <c r="AD207" s="136"/>
      <c r="AE207" s="136"/>
      <c r="AF207" s="136"/>
      <c r="AG207" s="136"/>
      <c r="AH207" s="136"/>
      <c r="AI207" s="136"/>
      <c r="AJ207" s="136"/>
      <c r="AK207" s="136"/>
      <c r="AL207" s="136"/>
      <c r="AM207" s="136"/>
      <c r="AN207" s="136"/>
      <c r="AO207" s="136"/>
      <c r="AP207" s="136"/>
      <c r="AQ207" s="136"/>
      <c r="AR207" s="136"/>
      <c r="AS207" s="136"/>
      <c r="AT207" s="136"/>
      <c r="AU207" s="136"/>
      <c r="AV207" s="136"/>
      <c r="AW207" s="136"/>
      <c r="AX207" s="125"/>
      <c r="AY207" s="125"/>
      <c r="AZ207" s="125"/>
      <c r="BA207" s="125"/>
      <c r="BB207" s="125"/>
      <c r="BC207" s="125"/>
      <c r="BD207" s="125"/>
      <c r="BE207" s="125"/>
      <c r="BF207" s="125"/>
      <c r="BG207" s="125"/>
      <c r="BH207" s="125"/>
      <c r="BI207" s="125"/>
      <c r="BJ207" s="125"/>
      <c r="BK207" s="125"/>
      <c r="BL207" s="125"/>
    </row>
    <row r="210" spans="1:87" s="283" customFormat="1">
      <c r="A210" s="262"/>
      <c r="B210" s="262"/>
      <c r="C210" s="262"/>
      <c r="H210" s="283" t="s">
        <v>13</v>
      </c>
      <c r="K210" s="283">
        <v>1117617929.4244001</v>
      </c>
      <c r="L210" s="283">
        <v>1117841453.0102849</v>
      </c>
      <c r="M210" s="283">
        <v>1129019867.5403876</v>
      </c>
      <c r="N210" s="283">
        <v>1140310066.2157915</v>
      </c>
      <c r="O210" s="283">
        <v>1140310066.2157915</v>
      </c>
      <c r="Q210" s="295"/>
      <c r="R210" s="295"/>
      <c r="S210" s="295"/>
      <c r="T210" s="295"/>
      <c r="U210" s="295"/>
      <c r="V210" s="295"/>
      <c r="W210" s="295"/>
      <c r="X210" s="295"/>
      <c r="Y210" s="295"/>
      <c r="Z210" s="136"/>
      <c r="AA210" s="136"/>
      <c r="AB210" s="136"/>
      <c r="AC210" s="136"/>
      <c r="AD210" s="136"/>
      <c r="AE210" s="136"/>
      <c r="AF210" s="136"/>
      <c r="AG210" s="136"/>
      <c r="AH210" s="136"/>
      <c r="AI210" s="136"/>
      <c r="AJ210" s="136"/>
      <c r="AK210" s="136"/>
      <c r="AL210" s="136"/>
      <c r="AM210" s="136"/>
      <c r="AN210" s="136"/>
      <c r="AO210" s="136"/>
      <c r="AP210" s="136"/>
      <c r="AQ210" s="136"/>
      <c r="AR210" s="136"/>
      <c r="AS210" s="136"/>
      <c r="AT210" s="136"/>
      <c r="AU210" s="136"/>
      <c r="AV210" s="136"/>
      <c r="AW210" s="136"/>
      <c r="AX210" s="125"/>
      <c r="AY210" s="125"/>
      <c r="AZ210" s="125"/>
      <c r="BA210" s="125"/>
      <c r="BB210" s="125"/>
      <c r="BC210" s="125"/>
      <c r="BD210" s="125"/>
      <c r="BE210" s="125"/>
      <c r="BF210" s="125"/>
      <c r="BG210" s="125"/>
      <c r="BH210" s="125"/>
      <c r="BI210" s="125"/>
      <c r="BJ210" s="125"/>
      <c r="BK210" s="125"/>
      <c r="BL210" s="125"/>
      <c r="BM210" s="124"/>
      <c r="BN210" s="124"/>
      <c r="BO210" s="124"/>
      <c r="BP210" s="124"/>
      <c r="BQ210" s="124"/>
      <c r="BR210" s="124"/>
      <c r="BS210" s="124"/>
      <c r="BT210" s="124"/>
      <c r="BU210" s="124"/>
      <c r="BV210" s="124"/>
      <c r="BW210" s="124"/>
      <c r="BX210" s="124"/>
      <c r="BY210" s="124"/>
      <c r="BZ210" s="124"/>
      <c r="CA210" s="124"/>
      <c r="CB210" s="124"/>
      <c r="CC210" s="124"/>
      <c r="CD210" s="124"/>
      <c r="CE210" s="124"/>
      <c r="CF210" s="124"/>
      <c r="CG210" s="124"/>
      <c r="CH210" s="124"/>
      <c r="CI210" s="124"/>
    </row>
    <row r="211" spans="1:87" s="283" customFormat="1">
      <c r="A211" s="262"/>
      <c r="B211" s="262"/>
      <c r="C211" s="262"/>
      <c r="H211" s="283" t="s">
        <v>14</v>
      </c>
      <c r="K211" s="283">
        <v>305728561.52759999</v>
      </c>
      <c r="L211" s="283">
        <v>305789707.23990554</v>
      </c>
      <c r="M211" s="283">
        <v>308847604.31230462</v>
      </c>
      <c r="N211" s="283">
        <v>311936080.35542768</v>
      </c>
      <c r="O211" s="283">
        <v>311936080.35542768</v>
      </c>
      <c r="Q211" s="295"/>
      <c r="R211" s="295"/>
      <c r="S211" s="295"/>
      <c r="T211" s="295"/>
      <c r="U211" s="295"/>
      <c r="V211" s="295"/>
      <c r="W211" s="295"/>
      <c r="X211" s="295"/>
      <c r="Y211" s="295"/>
      <c r="Z211" s="136"/>
      <c r="AA211" s="136"/>
      <c r="AB211" s="136"/>
      <c r="AC211" s="136"/>
      <c r="AD211" s="136"/>
      <c r="AE211" s="136"/>
      <c r="AF211" s="136"/>
      <c r="AG211" s="136"/>
      <c r="AH211" s="136"/>
      <c r="AI211" s="136"/>
      <c r="AJ211" s="136"/>
      <c r="AK211" s="136"/>
      <c r="AL211" s="136"/>
      <c r="AM211" s="136"/>
      <c r="AN211" s="136"/>
      <c r="AO211" s="136"/>
      <c r="AP211" s="136"/>
      <c r="AQ211" s="136"/>
      <c r="AR211" s="136"/>
      <c r="AS211" s="136"/>
      <c r="AT211" s="136"/>
      <c r="AU211" s="136"/>
      <c r="AV211" s="136"/>
      <c r="AW211" s="136"/>
      <c r="AX211" s="125"/>
      <c r="AY211" s="125"/>
      <c r="AZ211" s="125"/>
      <c r="BA211" s="125"/>
      <c r="BB211" s="125"/>
      <c r="BC211" s="125"/>
      <c r="BD211" s="125"/>
      <c r="BE211" s="125"/>
      <c r="BF211" s="125"/>
      <c r="BG211" s="125"/>
      <c r="BH211" s="125"/>
      <c r="BI211" s="125"/>
      <c r="BJ211" s="125"/>
      <c r="BK211" s="125"/>
      <c r="BL211" s="125"/>
      <c r="BM211" s="124"/>
      <c r="BN211" s="124"/>
      <c r="BO211" s="124"/>
      <c r="BP211" s="124"/>
      <c r="BQ211" s="124"/>
      <c r="BR211" s="124"/>
      <c r="BS211" s="124"/>
      <c r="BT211" s="124"/>
      <c r="BU211" s="124"/>
      <c r="BV211" s="124"/>
      <c r="BW211" s="124"/>
      <c r="BX211" s="124"/>
      <c r="BY211" s="124"/>
      <c r="BZ211" s="124"/>
      <c r="CA211" s="124"/>
      <c r="CB211" s="124"/>
      <c r="CC211" s="124"/>
      <c r="CD211" s="124"/>
      <c r="CE211" s="124"/>
      <c r="CF211" s="124"/>
      <c r="CG211" s="124"/>
      <c r="CH211" s="124"/>
      <c r="CI211" s="124"/>
    </row>
    <row r="212" spans="1:87" s="283" customFormat="1">
      <c r="A212" s="262"/>
      <c r="B212" s="262"/>
      <c r="C212" s="262"/>
      <c r="H212" s="283" t="s">
        <v>233</v>
      </c>
      <c r="K212" s="283">
        <v>2305416497.8800001</v>
      </c>
      <c r="L212" s="283">
        <v>2305877581.1795759</v>
      </c>
      <c r="M212" s="283">
        <v>2328936356.9913716</v>
      </c>
      <c r="N212" s="283">
        <v>2352225720.5612855</v>
      </c>
      <c r="O212" s="283">
        <v>2352225720.5612855</v>
      </c>
      <c r="Q212" s="295"/>
      <c r="R212" s="295"/>
      <c r="S212" s="295"/>
      <c r="T212" s="295"/>
      <c r="U212" s="295"/>
      <c r="V212" s="295"/>
      <c r="W212" s="295"/>
      <c r="X212" s="295"/>
      <c r="Y212" s="295"/>
      <c r="Z212" s="136"/>
      <c r="AA212" s="136"/>
      <c r="AB212" s="136"/>
      <c r="AC212" s="136"/>
      <c r="AD212" s="136"/>
      <c r="AE212" s="136"/>
      <c r="AF212" s="136"/>
      <c r="AG212" s="136"/>
      <c r="AH212" s="136"/>
      <c r="AI212" s="136"/>
      <c r="AJ212" s="136"/>
      <c r="AK212" s="136"/>
      <c r="AL212" s="136"/>
      <c r="AM212" s="136"/>
      <c r="AN212" s="136"/>
      <c r="AO212" s="136"/>
      <c r="AP212" s="136"/>
      <c r="AQ212" s="136"/>
      <c r="AR212" s="136"/>
      <c r="AS212" s="136"/>
      <c r="AT212" s="136"/>
      <c r="AU212" s="136"/>
      <c r="AV212" s="136"/>
      <c r="AW212" s="136"/>
      <c r="AX212" s="125"/>
      <c r="AY212" s="125"/>
      <c r="AZ212" s="125"/>
      <c r="BA212" s="125"/>
      <c r="BB212" s="125"/>
      <c r="BC212" s="125"/>
      <c r="BD212" s="125"/>
      <c r="BE212" s="125"/>
      <c r="BF212" s="125"/>
      <c r="BG212" s="125"/>
      <c r="BH212" s="125"/>
      <c r="BI212" s="125"/>
      <c r="BJ212" s="125"/>
      <c r="BK212" s="125"/>
      <c r="BL212" s="125"/>
      <c r="BM212" s="124"/>
      <c r="BN212" s="124"/>
      <c r="BO212" s="124"/>
      <c r="BP212" s="124"/>
      <c r="BQ212" s="124"/>
      <c r="BR212" s="124"/>
      <c r="BS212" s="124"/>
      <c r="BT212" s="124"/>
      <c r="BU212" s="124"/>
      <c r="BV212" s="124"/>
      <c r="BW212" s="124"/>
      <c r="BX212" s="124"/>
      <c r="BY212" s="124"/>
      <c r="BZ212" s="124"/>
      <c r="CA212" s="124"/>
      <c r="CB212" s="124"/>
      <c r="CC212" s="124"/>
      <c r="CD212" s="124"/>
      <c r="CE212" s="124"/>
      <c r="CF212" s="124"/>
      <c r="CG212" s="124"/>
      <c r="CH212" s="124"/>
      <c r="CI212" s="124"/>
    </row>
    <row r="213" spans="1:87" s="283" customFormat="1">
      <c r="A213" s="262"/>
      <c r="B213" s="262"/>
      <c r="C213" s="262"/>
      <c r="H213" s="283" t="s">
        <v>234</v>
      </c>
      <c r="K213" s="283">
        <v>340478906.10759997</v>
      </c>
      <c r="L213" s="283">
        <v>340547001.88882148</v>
      </c>
      <c r="M213" s="283">
        <v>343952471.90770972</v>
      </c>
      <c r="N213" s="283">
        <v>347391996.62678683</v>
      </c>
      <c r="O213" s="283">
        <v>347391996.62678683</v>
      </c>
      <c r="Q213" s="295"/>
      <c r="R213" s="295"/>
      <c r="S213" s="295"/>
      <c r="T213" s="295"/>
      <c r="U213" s="295"/>
      <c r="V213" s="295"/>
      <c r="W213" s="295"/>
      <c r="X213" s="295"/>
      <c r="Y213" s="295"/>
      <c r="Z213" s="136"/>
      <c r="AA213" s="136"/>
      <c r="AB213" s="136"/>
      <c r="AC213" s="136"/>
      <c r="AD213" s="136"/>
      <c r="AE213" s="136"/>
      <c r="AF213" s="136"/>
      <c r="AG213" s="136"/>
      <c r="AH213" s="136"/>
      <c r="AI213" s="136"/>
      <c r="AJ213" s="136"/>
      <c r="AK213" s="136"/>
      <c r="AL213" s="136"/>
      <c r="AM213" s="136"/>
      <c r="AN213" s="136"/>
      <c r="AO213" s="136"/>
      <c r="AP213" s="136"/>
      <c r="AQ213" s="136"/>
      <c r="AR213" s="136"/>
      <c r="AS213" s="136"/>
      <c r="AT213" s="136"/>
      <c r="AU213" s="136"/>
      <c r="AV213" s="136"/>
      <c r="AW213" s="136"/>
      <c r="AX213" s="125"/>
      <c r="AY213" s="125"/>
      <c r="AZ213" s="125"/>
      <c r="BA213" s="125"/>
      <c r="BB213" s="125"/>
      <c r="BC213" s="125"/>
      <c r="BD213" s="125"/>
      <c r="BE213" s="125"/>
      <c r="BF213" s="125"/>
      <c r="BG213" s="125"/>
      <c r="BH213" s="125"/>
      <c r="BI213" s="125"/>
      <c r="BJ213" s="125"/>
      <c r="BK213" s="125"/>
      <c r="BL213" s="125"/>
      <c r="BM213" s="124"/>
      <c r="BN213" s="124"/>
      <c r="BO213" s="124"/>
      <c r="BP213" s="124"/>
      <c r="BQ213" s="124"/>
      <c r="BR213" s="124"/>
      <c r="BS213" s="124"/>
      <c r="BT213" s="124"/>
      <c r="BU213" s="124"/>
      <c r="BV213" s="124"/>
      <c r="BW213" s="124"/>
      <c r="BX213" s="124"/>
      <c r="BY213" s="124"/>
      <c r="BZ213" s="124"/>
      <c r="CA213" s="124"/>
      <c r="CB213" s="124"/>
      <c r="CC213" s="124"/>
      <c r="CD213" s="124"/>
      <c r="CE213" s="124"/>
      <c r="CF213" s="124"/>
      <c r="CG213" s="124"/>
      <c r="CH213" s="124"/>
      <c r="CI213" s="124"/>
    </row>
    <row r="282" spans="1:66" s="124" customFormat="1">
      <c r="A282" s="262"/>
      <c r="B282" s="262"/>
      <c r="C282" s="262"/>
      <c r="D282" s="283"/>
      <c r="E282" s="283"/>
      <c r="F282" s="283"/>
      <c r="G282" s="283"/>
      <c r="H282" s="283"/>
      <c r="I282" s="283">
        <v>560792090.34072685</v>
      </c>
      <c r="J282" s="283"/>
      <c r="K282" s="283"/>
      <c r="L282" s="283"/>
      <c r="M282" s="283"/>
      <c r="N282" s="283"/>
      <c r="O282" s="283"/>
      <c r="P282" s="283"/>
      <c r="Q282" s="295"/>
      <c r="R282" s="295"/>
      <c r="S282" s="295"/>
      <c r="T282" s="295"/>
      <c r="U282" s="295"/>
      <c r="V282" s="295"/>
      <c r="W282" s="295"/>
      <c r="X282" s="295"/>
      <c r="Y282" s="295"/>
      <c r="Z282" s="136"/>
      <c r="AA282" s="136"/>
      <c r="AB282" s="136"/>
      <c r="AC282" s="136"/>
      <c r="AD282" s="136"/>
      <c r="AE282" s="136"/>
      <c r="AF282" s="136"/>
      <c r="AG282" s="136"/>
      <c r="AH282" s="136"/>
      <c r="AI282" s="136"/>
      <c r="AJ282" s="136"/>
      <c r="AK282" s="136"/>
      <c r="AL282" s="136"/>
      <c r="AM282" s="136"/>
      <c r="AN282" s="136"/>
      <c r="AO282" s="136"/>
      <c r="AP282" s="136"/>
      <c r="AQ282" s="136"/>
      <c r="AR282" s="136"/>
      <c r="AS282" s="136"/>
      <c r="AT282" s="136"/>
      <c r="AU282" s="136"/>
      <c r="AV282" s="136"/>
      <c r="AW282" s="136"/>
      <c r="AX282" s="125"/>
      <c r="AY282" s="125"/>
      <c r="AZ282" s="125"/>
      <c r="BA282" s="125"/>
      <c r="BB282" s="125"/>
      <c r="BC282" s="125"/>
      <c r="BD282" s="125"/>
      <c r="BE282" s="125"/>
      <c r="BF282" s="125"/>
      <c r="BG282" s="125"/>
      <c r="BH282" s="125"/>
      <c r="BI282" s="125"/>
      <c r="BJ282" s="125"/>
      <c r="BK282" s="125"/>
      <c r="BL282" s="125"/>
    </row>
    <row r="283" spans="1:66" s="124" customFormat="1">
      <c r="A283" s="262"/>
      <c r="B283" s="262"/>
      <c r="C283" s="262"/>
      <c r="D283" s="283"/>
      <c r="E283" s="283"/>
      <c r="F283" s="283"/>
      <c r="G283" s="283"/>
      <c r="H283" s="283"/>
      <c r="I283" s="283">
        <f>+'[7]CASH  FLOW (3)'!$P$181</f>
        <v>571720010.48000002</v>
      </c>
      <c r="J283" s="283"/>
      <c r="K283" s="283"/>
      <c r="L283" s="283"/>
      <c r="M283" s="283"/>
      <c r="N283" s="283"/>
      <c r="O283" s="283"/>
      <c r="P283" s="283"/>
      <c r="Q283" s="295"/>
      <c r="R283" s="295"/>
      <c r="S283" s="295"/>
      <c r="T283" s="295"/>
      <c r="U283" s="295"/>
      <c r="V283" s="295"/>
      <c r="W283" s="295"/>
      <c r="X283" s="295"/>
      <c r="Y283" s="295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L283" s="136"/>
      <c r="AM283" s="136"/>
      <c r="AN283" s="136"/>
      <c r="AO283" s="136"/>
      <c r="AP283" s="136"/>
      <c r="AQ283" s="136"/>
      <c r="AR283" s="136"/>
      <c r="AS283" s="136"/>
      <c r="AT283" s="136"/>
      <c r="AU283" s="136"/>
      <c r="AV283" s="136"/>
      <c r="AW283" s="136"/>
      <c r="AX283" s="125"/>
      <c r="AY283" s="125"/>
      <c r="AZ283" s="125"/>
      <c r="BA283" s="125"/>
      <c r="BB283" s="125"/>
      <c r="BC283" s="125"/>
      <c r="BD283" s="125"/>
      <c r="BE283" s="125"/>
      <c r="BF283" s="125"/>
      <c r="BG283" s="125"/>
      <c r="BH283" s="125"/>
      <c r="BI283" s="125"/>
      <c r="BJ283" s="125"/>
      <c r="BK283" s="125"/>
      <c r="BL283" s="125"/>
      <c r="BN283" s="204">
        <f>SUM(J120:J125)</f>
        <v>198256004</v>
      </c>
    </row>
    <row r="284" spans="1:66" s="124" customFormat="1">
      <c r="A284" s="262"/>
      <c r="B284" s="262"/>
      <c r="C284" s="262"/>
      <c r="D284" s="283"/>
      <c r="E284" s="283"/>
      <c r="F284" s="283"/>
      <c r="G284" s="283"/>
      <c r="H284" s="283"/>
      <c r="I284" s="283">
        <f>+I134-I283</f>
        <v>-18796000.139273167</v>
      </c>
      <c r="J284" s="283"/>
      <c r="K284" s="283"/>
      <c r="L284" s="283">
        <f>L107-[6]PENGELUARAN!$J$83</f>
        <v>3851860872.1988935</v>
      </c>
      <c r="M284" s="283"/>
      <c r="N284" s="283"/>
      <c r="O284" s="283"/>
      <c r="P284" s="283"/>
      <c r="Q284" s="295"/>
      <c r="R284" s="295"/>
      <c r="S284" s="295"/>
      <c r="T284" s="295"/>
      <c r="U284" s="295"/>
      <c r="V284" s="295"/>
      <c r="W284" s="295"/>
      <c r="X284" s="295"/>
      <c r="Y284" s="295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L284" s="136"/>
      <c r="AM284" s="136"/>
      <c r="AN284" s="136"/>
      <c r="AO284" s="136"/>
      <c r="AP284" s="136"/>
      <c r="AQ284" s="136"/>
      <c r="AR284" s="136"/>
      <c r="AS284" s="136"/>
      <c r="AT284" s="136"/>
      <c r="AU284" s="136"/>
      <c r="AV284" s="136"/>
      <c r="AW284" s="136"/>
      <c r="AX284" s="125"/>
      <c r="AY284" s="125"/>
      <c r="AZ284" s="125"/>
      <c r="BA284" s="125"/>
      <c r="BB284" s="125"/>
      <c r="BC284" s="125"/>
      <c r="BD284" s="125"/>
      <c r="BE284" s="125"/>
      <c r="BF284" s="125"/>
      <c r="BG284" s="125"/>
      <c r="BH284" s="125"/>
      <c r="BI284" s="125"/>
      <c r="BJ284" s="125"/>
      <c r="BK284" s="125"/>
      <c r="BL284" s="125"/>
    </row>
    <row r="285" spans="1:66" s="124" customFormat="1">
      <c r="A285" s="262"/>
      <c r="B285" s="262"/>
      <c r="C285" s="262"/>
      <c r="D285" s="283"/>
      <c r="E285" s="283"/>
      <c r="F285" s="283"/>
      <c r="G285" s="283"/>
      <c r="H285" s="283"/>
      <c r="I285" s="283"/>
      <c r="J285" s="283"/>
      <c r="K285" s="283"/>
      <c r="L285" s="283">
        <f>[6]PENGELUARAN!$M$83*1000000</f>
        <v>3408616672.75</v>
      </c>
      <c r="M285" s="283"/>
      <c r="N285" s="283"/>
      <c r="O285" s="283"/>
      <c r="P285" s="283"/>
      <c r="Q285" s="295"/>
      <c r="R285" s="295"/>
      <c r="S285" s="295"/>
      <c r="T285" s="295"/>
      <c r="U285" s="295"/>
      <c r="V285" s="295"/>
      <c r="W285" s="295"/>
      <c r="X285" s="295"/>
      <c r="Y285" s="295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L285" s="136"/>
      <c r="AM285" s="136"/>
      <c r="AN285" s="136"/>
      <c r="AO285" s="136"/>
      <c r="AP285" s="136"/>
      <c r="AQ285" s="136"/>
      <c r="AR285" s="136"/>
      <c r="AS285" s="136"/>
      <c r="AT285" s="136"/>
      <c r="AU285" s="136"/>
      <c r="AV285" s="136"/>
      <c r="AW285" s="136"/>
      <c r="AX285" s="125"/>
      <c r="AY285" s="125"/>
      <c r="AZ285" s="125"/>
      <c r="BA285" s="125"/>
      <c r="BB285" s="125"/>
      <c r="BC285" s="125"/>
      <c r="BD285" s="125"/>
      <c r="BE285" s="125"/>
      <c r="BF285" s="125"/>
      <c r="BG285" s="125"/>
      <c r="BH285" s="125"/>
      <c r="BI285" s="125"/>
      <c r="BJ285" s="125"/>
      <c r="BK285" s="125"/>
      <c r="BL285" s="125"/>
    </row>
    <row r="286" spans="1:66" s="124" customFormat="1">
      <c r="A286" s="262"/>
      <c r="B286" s="262"/>
      <c r="C286" s="262"/>
      <c r="D286" s="283"/>
      <c r="E286" s="283"/>
      <c r="F286" s="283"/>
      <c r="G286" s="283"/>
      <c r="H286" s="283"/>
      <c r="I286" s="283"/>
      <c r="J286" s="283"/>
      <c r="K286" s="283"/>
      <c r="L286" s="283">
        <f>L284-L285</f>
        <v>443244199.44889355</v>
      </c>
      <c r="M286" s="283"/>
      <c r="N286" s="283"/>
      <c r="O286" s="283"/>
      <c r="P286" s="283"/>
      <c r="Q286" s="295"/>
      <c r="R286" s="295"/>
      <c r="S286" s="295"/>
      <c r="T286" s="295"/>
      <c r="U286" s="295"/>
      <c r="V286" s="295"/>
      <c r="W286" s="295"/>
      <c r="X286" s="295"/>
      <c r="Y286" s="295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L286" s="136"/>
      <c r="AM286" s="136"/>
      <c r="AN286" s="136"/>
      <c r="AO286" s="136"/>
      <c r="AP286" s="136"/>
      <c r="AQ286" s="136"/>
      <c r="AR286" s="136"/>
      <c r="AS286" s="136"/>
      <c r="AT286" s="136"/>
      <c r="AU286" s="136"/>
      <c r="AV286" s="136"/>
      <c r="AW286" s="136"/>
      <c r="AX286" s="125"/>
      <c r="AY286" s="125"/>
      <c r="AZ286" s="125"/>
      <c r="BA286" s="125"/>
      <c r="BB286" s="125"/>
      <c r="BC286" s="125"/>
      <c r="BD286" s="125"/>
      <c r="BE286" s="125"/>
      <c r="BF286" s="125"/>
      <c r="BG286" s="125"/>
      <c r="BH286" s="125"/>
      <c r="BI286" s="125"/>
      <c r="BJ286" s="125"/>
      <c r="BK286" s="125"/>
      <c r="BL286" s="125"/>
    </row>
    <row r="287" spans="1:66" s="124" customFormat="1">
      <c r="A287" s="262"/>
      <c r="B287" s="262"/>
      <c r="C287" s="262"/>
      <c r="D287" s="283"/>
      <c r="E287" s="283"/>
      <c r="F287" s="283"/>
      <c r="G287" s="283"/>
      <c r="H287" s="283"/>
      <c r="I287" s="283" t="s">
        <v>128</v>
      </c>
      <c r="J287" s="283"/>
      <c r="K287" s="283"/>
      <c r="L287" s="283"/>
      <c r="M287" s="283"/>
      <c r="N287" s="283"/>
      <c r="O287" s="283"/>
      <c r="P287" s="283"/>
      <c r="Q287" s="295"/>
      <c r="R287" s="295"/>
      <c r="S287" s="295"/>
      <c r="T287" s="295"/>
      <c r="U287" s="295"/>
      <c r="V287" s="295"/>
      <c r="W287" s="295"/>
      <c r="X287" s="295"/>
      <c r="Y287" s="295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L287" s="136"/>
      <c r="AM287" s="136"/>
      <c r="AN287" s="136"/>
      <c r="AO287" s="136"/>
      <c r="AP287" s="136"/>
      <c r="AQ287" s="136"/>
      <c r="AR287" s="136"/>
      <c r="AS287" s="136"/>
      <c r="AT287" s="136"/>
      <c r="AU287" s="136"/>
      <c r="AV287" s="136"/>
      <c r="AW287" s="136"/>
      <c r="AX287" s="125"/>
      <c r="AY287" s="125"/>
      <c r="AZ287" s="125"/>
      <c r="BA287" s="125"/>
      <c r="BB287" s="125"/>
      <c r="BC287" s="125"/>
      <c r="BD287" s="125"/>
      <c r="BE287" s="125"/>
      <c r="BF287" s="125"/>
      <c r="BG287" s="125"/>
      <c r="BH287" s="125"/>
      <c r="BI287" s="125"/>
      <c r="BJ287" s="125"/>
      <c r="BK287" s="125"/>
      <c r="BL287" s="125"/>
    </row>
    <row r="288" spans="1:66" s="124" customFormat="1">
      <c r="A288" s="262"/>
      <c r="B288" s="262"/>
      <c r="C288" s="262" t="s">
        <v>135</v>
      </c>
      <c r="D288" s="283"/>
      <c r="E288" s="283"/>
      <c r="F288" s="283"/>
      <c r="G288" s="283"/>
      <c r="H288" s="283"/>
      <c r="I288" s="283"/>
      <c r="J288" s="283">
        <v>95488400</v>
      </c>
      <c r="K288" s="283"/>
      <c r="L288" s="283"/>
      <c r="M288" s="283"/>
      <c r="N288" s="283"/>
      <c r="O288" s="283"/>
      <c r="P288" s="283"/>
      <c r="Q288" s="295"/>
      <c r="R288" s="295"/>
      <c r="S288" s="295"/>
      <c r="T288" s="295"/>
      <c r="U288" s="295"/>
      <c r="V288" s="295"/>
      <c r="W288" s="295"/>
      <c r="X288" s="295"/>
      <c r="Y288" s="295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L288" s="136"/>
      <c r="AM288" s="136"/>
      <c r="AN288" s="136"/>
      <c r="AO288" s="136"/>
      <c r="AP288" s="136"/>
      <c r="AQ288" s="136"/>
      <c r="AR288" s="136"/>
      <c r="AS288" s="136"/>
      <c r="AT288" s="136"/>
      <c r="AU288" s="136"/>
      <c r="AV288" s="136"/>
      <c r="AW288" s="136"/>
      <c r="AX288" s="125"/>
      <c r="AY288" s="125"/>
      <c r="AZ288" s="125"/>
      <c r="BA288" s="125"/>
      <c r="BB288" s="125"/>
      <c r="BC288" s="125"/>
      <c r="BD288" s="125"/>
      <c r="BE288" s="125"/>
      <c r="BF288" s="125"/>
      <c r="BG288" s="125"/>
      <c r="BH288" s="125"/>
      <c r="BI288" s="125"/>
      <c r="BJ288" s="125"/>
      <c r="BK288" s="125"/>
      <c r="BL288" s="125"/>
    </row>
    <row r="289" spans="1:87" s="124" customFormat="1">
      <c r="A289" s="262"/>
      <c r="B289" s="262"/>
      <c r="C289" s="262" t="s">
        <v>136</v>
      </c>
      <c r="D289" s="283"/>
      <c r="E289" s="283"/>
      <c r="F289" s="283"/>
      <c r="G289" s="283"/>
      <c r="H289" s="283"/>
      <c r="I289" s="283"/>
      <c r="J289" s="283">
        <f>[3]JULI!$H$112</f>
        <v>136328714</v>
      </c>
      <c r="K289" s="283"/>
      <c r="L289" s="283"/>
      <c r="M289" s="283"/>
      <c r="N289" s="283"/>
      <c r="O289" s="283"/>
      <c r="P289" s="283"/>
      <c r="Q289" s="295"/>
      <c r="R289" s="295"/>
      <c r="S289" s="295"/>
      <c r="T289" s="295"/>
      <c r="U289" s="295"/>
      <c r="V289" s="295"/>
      <c r="W289" s="295"/>
      <c r="X289" s="295"/>
      <c r="Y289" s="295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L289" s="136"/>
      <c r="AM289" s="136"/>
      <c r="AN289" s="136"/>
      <c r="AO289" s="136"/>
      <c r="AP289" s="136"/>
      <c r="AQ289" s="136"/>
      <c r="AR289" s="136"/>
      <c r="AS289" s="136"/>
      <c r="AT289" s="136"/>
      <c r="AU289" s="136"/>
      <c r="AV289" s="136"/>
      <c r="AW289" s="136"/>
      <c r="AX289" s="125"/>
      <c r="AY289" s="125"/>
      <c r="AZ289" s="125"/>
      <c r="BA289" s="125"/>
      <c r="BB289" s="125"/>
      <c r="BC289" s="125"/>
      <c r="BD289" s="125"/>
      <c r="BE289" s="125"/>
      <c r="BF289" s="125"/>
      <c r="BG289" s="125"/>
      <c r="BH289" s="125"/>
      <c r="BI289" s="125"/>
      <c r="BJ289" s="125"/>
      <c r="BK289" s="125"/>
      <c r="BL289" s="125"/>
    </row>
    <row r="290" spans="1:87" s="283" customFormat="1">
      <c r="A290" s="262"/>
      <c r="B290" s="262"/>
      <c r="C290" s="262" t="s">
        <v>137</v>
      </c>
      <c r="J290" s="283">
        <f>[8]JULI!$G$312</f>
        <v>156009</v>
      </c>
      <c r="Q290" s="295"/>
      <c r="R290" s="295"/>
      <c r="S290" s="295"/>
      <c r="T290" s="295"/>
      <c r="U290" s="295"/>
      <c r="V290" s="295"/>
      <c r="W290" s="295"/>
      <c r="X290" s="295"/>
      <c r="Y290" s="295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L290" s="136"/>
      <c r="AM290" s="136"/>
      <c r="AN290" s="136"/>
      <c r="AO290" s="136"/>
      <c r="AP290" s="136"/>
      <c r="AQ290" s="136"/>
      <c r="AR290" s="136"/>
      <c r="AS290" s="136"/>
      <c r="AT290" s="136"/>
      <c r="AU290" s="136"/>
      <c r="AV290" s="136"/>
      <c r="AW290" s="136"/>
      <c r="AX290" s="125"/>
      <c r="AY290" s="125"/>
      <c r="AZ290" s="125"/>
      <c r="BA290" s="125"/>
      <c r="BB290" s="125"/>
      <c r="BC290" s="125"/>
      <c r="BD290" s="125"/>
      <c r="BE290" s="125"/>
      <c r="BF290" s="125"/>
      <c r="BG290" s="125"/>
      <c r="BH290" s="125"/>
      <c r="BI290" s="125"/>
      <c r="BJ290" s="125"/>
      <c r="BK290" s="125"/>
      <c r="BL290" s="125"/>
      <c r="BM290" s="124"/>
      <c r="BN290" s="124"/>
      <c r="BO290" s="124"/>
      <c r="BP290" s="124"/>
      <c r="BQ290" s="124"/>
      <c r="BR290" s="124"/>
      <c r="BS290" s="124"/>
      <c r="BT290" s="124"/>
      <c r="BU290" s="124"/>
      <c r="BV290" s="124"/>
      <c r="BW290" s="124"/>
      <c r="BX290" s="124"/>
      <c r="BY290" s="124"/>
      <c r="BZ290" s="124"/>
      <c r="CA290" s="124"/>
      <c r="CB290" s="124"/>
      <c r="CC290" s="124"/>
      <c r="CD290" s="124"/>
      <c r="CE290" s="124"/>
      <c r="CF290" s="124"/>
      <c r="CG290" s="124"/>
      <c r="CH290" s="124"/>
      <c r="CI290" s="124"/>
    </row>
    <row r="291" spans="1:87" s="283" customFormat="1">
      <c r="A291" s="262"/>
      <c r="B291" s="262"/>
      <c r="C291" s="262" t="s">
        <v>138</v>
      </c>
      <c r="J291" s="283">
        <v>22746010</v>
      </c>
      <c r="Q291" s="295"/>
      <c r="R291" s="295"/>
      <c r="S291" s="295"/>
      <c r="T291" s="295"/>
      <c r="U291" s="295"/>
      <c r="V291" s="295"/>
      <c r="W291" s="295"/>
      <c r="X291" s="295"/>
      <c r="Y291" s="295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L291" s="136"/>
      <c r="AM291" s="136"/>
      <c r="AN291" s="136"/>
      <c r="AO291" s="136"/>
      <c r="AP291" s="136"/>
      <c r="AQ291" s="136"/>
      <c r="AR291" s="136"/>
      <c r="AS291" s="136"/>
      <c r="AT291" s="136"/>
      <c r="AU291" s="136"/>
      <c r="AV291" s="136"/>
      <c r="AW291" s="136"/>
      <c r="AX291" s="125"/>
      <c r="AY291" s="125"/>
      <c r="AZ291" s="125"/>
      <c r="BA291" s="125"/>
      <c r="BB291" s="125"/>
      <c r="BC291" s="125"/>
      <c r="BD291" s="125"/>
      <c r="BE291" s="125"/>
      <c r="BF291" s="125"/>
      <c r="BG291" s="125"/>
      <c r="BH291" s="125"/>
      <c r="BI291" s="125"/>
      <c r="BJ291" s="125"/>
      <c r="BK291" s="125"/>
      <c r="BL291" s="125"/>
      <c r="BM291" s="124"/>
      <c r="BN291" s="124"/>
      <c r="BO291" s="124"/>
      <c r="BP291" s="124"/>
      <c r="BQ291" s="124"/>
      <c r="BR291" s="124"/>
      <c r="BS291" s="124"/>
      <c r="BT291" s="124"/>
      <c r="BU291" s="124"/>
      <c r="BV291" s="124"/>
      <c r="BW291" s="124"/>
      <c r="BX291" s="124"/>
      <c r="BY291" s="124"/>
      <c r="BZ291" s="124"/>
      <c r="CA291" s="124"/>
      <c r="CB291" s="124"/>
      <c r="CC291" s="124"/>
      <c r="CD291" s="124"/>
      <c r="CE291" s="124"/>
      <c r="CF291" s="124"/>
      <c r="CG291" s="124"/>
      <c r="CH291" s="124"/>
      <c r="CI291" s="124"/>
    </row>
    <row r="292" spans="1:87" s="283" customFormat="1">
      <c r="A292" s="262"/>
      <c r="B292" s="262"/>
      <c r="C292" s="262" t="s">
        <v>139</v>
      </c>
      <c r="J292" s="283">
        <v>53472958.619999997</v>
      </c>
      <c r="Q292" s="295"/>
      <c r="R292" s="295"/>
      <c r="S292" s="295"/>
      <c r="T292" s="295"/>
      <c r="U292" s="295"/>
      <c r="V292" s="295"/>
      <c r="W292" s="295"/>
      <c r="X292" s="295"/>
      <c r="Y292" s="295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L292" s="136"/>
      <c r="AM292" s="136"/>
      <c r="AN292" s="136"/>
      <c r="AO292" s="136"/>
      <c r="AP292" s="136"/>
      <c r="AQ292" s="136"/>
      <c r="AR292" s="136"/>
      <c r="AS292" s="136"/>
      <c r="AT292" s="136"/>
      <c r="AU292" s="136"/>
      <c r="AV292" s="136"/>
      <c r="AW292" s="136"/>
      <c r="AX292" s="125"/>
      <c r="AY292" s="125"/>
      <c r="AZ292" s="125"/>
      <c r="BA292" s="125"/>
      <c r="BB292" s="125"/>
      <c r="BC292" s="125"/>
      <c r="BD292" s="125"/>
      <c r="BE292" s="125"/>
      <c r="BF292" s="125"/>
      <c r="BG292" s="125"/>
      <c r="BH292" s="125"/>
      <c r="BI292" s="125"/>
      <c r="BJ292" s="125"/>
      <c r="BK292" s="125"/>
      <c r="BL292" s="125"/>
      <c r="BM292" s="124"/>
      <c r="BN292" s="124"/>
      <c r="BO292" s="124"/>
      <c r="BP292" s="124"/>
      <c r="BQ292" s="124"/>
      <c r="BR292" s="124"/>
      <c r="BS292" s="124"/>
      <c r="BT292" s="124"/>
      <c r="BU292" s="124"/>
      <c r="BV292" s="124"/>
      <c r="BW292" s="124"/>
      <c r="BX292" s="124"/>
      <c r="BY292" s="124"/>
      <c r="BZ292" s="124"/>
      <c r="CA292" s="124"/>
      <c r="CB292" s="124"/>
      <c r="CC292" s="124"/>
      <c r="CD292" s="124"/>
      <c r="CE292" s="124"/>
      <c r="CF292" s="124"/>
      <c r="CG292" s="124"/>
      <c r="CH292" s="124"/>
      <c r="CI292" s="124"/>
    </row>
    <row r="293" spans="1:87" s="283" customFormat="1">
      <c r="A293" s="262"/>
      <c r="B293" s="262"/>
      <c r="C293" s="262" t="s">
        <v>140</v>
      </c>
      <c r="J293" s="283">
        <v>101000000</v>
      </c>
      <c r="Q293" s="295"/>
      <c r="R293" s="295"/>
      <c r="S293" s="295"/>
      <c r="T293" s="295"/>
      <c r="U293" s="295"/>
      <c r="V293" s="295"/>
      <c r="W293" s="295"/>
      <c r="X293" s="295"/>
      <c r="Y293" s="295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L293" s="136"/>
      <c r="AM293" s="136"/>
      <c r="AN293" s="136"/>
      <c r="AO293" s="136"/>
      <c r="AP293" s="136"/>
      <c r="AQ293" s="136"/>
      <c r="AR293" s="136"/>
      <c r="AS293" s="136"/>
      <c r="AT293" s="136"/>
      <c r="AU293" s="136"/>
      <c r="AV293" s="136"/>
      <c r="AW293" s="136"/>
      <c r="AX293" s="125"/>
      <c r="AY293" s="125"/>
      <c r="AZ293" s="125"/>
      <c r="BA293" s="125"/>
      <c r="BB293" s="125"/>
      <c r="BC293" s="125"/>
      <c r="BD293" s="125"/>
      <c r="BE293" s="125"/>
      <c r="BF293" s="125"/>
      <c r="BG293" s="125"/>
      <c r="BH293" s="125"/>
      <c r="BI293" s="125"/>
      <c r="BJ293" s="125"/>
      <c r="BK293" s="125"/>
      <c r="BL293" s="125"/>
      <c r="BM293" s="124"/>
      <c r="BN293" s="124"/>
      <c r="BO293" s="124"/>
      <c r="BP293" s="124"/>
      <c r="BQ293" s="124"/>
      <c r="BR293" s="124"/>
      <c r="BS293" s="124"/>
      <c r="BT293" s="124"/>
      <c r="BU293" s="124"/>
      <c r="BV293" s="124"/>
      <c r="BW293" s="124"/>
      <c r="BX293" s="124"/>
      <c r="BY293" s="124"/>
      <c r="BZ293" s="124"/>
      <c r="CA293" s="124"/>
      <c r="CB293" s="124"/>
      <c r="CC293" s="124"/>
      <c r="CD293" s="124"/>
      <c r="CE293" s="124"/>
      <c r="CF293" s="124"/>
      <c r="CG293" s="124"/>
      <c r="CH293" s="124"/>
      <c r="CI293" s="124"/>
    </row>
    <row r="294" spans="1:87" s="283" customFormat="1">
      <c r="A294" s="262"/>
      <c r="B294" s="262"/>
      <c r="C294" s="262" t="s">
        <v>141</v>
      </c>
      <c r="J294" s="283">
        <v>204641444</v>
      </c>
      <c r="Q294" s="295"/>
      <c r="R294" s="295"/>
      <c r="S294" s="295"/>
      <c r="T294" s="295"/>
      <c r="U294" s="295"/>
      <c r="V294" s="295"/>
      <c r="W294" s="295"/>
      <c r="X294" s="295"/>
      <c r="Y294" s="295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L294" s="136"/>
      <c r="AM294" s="136"/>
      <c r="AN294" s="136"/>
      <c r="AO294" s="136"/>
      <c r="AP294" s="136"/>
      <c r="AQ294" s="136"/>
      <c r="AR294" s="136"/>
      <c r="AS294" s="136"/>
      <c r="AT294" s="136"/>
      <c r="AU294" s="136"/>
      <c r="AV294" s="136"/>
      <c r="AW294" s="136"/>
      <c r="AX294" s="125"/>
      <c r="AY294" s="125"/>
      <c r="AZ294" s="125"/>
      <c r="BA294" s="125"/>
      <c r="BB294" s="125"/>
      <c r="BC294" s="125"/>
      <c r="BD294" s="125"/>
      <c r="BE294" s="125"/>
      <c r="BF294" s="125"/>
      <c r="BG294" s="125"/>
      <c r="BH294" s="125"/>
      <c r="BI294" s="125"/>
      <c r="BJ294" s="125"/>
      <c r="BK294" s="125"/>
      <c r="BL294" s="125"/>
      <c r="BM294" s="124"/>
      <c r="BN294" s="124"/>
      <c r="BO294" s="124"/>
      <c r="BP294" s="124"/>
      <c r="BQ294" s="124"/>
      <c r="BR294" s="124"/>
      <c r="BS294" s="124"/>
      <c r="BT294" s="124"/>
      <c r="BU294" s="124"/>
      <c r="BV294" s="124"/>
      <c r="BW294" s="124"/>
      <c r="BX294" s="124"/>
      <c r="BY294" s="124"/>
      <c r="BZ294" s="124"/>
      <c r="CA294" s="124"/>
      <c r="CB294" s="124"/>
      <c r="CC294" s="124"/>
      <c r="CD294" s="124"/>
      <c r="CE294" s="124"/>
      <c r="CF294" s="124"/>
      <c r="CG294" s="124"/>
      <c r="CH294" s="124"/>
      <c r="CI294" s="124"/>
    </row>
    <row r="295" spans="1:87" s="283" customFormat="1">
      <c r="A295" s="262"/>
      <c r="B295" s="262"/>
      <c r="C295" s="262" t="s">
        <v>146</v>
      </c>
      <c r="J295" s="283">
        <v>11091584</v>
      </c>
      <c r="Q295" s="295"/>
      <c r="R295" s="295"/>
      <c r="S295" s="295"/>
      <c r="T295" s="295"/>
      <c r="U295" s="295"/>
      <c r="V295" s="295"/>
      <c r="W295" s="295"/>
      <c r="X295" s="295"/>
      <c r="Y295" s="295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L295" s="136"/>
      <c r="AM295" s="136"/>
      <c r="AN295" s="136"/>
      <c r="AO295" s="136"/>
      <c r="AP295" s="136"/>
      <c r="AQ295" s="136"/>
      <c r="AR295" s="136"/>
      <c r="AS295" s="136"/>
      <c r="AT295" s="136"/>
      <c r="AU295" s="136"/>
      <c r="AV295" s="136"/>
      <c r="AW295" s="136"/>
      <c r="AX295" s="125"/>
      <c r="AY295" s="125"/>
      <c r="AZ295" s="125"/>
      <c r="BA295" s="125"/>
      <c r="BB295" s="125"/>
      <c r="BC295" s="125"/>
      <c r="BD295" s="125"/>
      <c r="BE295" s="125"/>
      <c r="BF295" s="125"/>
      <c r="BG295" s="125"/>
      <c r="BH295" s="125"/>
      <c r="BI295" s="125"/>
      <c r="BJ295" s="125"/>
      <c r="BK295" s="125"/>
      <c r="BL295" s="125"/>
      <c r="BM295" s="124"/>
      <c r="BN295" s="124"/>
      <c r="BO295" s="124"/>
      <c r="BP295" s="124"/>
      <c r="BQ295" s="124"/>
      <c r="BR295" s="124"/>
      <c r="BS295" s="124"/>
      <c r="BT295" s="124"/>
      <c r="BU295" s="124"/>
      <c r="BV295" s="124"/>
      <c r="BW295" s="124"/>
      <c r="BX295" s="124"/>
      <c r="BY295" s="124"/>
      <c r="BZ295" s="124"/>
      <c r="CA295" s="124"/>
      <c r="CB295" s="124"/>
      <c r="CC295" s="124"/>
      <c r="CD295" s="124"/>
      <c r="CE295" s="124"/>
      <c r="CF295" s="124"/>
      <c r="CG295" s="124"/>
      <c r="CH295" s="124"/>
      <c r="CI295" s="124"/>
    </row>
    <row r="296" spans="1:87" s="283" customFormat="1">
      <c r="A296" s="262"/>
      <c r="B296" s="262"/>
      <c r="C296" s="262"/>
      <c r="J296" s="283">
        <f>SUM(J288:J295)</f>
        <v>624925119.62</v>
      </c>
      <c r="Q296" s="295"/>
      <c r="R296" s="295"/>
      <c r="S296" s="295"/>
      <c r="T296" s="295"/>
      <c r="U296" s="295"/>
      <c r="V296" s="295"/>
      <c r="W296" s="295"/>
      <c r="X296" s="295"/>
      <c r="Y296" s="295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L296" s="136"/>
      <c r="AM296" s="136"/>
      <c r="AN296" s="136"/>
      <c r="AO296" s="136"/>
      <c r="AP296" s="136"/>
      <c r="AQ296" s="136"/>
      <c r="AR296" s="136"/>
      <c r="AS296" s="136"/>
      <c r="AT296" s="136"/>
      <c r="AU296" s="136"/>
      <c r="AV296" s="136"/>
      <c r="AW296" s="136"/>
      <c r="AX296" s="125"/>
      <c r="AY296" s="125"/>
      <c r="AZ296" s="125"/>
      <c r="BA296" s="125"/>
      <c r="BB296" s="125"/>
      <c r="BC296" s="125"/>
      <c r="BD296" s="125"/>
      <c r="BE296" s="125"/>
      <c r="BF296" s="125"/>
      <c r="BG296" s="125"/>
      <c r="BH296" s="125"/>
      <c r="BI296" s="125"/>
      <c r="BJ296" s="125"/>
      <c r="BK296" s="125"/>
      <c r="BL296" s="125"/>
      <c r="BM296" s="124"/>
      <c r="BN296" s="124"/>
      <c r="BO296" s="124"/>
      <c r="BP296" s="124"/>
      <c r="BQ296" s="124"/>
      <c r="BR296" s="124"/>
      <c r="BS296" s="124"/>
      <c r="BT296" s="124"/>
      <c r="BU296" s="124"/>
      <c r="BV296" s="124"/>
      <c r="BW296" s="124"/>
      <c r="BX296" s="124"/>
      <c r="BY296" s="124"/>
      <c r="BZ296" s="124"/>
      <c r="CA296" s="124"/>
      <c r="CB296" s="124"/>
      <c r="CC296" s="124"/>
      <c r="CD296" s="124"/>
      <c r="CE296" s="124"/>
      <c r="CF296" s="124"/>
      <c r="CG296" s="124"/>
      <c r="CH296" s="124"/>
      <c r="CI296" s="124"/>
    </row>
    <row r="298" spans="1:87" s="283" customFormat="1">
      <c r="A298" s="262"/>
      <c r="B298" s="262"/>
      <c r="C298" s="262"/>
      <c r="J298" s="283">
        <f>J134-J296</f>
        <v>78446726.720726848</v>
      </c>
      <c r="Q298" s="295"/>
      <c r="R298" s="295"/>
      <c r="S298" s="295"/>
      <c r="T298" s="295"/>
      <c r="U298" s="295"/>
      <c r="V298" s="295"/>
      <c r="W298" s="295"/>
      <c r="X298" s="295"/>
      <c r="Y298" s="295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L298" s="136"/>
      <c r="AM298" s="136"/>
      <c r="AN298" s="136"/>
      <c r="AO298" s="136"/>
      <c r="AP298" s="136"/>
      <c r="AQ298" s="136"/>
      <c r="AR298" s="136"/>
      <c r="AS298" s="136"/>
      <c r="AT298" s="136"/>
      <c r="AU298" s="136"/>
      <c r="AV298" s="136"/>
      <c r="AW298" s="136"/>
      <c r="AX298" s="125"/>
      <c r="AY298" s="125"/>
      <c r="AZ298" s="125"/>
      <c r="BA298" s="125"/>
      <c r="BB298" s="125"/>
      <c r="BC298" s="125"/>
      <c r="BD298" s="125"/>
      <c r="BE298" s="125"/>
      <c r="BF298" s="125"/>
      <c r="BG298" s="125"/>
      <c r="BH298" s="125"/>
      <c r="BI298" s="125"/>
      <c r="BJ298" s="125"/>
      <c r="BK298" s="125"/>
      <c r="BL298" s="125"/>
      <c r="BM298" s="124"/>
      <c r="BN298" s="124"/>
      <c r="BO298" s="124"/>
      <c r="BP298" s="124"/>
      <c r="BQ298" s="124"/>
      <c r="BR298" s="124"/>
      <c r="BS298" s="124"/>
      <c r="BT298" s="124"/>
      <c r="BU298" s="124"/>
      <c r="BV298" s="124"/>
      <c r="BW298" s="124"/>
      <c r="BX298" s="124"/>
      <c r="BY298" s="124"/>
      <c r="BZ298" s="124"/>
      <c r="CA298" s="124"/>
      <c r="CB298" s="124"/>
      <c r="CC298" s="124"/>
      <c r="CD298" s="124"/>
      <c r="CE298" s="124"/>
      <c r="CF298" s="124"/>
      <c r="CG298" s="124"/>
      <c r="CH298" s="124"/>
      <c r="CI298" s="124"/>
    </row>
    <row r="300" spans="1:87" s="283" customFormat="1">
      <c r="A300" s="262"/>
      <c r="B300" s="262"/>
      <c r="C300" s="262"/>
      <c r="M300" s="283">
        <v>1</v>
      </c>
      <c r="N300" s="283">
        <v>75000000</v>
      </c>
      <c r="O300" s="283" t="s">
        <v>147</v>
      </c>
      <c r="Q300" s="295"/>
      <c r="R300" s="295"/>
      <c r="S300" s="295"/>
      <c r="T300" s="295"/>
      <c r="U300" s="295"/>
      <c r="V300" s="295"/>
      <c r="W300" s="295"/>
      <c r="X300" s="295"/>
      <c r="Y300" s="295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L300" s="136"/>
      <c r="AM300" s="136"/>
      <c r="AN300" s="136"/>
      <c r="AO300" s="136"/>
      <c r="AP300" s="136"/>
      <c r="AQ300" s="136"/>
      <c r="AR300" s="136"/>
      <c r="AS300" s="136"/>
      <c r="AT300" s="136"/>
      <c r="AU300" s="136"/>
      <c r="AV300" s="136"/>
      <c r="AW300" s="136"/>
      <c r="AX300" s="125"/>
      <c r="AY300" s="125"/>
      <c r="AZ300" s="125"/>
      <c r="BA300" s="125"/>
      <c r="BB300" s="125"/>
      <c r="BC300" s="125"/>
      <c r="BD300" s="125"/>
      <c r="BE300" s="125"/>
      <c r="BF300" s="125"/>
      <c r="BG300" s="125"/>
      <c r="BH300" s="125"/>
      <c r="BI300" s="125"/>
      <c r="BJ300" s="125"/>
      <c r="BK300" s="125"/>
      <c r="BL300" s="125"/>
      <c r="BM300" s="124"/>
      <c r="BN300" s="124"/>
      <c r="BO300" s="124"/>
      <c r="BP300" s="124"/>
      <c r="BQ300" s="124"/>
      <c r="BR300" s="124"/>
      <c r="BS300" s="124"/>
      <c r="BT300" s="124"/>
      <c r="BU300" s="124"/>
      <c r="BV300" s="124"/>
      <c r="BW300" s="124"/>
      <c r="BX300" s="124"/>
      <c r="BY300" s="124"/>
      <c r="BZ300" s="124"/>
      <c r="CA300" s="124"/>
      <c r="CB300" s="124"/>
      <c r="CC300" s="124"/>
      <c r="CD300" s="124"/>
      <c r="CE300" s="124"/>
      <c r="CF300" s="124"/>
      <c r="CG300" s="124"/>
      <c r="CH300" s="124"/>
      <c r="CI300" s="124"/>
    </row>
    <row r="301" spans="1:87" s="283" customFormat="1">
      <c r="A301" s="262"/>
      <c r="B301" s="262"/>
      <c r="C301" s="262"/>
      <c r="M301" s="283">
        <v>2</v>
      </c>
      <c r="N301" s="283">
        <v>75000000</v>
      </c>
      <c r="O301" s="283" t="s">
        <v>148</v>
      </c>
      <c r="Q301" s="295"/>
      <c r="R301" s="295"/>
      <c r="S301" s="295"/>
      <c r="T301" s="295"/>
      <c r="U301" s="295"/>
      <c r="V301" s="295"/>
      <c r="W301" s="295"/>
      <c r="X301" s="295"/>
      <c r="Y301" s="295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L301" s="136"/>
      <c r="AM301" s="136"/>
      <c r="AN301" s="136"/>
      <c r="AO301" s="136"/>
      <c r="AP301" s="136"/>
      <c r="AQ301" s="136"/>
      <c r="AR301" s="136"/>
      <c r="AS301" s="136"/>
      <c r="AT301" s="136"/>
      <c r="AU301" s="136"/>
      <c r="AV301" s="136"/>
      <c r="AW301" s="136"/>
      <c r="AX301" s="125"/>
      <c r="AY301" s="125"/>
      <c r="AZ301" s="125"/>
      <c r="BA301" s="125"/>
      <c r="BB301" s="125"/>
      <c r="BC301" s="125"/>
      <c r="BD301" s="125"/>
      <c r="BE301" s="125"/>
      <c r="BF301" s="125"/>
      <c r="BG301" s="125"/>
      <c r="BH301" s="125"/>
      <c r="BI301" s="125"/>
      <c r="BJ301" s="125"/>
      <c r="BK301" s="125"/>
      <c r="BL301" s="125"/>
      <c r="BM301" s="124"/>
      <c r="BN301" s="124"/>
      <c r="BO301" s="124"/>
      <c r="BP301" s="124"/>
      <c r="BQ301" s="124"/>
      <c r="BR301" s="124"/>
      <c r="BS301" s="124"/>
      <c r="BT301" s="124"/>
      <c r="BU301" s="124"/>
      <c r="BV301" s="124"/>
      <c r="BW301" s="124"/>
      <c r="BX301" s="124"/>
      <c r="BY301" s="124"/>
      <c r="BZ301" s="124"/>
      <c r="CA301" s="124"/>
      <c r="CB301" s="124"/>
      <c r="CC301" s="124"/>
      <c r="CD301" s="124"/>
      <c r="CE301" s="124"/>
      <c r="CF301" s="124"/>
      <c r="CG301" s="124"/>
      <c r="CH301" s="124"/>
      <c r="CI301" s="124"/>
    </row>
    <row r="302" spans="1:87" s="283" customFormat="1">
      <c r="A302" s="262"/>
      <c r="B302" s="262"/>
      <c r="C302" s="262"/>
      <c r="M302" s="283">
        <v>3</v>
      </c>
      <c r="N302" s="283">
        <v>75000000</v>
      </c>
      <c r="O302" s="283" t="s">
        <v>149</v>
      </c>
      <c r="Q302" s="295"/>
      <c r="R302" s="295"/>
      <c r="S302" s="295"/>
      <c r="T302" s="295"/>
      <c r="U302" s="295"/>
      <c r="V302" s="295"/>
      <c r="W302" s="295"/>
      <c r="X302" s="295"/>
      <c r="Y302" s="295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L302" s="136"/>
      <c r="AM302" s="136"/>
      <c r="AN302" s="136"/>
      <c r="AO302" s="136"/>
      <c r="AP302" s="136"/>
      <c r="AQ302" s="136"/>
      <c r="AR302" s="136"/>
      <c r="AS302" s="136"/>
      <c r="AT302" s="136"/>
      <c r="AU302" s="136"/>
      <c r="AV302" s="136"/>
      <c r="AW302" s="136"/>
      <c r="AX302" s="125"/>
      <c r="AY302" s="125"/>
      <c r="AZ302" s="125"/>
      <c r="BA302" s="125"/>
      <c r="BB302" s="125"/>
      <c r="BC302" s="125"/>
      <c r="BD302" s="125"/>
      <c r="BE302" s="125"/>
      <c r="BF302" s="125"/>
      <c r="BG302" s="125"/>
      <c r="BH302" s="125"/>
      <c r="BI302" s="125"/>
      <c r="BJ302" s="125"/>
      <c r="BK302" s="125"/>
      <c r="BL302" s="125"/>
      <c r="BM302" s="124"/>
      <c r="BN302" s="124"/>
      <c r="BO302" s="124"/>
      <c r="BP302" s="124"/>
      <c r="BQ302" s="124"/>
      <c r="BR302" s="124"/>
      <c r="BS302" s="124"/>
      <c r="BT302" s="124"/>
      <c r="BU302" s="124"/>
      <c r="BV302" s="124"/>
      <c r="BW302" s="124"/>
      <c r="BX302" s="124"/>
      <c r="BY302" s="124"/>
      <c r="BZ302" s="124"/>
      <c r="CA302" s="124"/>
      <c r="CB302" s="124"/>
      <c r="CC302" s="124"/>
      <c r="CD302" s="124"/>
      <c r="CE302" s="124"/>
      <c r="CF302" s="124"/>
      <c r="CG302" s="124"/>
      <c r="CH302" s="124"/>
      <c r="CI302" s="124"/>
    </row>
    <row r="303" spans="1:87" s="283" customFormat="1">
      <c r="A303" s="262"/>
      <c r="B303" s="262"/>
      <c r="C303" s="262"/>
      <c r="M303" s="283">
        <v>4</v>
      </c>
      <c r="N303" s="283">
        <v>75000000</v>
      </c>
      <c r="O303" s="283" t="s">
        <v>150</v>
      </c>
      <c r="Q303" s="295"/>
      <c r="R303" s="295"/>
      <c r="S303" s="295"/>
      <c r="T303" s="295"/>
      <c r="U303" s="295"/>
      <c r="V303" s="295"/>
      <c r="W303" s="295"/>
      <c r="X303" s="295"/>
      <c r="Y303" s="295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L303" s="136"/>
      <c r="AM303" s="136"/>
      <c r="AN303" s="136"/>
      <c r="AO303" s="136"/>
      <c r="AP303" s="136"/>
      <c r="AQ303" s="136"/>
      <c r="AR303" s="136"/>
      <c r="AS303" s="136"/>
      <c r="AT303" s="136"/>
      <c r="AU303" s="136"/>
      <c r="AV303" s="136"/>
      <c r="AW303" s="136"/>
      <c r="AX303" s="125"/>
      <c r="AY303" s="125"/>
      <c r="AZ303" s="125"/>
      <c r="BA303" s="125"/>
      <c r="BB303" s="125"/>
      <c r="BC303" s="125"/>
      <c r="BD303" s="125"/>
      <c r="BE303" s="125"/>
      <c r="BF303" s="125"/>
      <c r="BG303" s="125"/>
      <c r="BH303" s="125"/>
      <c r="BI303" s="125"/>
      <c r="BJ303" s="125"/>
      <c r="BK303" s="125"/>
      <c r="BL303" s="125"/>
      <c r="BM303" s="124"/>
      <c r="BN303" s="124"/>
      <c r="BO303" s="124"/>
      <c r="BP303" s="124"/>
      <c r="BQ303" s="124"/>
      <c r="BR303" s="124"/>
      <c r="BS303" s="124"/>
      <c r="BT303" s="124"/>
      <c r="BU303" s="124"/>
      <c r="BV303" s="124"/>
      <c r="BW303" s="124"/>
      <c r="BX303" s="124"/>
      <c r="BY303" s="124"/>
      <c r="BZ303" s="124"/>
      <c r="CA303" s="124"/>
      <c r="CB303" s="124"/>
      <c r="CC303" s="124"/>
      <c r="CD303" s="124"/>
      <c r="CE303" s="124"/>
      <c r="CF303" s="124"/>
      <c r="CG303" s="124"/>
      <c r="CH303" s="124"/>
      <c r="CI303" s="124"/>
    </row>
    <row r="304" spans="1:87" s="283" customFormat="1">
      <c r="A304" s="262"/>
      <c r="B304" s="262"/>
      <c r="C304" s="262"/>
      <c r="M304" s="283">
        <v>5</v>
      </c>
      <c r="N304" s="283">
        <v>75000000</v>
      </c>
      <c r="O304" s="283" t="s">
        <v>151</v>
      </c>
      <c r="Q304" s="295"/>
      <c r="R304" s="295"/>
      <c r="S304" s="295"/>
      <c r="T304" s="295"/>
      <c r="U304" s="295"/>
      <c r="V304" s="295"/>
      <c r="W304" s="295"/>
      <c r="X304" s="295"/>
      <c r="Y304" s="295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L304" s="136"/>
      <c r="AM304" s="136"/>
      <c r="AN304" s="136"/>
      <c r="AO304" s="136"/>
      <c r="AP304" s="136"/>
      <c r="AQ304" s="136"/>
      <c r="AR304" s="136"/>
      <c r="AS304" s="136"/>
      <c r="AT304" s="136"/>
      <c r="AU304" s="136"/>
      <c r="AV304" s="136"/>
      <c r="AW304" s="136"/>
      <c r="AX304" s="125"/>
      <c r="AY304" s="125"/>
      <c r="AZ304" s="125"/>
      <c r="BA304" s="125"/>
      <c r="BB304" s="125"/>
      <c r="BC304" s="125"/>
      <c r="BD304" s="125"/>
      <c r="BE304" s="125"/>
      <c r="BF304" s="125"/>
      <c r="BG304" s="125"/>
      <c r="BH304" s="125"/>
      <c r="BI304" s="125"/>
      <c r="BJ304" s="125"/>
      <c r="BK304" s="125"/>
      <c r="BL304" s="125"/>
      <c r="BM304" s="124"/>
      <c r="BN304" s="124"/>
      <c r="BO304" s="124"/>
      <c r="BP304" s="124"/>
      <c r="BQ304" s="124"/>
      <c r="BR304" s="124"/>
      <c r="BS304" s="124"/>
      <c r="BT304" s="124"/>
      <c r="BU304" s="124"/>
      <c r="BV304" s="124"/>
      <c r="BW304" s="124"/>
      <c r="BX304" s="124"/>
      <c r="BY304" s="124"/>
      <c r="BZ304" s="124"/>
      <c r="CA304" s="124"/>
      <c r="CB304" s="124"/>
      <c r="CC304" s="124"/>
      <c r="CD304" s="124"/>
      <c r="CE304" s="124"/>
      <c r="CF304" s="124"/>
      <c r="CG304" s="124"/>
      <c r="CH304" s="124"/>
      <c r="CI304" s="124"/>
    </row>
    <row r="305" spans="1:87" s="283" customFormat="1">
      <c r="A305" s="262"/>
      <c r="B305" s="262"/>
      <c r="C305" s="262"/>
      <c r="M305" s="283">
        <v>6</v>
      </c>
      <c r="N305" s="283">
        <v>75000000</v>
      </c>
      <c r="O305" s="283" t="s">
        <v>152</v>
      </c>
      <c r="Q305" s="295"/>
      <c r="R305" s="295"/>
      <c r="S305" s="295"/>
      <c r="T305" s="295"/>
      <c r="U305" s="295"/>
      <c r="V305" s="295"/>
      <c r="W305" s="295"/>
      <c r="X305" s="295"/>
      <c r="Y305" s="295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L305" s="136"/>
      <c r="AM305" s="136"/>
      <c r="AN305" s="136"/>
      <c r="AO305" s="136"/>
      <c r="AP305" s="136"/>
      <c r="AQ305" s="136"/>
      <c r="AR305" s="136"/>
      <c r="AS305" s="136"/>
      <c r="AT305" s="136"/>
      <c r="AU305" s="136"/>
      <c r="AV305" s="136"/>
      <c r="AW305" s="136"/>
      <c r="AX305" s="125"/>
      <c r="AY305" s="125"/>
      <c r="AZ305" s="125"/>
      <c r="BA305" s="125"/>
      <c r="BB305" s="125"/>
      <c r="BC305" s="125"/>
      <c r="BD305" s="125"/>
      <c r="BE305" s="125"/>
      <c r="BF305" s="125"/>
      <c r="BG305" s="125"/>
      <c r="BH305" s="125"/>
      <c r="BI305" s="125"/>
      <c r="BJ305" s="125"/>
      <c r="BK305" s="125"/>
      <c r="BL305" s="125"/>
      <c r="BM305" s="124"/>
      <c r="BN305" s="124"/>
      <c r="BO305" s="124"/>
      <c r="BP305" s="124"/>
      <c r="BQ305" s="124"/>
      <c r="BR305" s="124"/>
      <c r="BS305" s="124"/>
      <c r="BT305" s="124"/>
      <c r="BU305" s="124"/>
      <c r="BV305" s="124"/>
      <c r="BW305" s="124"/>
      <c r="BX305" s="124"/>
      <c r="BY305" s="124"/>
      <c r="BZ305" s="124"/>
      <c r="CA305" s="124"/>
      <c r="CB305" s="124"/>
      <c r="CC305" s="124"/>
      <c r="CD305" s="124"/>
      <c r="CE305" s="124"/>
      <c r="CF305" s="124"/>
      <c r="CG305" s="124"/>
      <c r="CH305" s="124"/>
      <c r="CI305" s="124"/>
    </row>
    <row r="306" spans="1:87" s="283" customFormat="1">
      <c r="A306" s="262"/>
      <c r="B306" s="262"/>
      <c r="C306" s="262"/>
      <c r="M306" s="283">
        <v>7</v>
      </c>
      <c r="N306" s="283">
        <v>75000000</v>
      </c>
      <c r="O306" s="283" t="s">
        <v>153</v>
      </c>
      <c r="Q306" s="295"/>
      <c r="R306" s="295"/>
      <c r="S306" s="295"/>
      <c r="T306" s="295"/>
      <c r="U306" s="295"/>
      <c r="V306" s="295"/>
      <c r="W306" s="295"/>
      <c r="X306" s="295"/>
      <c r="Y306" s="295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L306" s="136"/>
      <c r="AM306" s="136"/>
      <c r="AN306" s="136"/>
      <c r="AO306" s="136"/>
      <c r="AP306" s="136"/>
      <c r="AQ306" s="136"/>
      <c r="AR306" s="136"/>
      <c r="AS306" s="136"/>
      <c r="AT306" s="136"/>
      <c r="AU306" s="136"/>
      <c r="AV306" s="136"/>
      <c r="AW306" s="136"/>
      <c r="AX306" s="125"/>
      <c r="AY306" s="125"/>
      <c r="AZ306" s="125"/>
      <c r="BA306" s="125"/>
      <c r="BB306" s="125"/>
      <c r="BC306" s="125"/>
      <c r="BD306" s="125"/>
      <c r="BE306" s="125"/>
      <c r="BF306" s="125"/>
      <c r="BG306" s="125"/>
      <c r="BH306" s="125"/>
      <c r="BI306" s="125"/>
      <c r="BJ306" s="125"/>
      <c r="BK306" s="125"/>
      <c r="BL306" s="125"/>
      <c r="BM306" s="124"/>
      <c r="BN306" s="124"/>
      <c r="BO306" s="124"/>
      <c r="BP306" s="124"/>
      <c r="BQ306" s="124"/>
      <c r="BR306" s="124"/>
      <c r="BS306" s="124"/>
      <c r="BT306" s="124"/>
      <c r="BU306" s="124"/>
      <c r="BV306" s="124"/>
      <c r="BW306" s="124"/>
      <c r="BX306" s="124"/>
      <c r="BY306" s="124"/>
      <c r="BZ306" s="124"/>
      <c r="CA306" s="124"/>
      <c r="CB306" s="124"/>
      <c r="CC306" s="124"/>
      <c r="CD306" s="124"/>
      <c r="CE306" s="124"/>
      <c r="CF306" s="124"/>
      <c r="CG306" s="124"/>
      <c r="CH306" s="124"/>
      <c r="CI306" s="124"/>
    </row>
    <row r="307" spans="1:87" s="283" customFormat="1">
      <c r="A307" s="262"/>
      <c r="B307" s="262"/>
      <c r="C307" s="262"/>
      <c r="M307" s="283">
        <v>8</v>
      </c>
      <c r="N307" s="283">
        <v>75000000</v>
      </c>
      <c r="O307" s="283" t="s">
        <v>154</v>
      </c>
      <c r="Q307" s="295"/>
      <c r="R307" s="295"/>
      <c r="S307" s="295"/>
      <c r="T307" s="295"/>
      <c r="U307" s="295"/>
      <c r="V307" s="295"/>
      <c r="W307" s="295"/>
      <c r="X307" s="295"/>
      <c r="Y307" s="295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L307" s="136"/>
      <c r="AM307" s="136"/>
      <c r="AN307" s="136"/>
      <c r="AO307" s="136"/>
      <c r="AP307" s="136"/>
      <c r="AQ307" s="136"/>
      <c r="AR307" s="136"/>
      <c r="AS307" s="136"/>
      <c r="AT307" s="136"/>
      <c r="AU307" s="136"/>
      <c r="AV307" s="136"/>
      <c r="AW307" s="136"/>
      <c r="AX307" s="125"/>
      <c r="AY307" s="125"/>
      <c r="AZ307" s="125"/>
      <c r="BA307" s="125"/>
      <c r="BB307" s="125"/>
      <c r="BC307" s="125"/>
      <c r="BD307" s="125"/>
      <c r="BE307" s="125"/>
      <c r="BF307" s="125"/>
      <c r="BG307" s="125"/>
      <c r="BH307" s="125"/>
      <c r="BI307" s="125"/>
      <c r="BJ307" s="125"/>
      <c r="BK307" s="125"/>
      <c r="BL307" s="125"/>
      <c r="BM307" s="124"/>
      <c r="BN307" s="124"/>
      <c r="BO307" s="124"/>
      <c r="BP307" s="124"/>
      <c r="BQ307" s="124"/>
      <c r="BR307" s="124"/>
      <c r="BS307" s="124"/>
      <c r="BT307" s="124"/>
      <c r="BU307" s="124"/>
      <c r="BV307" s="124"/>
      <c r="BW307" s="124"/>
      <c r="BX307" s="124"/>
      <c r="BY307" s="124"/>
      <c r="BZ307" s="124"/>
      <c r="CA307" s="124"/>
      <c r="CB307" s="124"/>
      <c r="CC307" s="124"/>
      <c r="CD307" s="124"/>
      <c r="CE307" s="124"/>
      <c r="CF307" s="124"/>
      <c r="CG307" s="124"/>
      <c r="CH307" s="124"/>
      <c r="CI307" s="124"/>
    </row>
    <row r="308" spans="1:87" s="283" customFormat="1">
      <c r="A308" s="262"/>
      <c r="B308" s="262"/>
      <c r="C308" s="262"/>
      <c r="M308" s="283">
        <v>9</v>
      </c>
      <c r="N308" s="283">
        <v>75000000</v>
      </c>
      <c r="O308" s="283" t="s">
        <v>155</v>
      </c>
      <c r="Q308" s="295"/>
      <c r="R308" s="295"/>
      <c r="S308" s="295"/>
      <c r="T308" s="295"/>
      <c r="U308" s="295"/>
      <c r="V308" s="295"/>
      <c r="W308" s="295"/>
      <c r="X308" s="295"/>
      <c r="Y308" s="295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L308" s="136"/>
      <c r="AM308" s="136"/>
      <c r="AN308" s="136"/>
      <c r="AO308" s="136"/>
      <c r="AP308" s="136"/>
      <c r="AQ308" s="136"/>
      <c r="AR308" s="136"/>
      <c r="AS308" s="136"/>
      <c r="AT308" s="136"/>
      <c r="AU308" s="136"/>
      <c r="AV308" s="136"/>
      <c r="AW308" s="136"/>
      <c r="AX308" s="125"/>
      <c r="AY308" s="125"/>
      <c r="AZ308" s="125"/>
      <c r="BA308" s="125"/>
      <c r="BB308" s="125"/>
      <c r="BC308" s="125"/>
      <c r="BD308" s="125"/>
      <c r="BE308" s="125"/>
      <c r="BF308" s="125"/>
      <c r="BG308" s="125"/>
      <c r="BH308" s="125"/>
      <c r="BI308" s="125"/>
      <c r="BJ308" s="125"/>
      <c r="BK308" s="125"/>
      <c r="BL308" s="125"/>
      <c r="BM308" s="124"/>
      <c r="BN308" s="124"/>
      <c r="BO308" s="124"/>
      <c r="BP308" s="124"/>
      <c r="BQ308" s="124"/>
      <c r="BR308" s="124"/>
      <c r="BS308" s="124"/>
      <c r="BT308" s="124"/>
      <c r="BU308" s="124"/>
      <c r="BV308" s="124"/>
      <c r="BW308" s="124"/>
      <c r="BX308" s="124"/>
      <c r="BY308" s="124"/>
      <c r="BZ308" s="124"/>
      <c r="CA308" s="124"/>
      <c r="CB308" s="124"/>
      <c r="CC308" s="124"/>
      <c r="CD308" s="124"/>
      <c r="CE308" s="124"/>
      <c r="CF308" s="124"/>
      <c r="CG308" s="124"/>
      <c r="CH308" s="124"/>
      <c r="CI308" s="124"/>
    </row>
    <row r="309" spans="1:87" s="283" customFormat="1">
      <c r="A309" s="262"/>
      <c r="B309" s="262"/>
      <c r="C309" s="262"/>
      <c r="M309" s="283">
        <v>10</v>
      </c>
      <c r="N309" s="283">
        <v>75000000</v>
      </c>
      <c r="O309" s="283" t="s">
        <v>156</v>
      </c>
      <c r="Q309" s="295"/>
      <c r="R309" s="295"/>
      <c r="S309" s="295"/>
      <c r="T309" s="295"/>
      <c r="U309" s="295"/>
      <c r="V309" s="295"/>
      <c r="W309" s="295"/>
      <c r="X309" s="295"/>
      <c r="Y309" s="295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L309" s="136"/>
      <c r="AM309" s="136"/>
      <c r="AN309" s="136"/>
      <c r="AO309" s="136"/>
      <c r="AP309" s="136"/>
      <c r="AQ309" s="136"/>
      <c r="AR309" s="136"/>
      <c r="AS309" s="136"/>
      <c r="AT309" s="136"/>
      <c r="AU309" s="136"/>
      <c r="AV309" s="136"/>
      <c r="AW309" s="136"/>
      <c r="AX309" s="125"/>
      <c r="AY309" s="125"/>
      <c r="AZ309" s="125"/>
      <c r="BA309" s="125"/>
      <c r="BB309" s="125"/>
      <c r="BC309" s="125"/>
      <c r="BD309" s="125"/>
      <c r="BE309" s="125"/>
      <c r="BF309" s="125"/>
      <c r="BG309" s="125"/>
      <c r="BH309" s="125"/>
      <c r="BI309" s="125"/>
      <c r="BJ309" s="125"/>
      <c r="BK309" s="125"/>
      <c r="BL309" s="125"/>
      <c r="BM309" s="124"/>
      <c r="BN309" s="124"/>
      <c r="BO309" s="124"/>
      <c r="BP309" s="124"/>
      <c r="BQ309" s="124"/>
      <c r="BR309" s="124"/>
      <c r="BS309" s="124"/>
      <c r="BT309" s="124"/>
      <c r="BU309" s="124"/>
      <c r="BV309" s="124"/>
      <c r="BW309" s="124"/>
      <c r="BX309" s="124"/>
      <c r="BY309" s="124"/>
      <c r="BZ309" s="124"/>
      <c r="CA309" s="124"/>
      <c r="CB309" s="124"/>
      <c r="CC309" s="124"/>
      <c r="CD309" s="124"/>
      <c r="CE309" s="124"/>
      <c r="CF309" s="124"/>
      <c r="CG309" s="124"/>
      <c r="CH309" s="124"/>
      <c r="CI309" s="124"/>
    </row>
    <row r="310" spans="1:87" s="283" customFormat="1">
      <c r="A310" s="262"/>
      <c r="B310" s="262"/>
      <c r="C310" s="262"/>
      <c r="M310" s="283">
        <v>11</v>
      </c>
      <c r="N310" s="283">
        <v>75000000</v>
      </c>
      <c r="O310" s="283" t="s">
        <v>157</v>
      </c>
      <c r="Q310" s="295"/>
      <c r="R310" s="295"/>
      <c r="S310" s="295"/>
      <c r="T310" s="295"/>
      <c r="U310" s="295"/>
      <c r="V310" s="295"/>
      <c r="W310" s="295"/>
      <c r="X310" s="295"/>
      <c r="Y310" s="295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L310" s="136"/>
      <c r="AM310" s="136"/>
      <c r="AN310" s="136"/>
      <c r="AO310" s="136"/>
      <c r="AP310" s="136"/>
      <c r="AQ310" s="136"/>
      <c r="AR310" s="136"/>
      <c r="AS310" s="136"/>
      <c r="AT310" s="136"/>
      <c r="AU310" s="136"/>
      <c r="AV310" s="136"/>
      <c r="AW310" s="136"/>
      <c r="AX310" s="125"/>
      <c r="AY310" s="125"/>
      <c r="AZ310" s="125"/>
      <c r="BA310" s="125"/>
      <c r="BB310" s="125"/>
      <c r="BC310" s="125"/>
      <c r="BD310" s="125"/>
      <c r="BE310" s="125"/>
      <c r="BF310" s="125"/>
      <c r="BG310" s="125"/>
      <c r="BH310" s="125"/>
      <c r="BI310" s="125"/>
      <c r="BJ310" s="125"/>
      <c r="BK310" s="125"/>
      <c r="BL310" s="125"/>
      <c r="BM310" s="124"/>
      <c r="BN310" s="124"/>
      <c r="BO310" s="124"/>
      <c r="BP310" s="124"/>
      <c r="BQ310" s="124"/>
      <c r="BR310" s="124"/>
      <c r="BS310" s="124"/>
      <c r="BT310" s="124"/>
      <c r="BU310" s="124"/>
      <c r="BV310" s="124"/>
      <c r="BW310" s="124"/>
      <c r="BX310" s="124"/>
      <c r="BY310" s="124"/>
      <c r="BZ310" s="124"/>
      <c r="CA310" s="124"/>
      <c r="CB310" s="124"/>
      <c r="CC310" s="124"/>
      <c r="CD310" s="124"/>
      <c r="CE310" s="124"/>
      <c r="CF310" s="124"/>
      <c r="CG310" s="124"/>
      <c r="CH310" s="124"/>
      <c r="CI310" s="124"/>
    </row>
    <row r="311" spans="1:87" s="283" customFormat="1">
      <c r="A311" s="262"/>
      <c r="B311" s="262"/>
      <c r="C311" s="262"/>
      <c r="M311" s="283">
        <v>12</v>
      </c>
      <c r="N311" s="283">
        <v>75000000</v>
      </c>
      <c r="O311" s="283" t="s">
        <v>158</v>
      </c>
      <c r="Q311" s="295"/>
      <c r="R311" s="295"/>
      <c r="S311" s="295"/>
      <c r="T311" s="295"/>
      <c r="U311" s="295"/>
      <c r="V311" s="295"/>
      <c r="W311" s="295"/>
      <c r="X311" s="295"/>
      <c r="Y311" s="295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L311" s="136"/>
      <c r="AM311" s="136"/>
      <c r="AN311" s="136"/>
      <c r="AO311" s="136"/>
      <c r="AP311" s="136"/>
      <c r="AQ311" s="136"/>
      <c r="AR311" s="136"/>
      <c r="AS311" s="136"/>
      <c r="AT311" s="136"/>
      <c r="AU311" s="136"/>
      <c r="AV311" s="136"/>
      <c r="AW311" s="136"/>
      <c r="AX311" s="125"/>
      <c r="AY311" s="125"/>
      <c r="AZ311" s="125"/>
      <c r="BA311" s="125"/>
      <c r="BB311" s="125"/>
      <c r="BC311" s="125"/>
      <c r="BD311" s="125"/>
      <c r="BE311" s="125"/>
      <c r="BF311" s="125"/>
      <c r="BG311" s="125"/>
      <c r="BH311" s="125"/>
      <c r="BI311" s="125"/>
      <c r="BJ311" s="125"/>
      <c r="BK311" s="125"/>
      <c r="BL311" s="125"/>
      <c r="BM311" s="124"/>
      <c r="BN311" s="124"/>
      <c r="BO311" s="124"/>
      <c r="BP311" s="124"/>
      <c r="BQ311" s="124"/>
      <c r="BR311" s="124"/>
      <c r="BS311" s="124"/>
      <c r="BT311" s="124"/>
      <c r="BU311" s="124"/>
      <c r="BV311" s="124"/>
      <c r="BW311" s="124"/>
      <c r="BX311" s="124"/>
      <c r="BY311" s="124"/>
      <c r="BZ311" s="124"/>
      <c r="CA311" s="124"/>
      <c r="CB311" s="124"/>
      <c r="CC311" s="124"/>
      <c r="CD311" s="124"/>
      <c r="CE311" s="124"/>
      <c r="CF311" s="124"/>
      <c r="CG311" s="124"/>
      <c r="CH311" s="124"/>
      <c r="CI311" s="124"/>
    </row>
    <row r="312" spans="1:87" s="283" customFormat="1">
      <c r="A312" s="262"/>
      <c r="B312" s="262"/>
      <c r="C312" s="262"/>
      <c r="M312" s="283">
        <v>13</v>
      </c>
      <c r="N312" s="283">
        <v>75000000</v>
      </c>
      <c r="O312" s="283" t="s">
        <v>147</v>
      </c>
      <c r="Q312" s="295"/>
      <c r="R312" s="295"/>
      <c r="S312" s="295"/>
      <c r="T312" s="295"/>
      <c r="U312" s="295"/>
      <c r="V312" s="295"/>
      <c r="W312" s="295"/>
      <c r="X312" s="295"/>
      <c r="Y312" s="295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L312" s="136"/>
      <c r="AM312" s="136"/>
      <c r="AN312" s="136"/>
      <c r="AO312" s="136"/>
      <c r="AP312" s="136"/>
      <c r="AQ312" s="136"/>
      <c r="AR312" s="136"/>
      <c r="AS312" s="136"/>
      <c r="AT312" s="136"/>
      <c r="AU312" s="136"/>
      <c r="AV312" s="136"/>
      <c r="AW312" s="136"/>
      <c r="AX312" s="125"/>
      <c r="AY312" s="125"/>
      <c r="AZ312" s="125"/>
      <c r="BA312" s="125"/>
      <c r="BB312" s="125"/>
      <c r="BC312" s="125"/>
      <c r="BD312" s="125"/>
      <c r="BE312" s="125"/>
      <c r="BF312" s="125"/>
      <c r="BG312" s="125"/>
      <c r="BH312" s="125"/>
      <c r="BI312" s="125"/>
      <c r="BJ312" s="125"/>
      <c r="BK312" s="125"/>
      <c r="BL312" s="125"/>
      <c r="BM312" s="124"/>
      <c r="BN312" s="124"/>
      <c r="BO312" s="124"/>
      <c r="BP312" s="124"/>
      <c r="BQ312" s="124"/>
      <c r="BR312" s="124"/>
      <c r="BS312" s="124"/>
      <c r="BT312" s="124"/>
      <c r="BU312" s="124"/>
      <c r="BV312" s="124"/>
      <c r="BW312" s="124"/>
      <c r="BX312" s="124"/>
      <c r="BY312" s="124"/>
      <c r="BZ312" s="124"/>
      <c r="CA312" s="124"/>
      <c r="CB312" s="124"/>
      <c r="CC312" s="124"/>
      <c r="CD312" s="124"/>
      <c r="CE312" s="124"/>
      <c r="CF312" s="124"/>
      <c r="CG312" s="124"/>
      <c r="CH312" s="124"/>
      <c r="CI312" s="124"/>
    </row>
    <row r="313" spans="1:87" s="283" customFormat="1">
      <c r="A313" s="262"/>
      <c r="B313" s="262"/>
      <c r="C313" s="262"/>
      <c r="M313" s="283">
        <v>14</v>
      </c>
      <c r="N313" s="283">
        <v>75000000</v>
      </c>
      <c r="O313" s="283" t="s">
        <v>148</v>
      </c>
      <c r="Q313" s="295"/>
      <c r="R313" s="295"/>
      <c r="S313" s="295"/>
      <c r="T313" s="295"/>
      <c r="U313" s="295"/>
      <c r="V313" s="295"/>
      <c r="W313" s="295"/>
      <c r="X313" s="295"/>
      <c r="Y313" s="295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L313" s="136"/>
      <c r="AM313" s="136"/>
      <c r="AN313" s="136"/>
      <c r="AO313" s="136"/>
      <c r="AP313" s="136"/>
      <c r="AQ313" s="136"/>
      <c r="AR313" s="136"/>
      <c r="AS313" s="136"/>
      <c r="AT313" s="136"/>
      <c r="AU313" s="136"/>
      <c r="AV313" s="136"/>
      <c r="AW313" s="136"/>
      <c r="AX313" s="125"/>
      <c r="AY313" s="125"/>
      <c r="AZ313" s="125"/>
      <c r="BA313" s="125"/>
      <c r="BB313" s="125"/>
      <c r="BC313" s="125"/>
      <c r="BD313" s="125"/>
      <c r="BE313" s="125"/>
      <c r="BF313" s="125"/>
      <c r="BG313" s="125"/>
      <c r="BH313" s="125"/>
      <c r="BI313" s="125"/>
      <c r="BJ313" s="125"/>
      <c r="BK313" s="125"/>
      <c r="BL313" s="125"/>
      <c r="BM313" s="124"/>
      <c r="BN313" s="124"/>
      <c r="BO313" s="124"/>
      <c r="BP313" s="124"/>
      <c r="BQ313" s="124"/>
      <c r="BR313" s="124"/>
      <c r="BS313" s="124"/>
      <c r="BT313" s="124"/>
      <c r="BU313" s="124"/>
      <c r="BV313" s="124"/>
      <c r="BW313" s="124"/>
      <c r="BX313" s="124"/>
      <c r="BY313" s="124"/>
      <c r="BZ313" s="124"/>
      <c r="CA313" s="124"/>
      <c r="CB313" s="124"/>
      <c r="CC313" s="124"/>
      <c r="CD313" s="124"/>
      <c r="CE313" s="124"/>
      <c r="CF313" s="124"/>
      <c r="CG313" s="124"/>
      <c r="CH313" s="124"/>
      <c r="CI313" s="124"/>
    </row>
    <row r="314" spans="1:87" s="283" customFormat="1">
      <c r="A314" s="262"/>
      <c r="B314" s="262"/>
      <c r="C314" s="262"/>
      <c r="M314" s="283">
        <v>15</v>
      </c>
      <c r="N314" s="283">
        <v>75000000</v>
      </c>
      <c r="O314" s="283" t="s">
        <v>149</v>
      </c>
      <c r="Q314" s="295"/>
      <c r="R314" s="295"/>
      <c r="S314" s="295"/>
      <c r="T314" s="295"/>
      <c r="U314" s="295"/>
      <c r="V314" s="295"/>
      <c r="W314" s="295"/>
      <c r="X314" s="295"/>
      <c r="Y314" s="295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L314" s="136"/>
      <c r="AM314" s="136"/>
      <c r="AN314" s="136"/>
      <c r="AO314" s="136"/>
      <c r="AP314" s="136"/>
      <c r="AQ314" s="136"/>
      <c r="AR314" s="136"/>
      <c r="AS314" s="136"/>
      <c r="AT314" s="136"/>
      <c r="AU314" s="136"/>
      <c r="AV314" s="136"/>
      <c r="AW314" s="136"/>
      <c r="AX314" s="125"/>
      <c r="AY314" s="125"/>
      <c r="AZ314" s="125"/>
      <c r="BA314" s="125"/>
      <c r="BB314" s="125"/>
      <c r="BC314" s="125"/>
      <c r="BD314" s="125"/>
      <c r="BE314" s="125"/>
      <c r="BF314" s="125"/>
      <c r="BG314" s="125"/>
      <c r="BH314" s="125"/>
      <c r="BI314" s="125"/>
      <c r="BJ314" s="125"/>
      <c r="BK314" s="125"/>
      <c r="BL314" s="125"/>
      <c r="BM314" s="124"/>
      <c r="BN314" s="124"/>
      <c r="BO314" s="124"/>
      <c r="BP314" s="124"/>
      <c r="BQ314" s="124"/>
      <c r="BR314" s="124"/>
      <c r="BS314" s="124"/>
      <c r="BT314" s="124"/>
      <c r="BU314" s="124"/>
      <c r="BV314" s="124"/>
      <c r="BW314" s="124"/>
      <c r="BX314" s="124"/>
      <c r="BY314" s="124"/>
      <c r="BZ314" s="124"/>
      <c r="CA314" s="124"/>
      <c r="CB314" s="124"/>
      <c r="CC314" s="124"/>
      <c r="CD314" s="124"/>
      <c r="CE314" s="124"/>
      <c r="CF314" s="124"/>
      <c r="CG314" s="124"/>
      <c r="CH314" s="124"/>
      <c r="CI314" s="124"/>
    </row>
    <row r="315" spans="1:87" s="283" customFormat="1">
      <c r="A315" s="262"/>
      <c r="B315" s="262"/>
      <c r="C315" s="262"/>
      <c r="M315" s="283">
        <v>16</v>
      </c>
      <c r="N315" s="283">
        <v>75000000</v>
      </c>
      <c r="O315" s="283" t="s">
        <v>150</v>
      </c>
      <c r="Q315" s="295"/>
      <c r="R315" s="295"/>
      <c r="S315" s="295"/>
      <c r="T315" s="295"/>
      <c r="U315" s="295"/>
      <c r="V315" s="295"/>
      <c r="W315" s="295"/>
      <c r="X315" s="295"/>
      <c r="Y315" s="295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L315" s="136"/>
      <c r="AM315" s="136"/>
      <c r="AN315" s="136"/>
      <c r="AO315" s="136"/>
      <c r="AP315" s="136"/>
      <c r="AQ315" s="136"/>
      <c r="AR315" s="136"/>
      <c r="AS315" s="136"/>
      <c r="AT315" s="136"/>
      <c r="AU315" s="136"/>
      <c r="AV315" s="136"/>
      <c r="AW315" s="136"/>
      <c r="AX315" s="125"/>
      <c r="AY315" s="125"/>
      <c r="AZ315" s="125"/>
      <c r="BA315" s="125"/>
      <c r="BB315" s="125"/>
      <c r="BC315" s="125"/>
      <c r="BD315" s="125"/>
      <c r="BE315" s="125"/>
      <c r="BF315" s="125"/>
      <c r="BG315" s="125"/>
      <c r="BH315" s="125"/>
      <c r="BI315" s="125"/>
      <c r="BJ315" s="125"/>
      <c r="BK315" s="125"/>
      <c r="BL315" s="125"/>
      <c r="BM315" s="124"/>
      <c r="BN315" s="124"/>
      <c r="BO315" s="124"/>
      <c r="BP315" s="124"/>
      <c r="BQ315" s="124"/>
      <c r="BR315" s="124"/>
      <c r="BS315" s="124"/>
      <c r="BT315" s="124"/>
      <c r="BU315" s="124"/>
      <c r="BV315" s="124"/>
      <c r="BW315" s="124"/>
      <c r="BX315" s="124"/>
      <c r="BY315" s="124"/>
      <c r="BZ315" s="124"/>
      <c r="CA315" s="124"/>
      <c r="CB315" s="124"/>
      <c r="CC315" s="124"/>
      <c r="CD315" s="124"/>
      <c r="CE315" s="124"/>
      <c r="CF315" s="124"/>
      <c r="CG315" s="124"/>
      <c r="CH315" s="124"/>
      <c r="CI315" s="124"/>
    </row>
    <row r="316" spans="1:87" s="283" customFormat="1">
      <c r="A316" s="262"/>
      <c r="B316" s="262"/>
      <c r="C316" s="262"/>
      <c r="M316" s="283">
        <v>17</v>
      </c>
      <c r="N316" s="283">
        <v>75000000</v>
      </c>
      <c r="O316" s="283" t="s">
        <v>151</v>
      </c>
      <c r="Q316" s="295"/>
      <c r="R316" s="295"/>
      <c r="S316" s="295"/>
      <c r="T316" s="295"/>
      <c r="U316" s="295"/>
      <c r="V316" s="295"/>
      <c r="W316" s="295"/>
      <c r="X316" s="295"/>
      <c r="Y316" s="295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L316" s="136"/>
      <c r="AM316" s="136"/>
      <c r="AN316" s="136"/>
      <c r="AO316" s="136"/>
      <c r="AP316" s="136"/>
      <c r="AQ316" s="136"/>
      <c r="AR316" s="136"/>
      <c r="AS316" s="136"/>
      <c r="AT316" s="136"/>
      <c r="AU316" s="136"/>
      <c r="AV316" s="136"/>
      <c r="AW316" s="136"/>
      <c r="AX316" s="125"/>
      <c r="AY316" s="125"/>
      <c r="AZ316" s="125"/>
      <c r="BA316" s="125"/>
      <c r="BB316" s="125"/>
      <c r="BC316" s="125"/>
      <c r="BD316" s="125"/>
      <c r="BE316" s="125"/>
      <c r="BF316" s="125"/>
      <c r="BG316" s="125"/>
      <c r="BH316" s="125"/>
      <c r="BI316" s="125"/>
      <c r="BJ316" s="125"/>
      <c r="BK316" s="125"/>
      <c r="BL316" s="125"/>
      <c r="BM316" s="124"/>
      <c r="BN316" s="124"/>
      <c r="BO316" s="124"/>
      <c r="BP316" s="124"/>
      <c r="BQ316" s="124"/>
      <c r="BR316" s="124"/>
      <c r="BS316" s="124"/>
      <c r="BT316" s="124"/>
      <c r="BU316" s="124"/>
      <c r="BV316" s="124"/>
      <c r="BW316" s="124"/>
      <c r="BX316" s="124"/>
      <c r="BY316" s="124"/>
      <c r="BZ316" s="124"/>
      <c r="CA316" s="124"/>
      <c r="CB316" s="124"/>
      <c r="CC316" s="124"/>
      <c r="CD316" s="124"/>
      <c r="CE316" s="124"/>
      <c r="CF316" s="124"/>
      <c r="CG316" s="124"/>
      <c r="CH316" s="124"/>
      <c r="CI316" s="124"/>
    </row>
    <row r="317" spans="1:87" s="283" customFormat="1">
      <c r="A317" s="262"/>
      <c r="B317" s="262"/>
      <c r="C317" s="262"/>
      <c r="M317" s="283">
        <v>18</v>
      </c>
      <c r="N317" s="283">
        <v>75000000</v>
      </c>
      <c r="O317" s="283" t="s">
        <v>152</v>
      </c>
      <c r="Q317" s="295"/>
      <c r="R317" s="295"/>
      <c r="S317" s="295"/>
      <c r="T317" s="295"/>
      <c r="U317" s="295"/>
      <c r="V317" s="295"/>
      <c r="W317" s="295"/>
      <c r="X317" s="295"/>
      <c r="Y317" s="295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L317" s="136"/>
      <c r="AM317" s="136"/>
      <c r="AN317" s="136"/>
      <c r="AO317" s="136"/>
      <c r="AP317" s="136"/>
      <c r="AQ317" s="136"/>
      <c r="AR317" s="136"/>
      <c r="AS317" s="136"/>
      <c r="AT317" s="136"/>
      <c r="AU317" s="136"/>
      <c r="AV317" s="136"/>
      <c r="AW317" s="136"/>
      <c r="AX317" s="125"/>
      <c r="AY317" s="125"/>
      <c r="AZ317" s="125"/>
      <c r="BA317" s="125"/>
      <c r="BB317" s="125"/>
      <c r="BC317" s="125"/>
      <c r="BD317" s="125"/>
      <c r="BE317" s="125"/>
      <c r="BF317" s="125"/>
      <c r="BG317" s="125"/>
      <c r="BH317" s="125"/>
      <c r="BI317" s="125"/>
      <c r="BJ317" s="125"/>
      <c r="BK317" s="125"/>
      <c r="BL317" s="125"/>
      <c r="BM317" s="124"/>
      <c r="BN317" s="124"/>
      <c r="BO317" s="124"/>
      <c r="BP317" s="124"/>
      <c r="BQ317" s="124"/>
      <c r="BR317" s="124"/>
      <c r="BS317" s="124"/>
      <c r="BT317" s="124"/>
      <c r="BU317" s="124"/>
      <c r="BV317" s="124"/>
      <c r="BW317" s="124"/>
      <c r="BX317" s="124"/>
      <c r="BY317" s="124"/>
      <c r="BZ317" s="124"/>
      <c r="CA317" s="124"/>
      <c r="CB317" s="124"/>
      <c r="CC317" s="124"/>
      <c r="CD317" s="124"/>
      <c r="CE317" s="124"/>
      <c r="CF317" s="124"/>
      <c r="CG317" s="124"/>
      <c r="CH317" s="124"/>
      <c r="CI317" s="124"/>
    </row>
    <row r="318" spans="1:87" s="283" customFormat="1">
      <c r="A318" s="262"/>
      <c r="B318" s="262"/>
      <c r="C318" s="262"/>
      <c r="M318" s="283">
        <v>19</v>
      </c>
      <c r="N318" s="283">
        <v>75000000</v>
      </c>
      <c r="O318" s="283" t="s">
        <v>153</v>
      </c>
      <c r="Q318" s="295"/>
      <c r="R318" s="295"/>
      <c r="S318" s="295"/>
      <c r="T318" s="295"/>
      <c r="U318" s="295"/>
      <c r="V318" s="295"/>
      <c r="W318" s="295"/>
      <c r="X318" s="295"/>
      <c r="Y318" s="295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L318" s="136"/>
      <c r="AM318" s="136"/>
      <c r="AN318" s="136"/>
      <c r="AO318" s="136"/>
      <c r="AP318" s="136"/>
      <c r="AQ318" s="136"/>
      <c r="AR318" s="136"/>
      <c r="AS318" s="136"/>
      <c r="AT318" s="136"/>
      <c r="AU318" s="136"/>
      <c r="AV318" s="136"/>
      <c r="AW318" s="136"/>
      <c r="AX318" s="125"/>
      <c r="AY318" s="125"/>
      <c r="AZ318" s="125"/>
      <c r="BA318" s="125"/>
      <c r="BB318" s="125"/>
      <c r="BC318" s="125"/>
      <c r="BD318" s="125"/>
      <c r="BE318" s="125"/>
      <c r="BF318" s="125"/>
      <c r="BG318" s="125"/>
      <c r="BH318" s="125"/>
      <c r="BI318" s="125"/>
      <c r="BJ318" s="125"/>
      <c r="BK318" s="125"/>
      <c r="BL318" s="125"/>
      <c r="BM318" s="124"/>
      <c r="BN318" s="124"/>
      <c r="BO318" s="124"/>
      <c r="BP318" s="124"/>
      <c r="BQ318" s="124"/>
      <c r="BR318" s="124"/>
      <c r="BS318" s="124"/>
      <c r="BT318" s="124"/>
      <c r="BU318" s="124"/>
      <c r="BV318" s="124"/>
      <c r="BW318" s="124"/>
      <c r="BX318" s="124"/>
      <c r="BY318" s="124"/>
      <c r="BZ318" s="124"/>
      <c r="CA318" s="124"/>
      <c r="CB318" s="124"/>
      <c r="CC318" s="124"/>
      <c r="CD318" s="124"/>
      <c r="CE318" s="124"/>
      <c r="CF318" s="124"/>
      <c r="CG318" s="124"/>
      <c r="CH318" s="124"/>
      <c r="CI318" s="124"/>
    </row>
    <row r="319" spans="1:87" s="283" customFormat="1">
      <c r="A319" s="262"/>
      <c r="B319" s="262"/>
      <c r="C319" s="262"/>
      <c r="M319" s="283">
        <v>20</v>
      </c>
      <c r="N319" s="283">
        <v>75000000</v>
      </c>
      <c r="O319" s="283" t="s">
        <v>154</v>
      </c>
      <c r="Q319" s="295"/>
      <c r="R319" s="295"/>
      <c r="S319" s="295"/>
      <c r="T319" s="295"/>
      <c r="U319" s="295"/>
      <c r="V319" s="295"/>
      <c r="W319" s="295"/>
      <c r="X319" s="295"/>
      <c r="Y319" s="295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L319" s="136"/>
      <c r="AM319" s="136"/>
      <c r="AN319" s="136"/>
      <c r="AO319" s="136"/>
      <c r="AP319" s="136"/>
      <c r="AQ319" s="136"/>
      <c r="AR319" s="136"/>
      <c r="AS319" s="136"/>
      <c r="AT319" s="136"/>
      <c r="AU319" s="136"/>
      <c r="AV319" s="136"/>
      <c r="AW319" s="136"/>
      <c r="AX319" s="125"/>
      <c r="AY319" s="125"/>
      <c r="AZ319" s="125"/>
      <c r="BA319" s="125"/>
      <c r="BB319" s="125"/>
      <c r="BC319" s="125"/>
      <c r="BD319" s="125"/>
      <c r="BE319" s="125"/>
      <c r="BF319" s="125"/>
      <c r="BG319" s="125"/>
      <c r="BH319" s="125"/>
      <c r="BI319" s="125"/>
      <c r="BJ319" s="125"/>
      <c r="BK319" s="125"/>
      <c r="BL319" s="125"/>
      <c r="BM319" s="124"/>
      <c r="BN319" s="124"/>
      <c r="BO319" s="124"/>
      <c r="BP319" s="124"/>
      <c r="BQ319" s="124"/>
      <c r="BR319" s="124"/>
      <c r="BS319" s="124"/>
      <c r="BT319" s="124"/>
      <c r="BU319" s="124"/>
      <c r="BV319" s="124"/>
      <c r="BW319" s="124"/>
      <c r="BX319" s="124"/>
      <c r="BY319" s="124"/>
      <c r="BZ319" s="124"/>
      <c r="CA319" s="124"/>
      <c r="CB319" s="124"/>
      <c r="CC319" s="124"/>
      <c r="CD319" s="124"/>
      <c r="CE319" s="124"/>
      <c r="CF319" s="124"/>
      <c r="CG319" s="124"/>
      <c r="CH319" s="124"/>
      <c r="CI319" s="124"/>
    </row>
    <row r="320" spans="1:87" s="283" customFormat="1">
      <c r="A320" s="262"/>
      <c r="B320" s="262"/>
      <c r="C320" s="262"/>
      <c r="M320" s="283">
        <v>21</v>
      </c>
      <c r="N320" s="283">
        <v>75000000</v>
      </c>
      <c r="O320" s="283" t="s">
        <v>155</v>
      </c>
      <c r="Q320" s="295"/>
      <c r="R320" s="295"/>
      <c r="S320" s="295"/>
      <c r="T320" s="295"/>
      <c r="U320" s="295"/>
      <c r="V320" s="295"/>
      <c r="W320" s="295"/>
      <c r="X320" s="295"/>
      <c r="Y320" s="295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L320" s="136"/>
      <c r="AM320" s="136"/>
      <c r="AN320" s="136"/>
      <c r="AO320" s="136"/>
      <c r="AP320" s="136"/>
      <c r="AQ320" s="136"/>
      <c r="AR320" s="136"/>
      <c r="AS320" s="136"/>
      <c r="AT320" s="136"/>
      <c r="AU320" s="136"/>
      <c r="AV320" s="136"/>
      <c r="AW320" s="136"/>
      <c r="AX320" s="125"/>
      <c r="AY320" s="125"/>
      <c r="AZ320" s="125"/>
      <c r="BA320" s="125"/>
      <c r="BB320" s="125"/>
      <c r="BC320" s="125"/>
      <c r="BD320" s="125"/>
      <c r="BE320" s="125"/>
      <c r="BF320" s="125"/>
      <c r="BG320" s="125"/>
      <c r="BH320" s="125"/>
      <c r="BI320" s="125"/>
      <c r="BJ320" s="125"/>
      <c r="BK320" s="125"/>
      <c r="BL320" s="125"/>
      <c r="BM320" s="124"/>
      <c r="BN320" s="124"/>
      <c r="BO320" s="124"/>
      <c r="BP320" s="124"/>
      <c r="BQ320" s="124"/>
      <c r="BR320" s="124"/>
      <c r="BS320" s="124"/>
      <c r="BT320" s="124"/>
      <c r="BU320" s="124"/>
      <c r="BV320" s="124"/>
      <c r="BW320" s="124"/>
      <c r="BX320" s="124"/>
      <c r="BY320" s="124"/>
      <c r="BZ320" s="124"/>
      <c r="CA320" s="124"/>
      <c r="CB320" s="124"/>
      <c r="CC320" s="124"/>
      <c r="CD320" s="124"/>
      <c r="CE320" s="124"/>
      <c r="CF320" s="124"/>
      <c r="CG320" s="124"/>
      <c r="CH320" s="124"/>
      <c r="CI320" s="124"/>
    </row>
    <row r="321" spans="1:87" s="283" customFormat="1">
      <c r="A321" s="262"/>
      <c r="B321" s="262"/>
      <c r="C321" s="262"/>
      <c r="M321" s="283">
        <v>22</v>
      </c>
      <c r="N321" s="283">
        <v>75000000</v>
      </c>
      <c r="O321" s="283" t="s">
        <v>156</v>
      </c>
      <c r="Q321" s="295"/>
      <c r="R321" s="295"/>
      <c r="S321" s="295"/>
      <c r="T321" s="295"/>
      <c r="U321" s="295"/>
      <c r="V321" s="295"/>
      <c r="W321" s="295"/>
      <c r="X321" s="295"/>
      <c r="Y321" s="295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L321" s="136"/>
      <c r="AM321" s="136"/>
      <c r="AN321" s="136"/>
      <c r="AO321" s="136"/>
      <c r="AP321" s="136"/>
      <c r="AQ321" s="136"/>
      <c r="AR321" s="136"/>
      <c r="AS321" s="136"/>
      <c r="AT321" s="136"/>
      <c r="AU321" s="136"/>
      <c r="AV321" s="136"/>
      <c r="AW321" s="136"/>
      <c r="AX321" s="125"/>
      <c r="AY321" s="125"/>
      <c r="AZ321" s="125"/>
      <c r="BA321" s="125"/>
      <c r="BB321" s="125"/>
      <c r="BC321" s="125"/>
      <c r="BD321" s="125"/>
      <c r="BE321" s="125"/>
      <c r="BF321" s="125"/>
      <c r="BG321" s="125"/>
      <c r="BH321" s="125"/>
      <c r="BI321" s="125"/>
      <c r="BJ321" s="125"/>
      <c r="BK321" s="125"/>
      <c r="BL321" s="125"/>
      <c r="BM321" s="124"/>
      <c r="BN321" s="124"/>
      <c r="BO321" s="124"/>
      <c r="BP321" s="124"/>
      <c r="BQ321" s="124"/>
      <c r="BR321" s="124"/>
      <c r="BS321" s="124"/>
      <c r="BT321" s="124"/>
      <c r="BU321" s="124"/>
      <c r="BV321" s="124"/>
      <c r="BW321" s="124"/>
      <c r="BX321" s="124"/>
      <c r="BY321" s="124"/>
      <c r="BZ321" s="124"/>
      <c r="CA321" s="124"/>
      <c r="CB321" s="124"/>
      <c r="CC321" s="124"/>
      <c r="CD321" s="124"/>
      <c r="CE321" s="124"/>
      <c r="CF321" s="124"/>
      <c r="CG321" s="124"/>
      <c r="CH321" s="124"/>
      <c r="CI321" s="124"/>
    </row>
    <row r="322" spans="1:87" s="283" customFormat="1">
      <c r="A322" s="262"/>
      <c r="B322" s="262"/>
      <c r="C322" s="262"/>
      <c r="M322" s="283">
        <v>23</v>
      </c>
      <c r="N322" s="283">
        <v>75000000</v>
      </c>
      <c r="O322" s="283" t="s">
        <v>157</v>
      </c>
      <c r="Q322" s="295"/>
      <c r="R322" s="295"/>
      <c r="S322" s="295"/>
      <c r="T322" s="295"/>
      <c r="U322" s="295"/>
      <c r="V322" s="295"/>
      <c r="W322" s="295"/>
      <c r="X322" s="295"/>
      <c r="Y322" s="295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L322" s="136"/>
      <c r="AM322" s="136"/>
      <c r="AN322" s="136"/>
      <c r="AO322" s="136"/>
      <c r="AP322" s="136"/>
      <c r="AQ322" s="136"/>
      <c r="AR322" s="136"/>
      <c r="AS322" s="136"/>
      <c r="AT322" s="136"/>
      <c r="AU322" s="136"/>
      <c r="AV322" s="136"/>
      <c r="AW322" s="136"/>
      <c r="AX322" s="125"/>
      <c r="AY322" s="125"/>
      <c r="AZ322" s="125"/>
      <c r="BA322" s="125"/>
      <c r="BB322" s="125"/>
      <c r="BC322" s="125"/>
      <c r="BD322" s="125"/>
      <c r="BE322" s="125"/>
      <c r="BF322" s="125"/>
      <c r="BG322" s="125"/>
      <c r="BH322" s="125"/>
      <c r="BI322" s="125"/>
      <c r="BJ322" s="125"/>
      <c r="BK322" s="125"/>
      <c r="BL322" s="125"/>
      <c r="BM322" s="124"/>
      <c r="BN322" s="124"/>
      <c r="BO322" s="124"/>
      <c r="BP322" s="124"/>
      <c r="BQ322" s="124"/>
      <c r="BR322" s="124"/>
      <c r="BS322" s="124"/>
      <c r="BT322" s="124"/>
      <c r="BU322" s="124"/>
      <c r="BV322" s="124"/>
      <c r="BW322" s="124"/>
      <c r="BX322" s="124"/>
      <c r="BY322" s="124"/>
      <c r="BZ322" s="124"/>
      <c r="CA322" s="124"/>
      <c r="CB322" s="124"/>
      <c r="CC322" s="124"/>
      <c r="CD322" s="124"/>
      <c r="CE322" s="124"/>
      <c r="CF322" s="124"/>
      <c r="CG322" s="124"/>
      <c r="CH322" s="124"/>
      <c r="CI322" s="124"/>
    </row>
    <row r="323" spans="1:87" s="283" customFormat="1">
      <c r="A323" s="262"/>
      <c r="B323" s="262"/>
      <c r="C323" s="262"/>
      <c r="M323" s="283">
        <v>24</v>
      </c>
      <c r="N323" s="283">
        <v>75000000</v>
      </c>
      <c r="O323" s="283" t="s">
        <v>147</v>
      </c>
      <c r="Q323" s="295"/>
      <c r="R323" s="295"/>
      <c r="S323" s="295"/>
      <c r="T323" s="295"/>
      <c r="U323" s="295"/>
      <c r="V323" s="295"/>
      <c r="W323" s="295"/>
      <c r="X323" s="295"/>
      <c r="Y323" s="295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L323" s="136"/>
      <c r="AM323" s="136"/>
      <c r="AN323" s="136"/>
      <c r="AO323" s="136"/>
      <c r="AP323" s="136"/>
      <c r="AQ323" s="136"/>
      <c r="AR323" s="136"/>
      <c r="AS323" s="136"/>
      <c r="AT323" s="136"/>
      <c r="AU323" s="136"/>
      <c r="AV323" s="136"/>
      <c r="AW323" s="136"/>
      <c r="AX323" s="125"/>
      <c r="AY323" s="125"/>
      <c r="AZ323" s="125"/>
      <c r="BA323" s="125"/>
      <c r="BB323" s="125"/>
      <c r="BC323" s="125"/>
      <c r="BD323" s="125"/>
      <c r="BE323" s="125"/>
      <c r="BF323" s="125"/>
      <c r="BG323" s="125"/>
      <c r="BH323" s="125"/>
      <c r="BI323" s="125"/>
      <c r="BJ323" s="125"/>
      <c r="BK323" s="125"/>
      <c r="BL323" s="125"/>
      <c r="BM323" s="124"/>
      <c r="BN323" s="124"/>
      <c r="BO323" s="124"/>
      <c r="BP323" s="124"/>
      <c r="BQ323" s="124"/>
      <c r="BR323" s="124"/>
      <c r="BS323" s="124"/>
      <c r="BT323" s="124"/>
      <c r="BU323" s="124"/>
      <c r="BV323" s="124"/>
      <c r="BW323" s="124"/>
      <c r="BX323" s="124"/>
      <c r="BY323" s="124"/>
      <c r="BZ323" s="124"/>
      <c r="CA323" s="124"/>
      <c r="CB323" s="124"/>
      <c r="CC323" s="124"/>
      <c r="CD323" s="124"/>
      <c r="CE323" s="124"/>
      <c r="CF323" s="124"/>
      <c r="CG323" s="124"/>
      <c r="CH323" s="124"/>
      <c r="CI323" s="124"/>
    </row>
    <row r="324" spans="1:87" s="283" customFormat="1">
      <c r="A324" s="262"/>
      <c r="B324" s="262"/>
      <c r="C324" s="262"/>
      <c r="M324" s="283">
        <v>25</v>
      </c>
      <c r="N324" s="283">
        <v>75000000</v>
      </c>
      <c r="O324" s="283" t="s">
        <v>148</v>
      </c>
      <c r="Q324" s="295"/>
      <c r="R324" s="295"/>
      <c r="S324" s="295"/>
      <c r="T324" s="295"/>
      <c r="U324" s="295"/>
      <c r="V324" s="295"/>
      <c r="W324" s="295"/>
      <c r="X324" s="295"/>
      <c r="Y324" s="295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L324" s="136"/>
      <c r="AM324" s="136"/>
      <c r="AN324" s="136"/>
      <c r="AO324" s="136"/>
      <c r="AP324" s="136"/>
      <c r="AQ324" s="136"/>
      <c r="AR324" s="136"/>
      <c r="AS324" s="136"/>
      <c r="AT324" s="136"/>
      <c r="AU324" s="136"/>
      <c r="AV324" s="136"/>
      <c r="AW324" s="136"/>
      <c r="AX324" s="125"/>
      <c r="AY324" s="125"/>
      <c r="AZ324" s="125"/>
      <c r="BA324" s="125"/>
      <c r="BB324" s="125"/>
      <c r="BC324" s="125"/>
      <c r="BD324" s="125"/>
      <c r="BE324" s="125"/>
      <c r="BF324" s="125"/>
      <c r="BG324" s="125"/>
      <c r="BH324" s="125"/>
      <c r="BI324" s="125"/>
      <c r="BJ324" s="125"/>
      <c r="BK324" s="125"/>
      <c r="BL324" s="125"/>
      <c r="BM324" s="124"/>
      <c r="BN324" s="124"/>
      <c r="BO324" s="124"/>
      <c r="BP324" s="124"/>
      <c r="BQ324" s="124"/>
      <c r="BR324" s="124"/>
      <c r="BS324" s="124"/>
      <c r="BT324" s="124"/>
      <c r="BU324" s="124"/>
      <c r="BV324" s="124"/>
      <c r="BW324" s="124"/>
      <c r="BX324" s="124"/>
      <c r="BY324" s="124"/>
      <c r="BZ324" s="124"/>
      <c r="CA324" s="124"/>
      <c r="CB324" s="124"/>
      <c r="CC324" s="124"/>
      <c r="CD324" s="124"/>
      <c r="CE324" s="124"/>
      <c r="CF324" s="124"/>
      <c r="CG324" s="124"/>
      <c r="CH324" s="124"/>
      <c r="CI324" s="124"/>
    </row>
    <row r="325" spans="1:87" s="283" customFormat="1">
      <c r="A325" s="262"/>
      <c r="B325" s="262"/>
      <c r="C325" s="262"/>
      <c r="M325" s="283">
        <v>26</v>
      </c>
      <c r="N325" s="283">
        <v>75000000</v>
      </c>
      <c r="O325" s="283" t="s">
        <v>149</v>
      </c>
      <c r="Q325" s="295"/>
      <c r="R325" s="295"/>
      <c r="S325" s="295"/>
      <c r="T325" s="295"/>
      <c r="U325" s="295"/>
      <c r="V325" s="295"/>
      <c r="W325" s="295"/>
      <c r="X325" s="295"/>
      <c r="Y325" s="295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L325" s="136"/>
      <c r="AM325" s="136"/>
      <c r="AN325" s="136"/>
      <c r="AO325" s="136"/>
      <c r="AP325" s="136"/>
      <c r="AQ325" s="136"/>
      <c r="AR325" s="136"/>
      <c r="AS325" s="136"/>
      <c r="AT325" s="136"/>
      <c r="AU325" s="136"/>
      <c r="AV325" s="136"/>
      <c r="AW325" s="136"/>
      <c r="AX325" s="125"/>
      <c r="AY325" s="125"/>
      <c r="AZ325" s="125"/>
      <c r="BA325" s="125"/>
      <c r="BB325" s="125"/>
      <c r="BC325" s="125"/>
      <c r="BD325" s="125"/>
      <c r="BE325" s="125"/>
      <c r="BF325" s="125"/>
      <c r="BG325" s="125"/>
      <c r="BH325" s="125"/>
      <c r="BI325" s="125"/>
      <c r="BJ325" s="125"/>
      <c r="BK325" s="125"/>
      <c r="BL325" s="125"/>
      <c r="BM325" s="124"/>
      <c r="BN325" s="124"/>
      <c r="BO325" s="124"/>
      <c r="BP325" s="124"/>
      <c r="BQ325" s="124"/>
      <c r="BR325" s="124"/>
      <c r="BS325" s="124"/>
      <c r="BT325" s="124"/>
      <c r="BU325" s="124"/>
      <c r="BV325" s="124"/>
      <c r="BW325" s="124"/>
      <c r="BX325" s="124"/>
      <c r="BY325" s="124"/>
      <c r="BZ325" s="124"/>
      <c r="CA325" s="124"/>
      <c r="CB325" s="124"/>
      <c r="CC325" s="124"/>
      <c r="CD325" s="124"/>
      <c r="CE325" s="124"/>
      <c r="CF325" s="124"/>
      <c r="CG325" s="124"/>
      <c r="CH325" s="124"/>
      <c r="CI325" s="124"/>
    </row>
    <row r="326" spans="1:87" s="283" customFormat="1">
      <c r="A326" s="262"/>
      <c r="B326" s="262"/>
      <c r="C326" s="262"/>
      <c r="M326" s="283">
        <v>27</v>
      </c>
      <c r="N326" s="283">
        <v>75000000</v>
      </c>
      <c r="O326" s="283" t="s">
        <v>150</v>
      </c>
      <c r="Q326" s="295"/>
      <c r="R326" s="295"/>
      <c r="S326" s="295"/>
      <c r="T326" s="295"/>
      <c r="U326" s="295"/>
      <c r="V326" s="295"/>
      <c r="W326" s="295"/>
      <c r="X326" s="295"/>
      <c r="Y326" s="295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L326" s="136"/>
      <c r="AM326" s="136"/>
      <c r="AN326" s="136"/>
      <c r="AO326" s="136"/>
      <c r="AP326" s="136"/>
      <c r="AQ326" s="136"/>
      <c r="AR326" s="136"/>
      <c r="AS326" s="136"/>
      <c r="AT326" s="136"/>
      <c r="AU326" s="136"/>
      <c r="AV326" s="136"/>
      <c r="AW326" s="136"/>
      <c r="AX326" s="125"/>
      <c r="AY326" s="125"/>
      <c r="AZ326" s="125"/>
      <c r="BA326" s="125"/>
      <c r="BB326" s="125"/>
      <c r="BC326" s="125"/>
      <c r="BD326" s="125"/>
      <c r="BE326" s="125"/>
      <c r="BF326" s="125"/>
      <c r="BG326" s="125"/>
      <c r="BH326" s="125"/>
      <c r="BI326" s="125"/>
      <c r="BJ326" s="125"/>
      <c r="BK326" s="125"/>
      <c r="BL326" s="125"/>
      <c r="BM326" s="124"/>
      <c r="BN326" s="124"/>
      <c r="BO326" s="124"/>
      <c r="BP326" s="124"/>
      <c r="BQ326" s="124"/>
      <c r="BR326" s="124"/>
      <c r="BS326" s="124"/>
      <c r="BT326" s="124"/>
      <c r="BU326" s="124"/>
      <c r="BV326" s="124"/>
      <c r="BW326" s="124"/>
      <c r="BX326" s="124"/>
      <c r="BY326" s="124"/>
      <c r="BZ326" s="124"/>
      <c r="CA326" s="124"/>
      <c r="CB326" s="124"/>
      <c r="CC326" s="124"/>
      <c r="CD326" s="124"/>
      <c r="CE326" s="124"/>
      <c r="CF326" s="124"/>
      <c r="CG326" s="124"/>
      <c r="CH326" s="124"/>
      <c r="CI326" s="124"/>
    </row>
    <row r="327" spans="1:87" s="283" customFormat="1">
      <c r="A327" s="262"/>
      <c r="B327" s="262"/>
      <c r="C327" s="262"/>
      <c r="M327" s="283">
        <v>28</v>
      </c>
      <c r="N327" s="283">
        <v>75000000</v>
      </c>
      <c r="O327" s="283" t="s">
        <v>151</v>
      </c>
      <c r="Q327" s="295"/>
      <c r="R327" s="295"/>
      <c r="S327" s="295"/>
      <c r="T327" s="295"/>
      <c r="U327" s="295"/>
      <c r="V327" s="295"/>
      <c r="W327" s="295"/>
      <c r="X327" s="295"/>
      <c r="Y327" s="295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L327" s="136"/>
      <c r="AM327" s="136"/>
      <c r="AN327" s="136"/>
      <c r="AO327" s="136"/>
      <c r="AP327" s="136"/>
      <c r="AQ327" s="136"/>
      <c r="AR327" s="136"/>
      <c r="AS327" s="136"/>
      <c r="AT327" s="136"/>
      <c r="AU327" s="136"/>
      <c r="AV327" s="136"/>
      <c r="AW327" s="136"/>
      <c r="AX327" s="125"/>
      <c r="AY327" s="125"/>
      <c r="AZ327" s="125"/>
      <c r="BA327" s="125"/>
      <c r="BB327" s="125"/>
      <c r="BC327" s="125"/>
      <c r="BD327" s="125"/>
      <c r="BE327" s="125"/>
      <c r="BF327" s="125"/>
      <c r="BG327" s="125"/>
      <c r="BH327" s="125"/>
      <c r="BI327" s="125"/>
      <c r="BJ327" s="125"/>
      <c r="BK327" s="125"/>
      <c r="BL327" s="125"/>
      <c r="BM327" s="124"/>
      <c r="BN327" s="124"/>
      <c r="BO327" s="124"/>
      <c r="BP327" s="124"/>
      <c r="BQ327" s="124"/>
      <c r="BR327" s="124"/>
      <c r="BS327" s="124"/>
      <c r="BT327" s="124"/>
      <c r="BU327" s="124"/>
      <c r="BV327" s="124"/>
      <c r="BW327" s="124"/>
      <c r="BX327" s="124"/>
      <c r="BY327" s="124"/>
      <c r="BZ327" s="124"/>
      <c r="CA327" s="124"/>
      <c r="CB327" s="124"/>
      <c r="CC327" s="124"/>
      <c r="CD327" s="124"/>
      <c r="CE327" s="124"/>
      <c r="CF327" s="124"/>
      <c r="CG327" s="124"/>
      <c r="CH327" s="124"/>
      <c r="CI327" s="124"/>
    </row>
    <row r="328" spans="1:87" s="283" customFormat="1">
      <c r="A328" s="262"/>
      <c r="B328" s="262"/>
      <c r="C328" s="262"/>
      <c r="M328" s="283">
        <v>29</v>
      </c>
      <c r="N328" s="283">
        <v>75000000</v>
      </c>
      <c r="O328" s="283" t="s">
        <v>152</v>
      </c>
      <c r="Q328" s="295"/>
      <c r="R328" s="295"/>
      <c r="S328" s="295"/>
      <c r="T328" s="295"/>
      <c r="U328" s="295"/>
      <c r="V328" s="295"/>
      <c r="W328" s="295"/>
      <c r="X328" s="295"/>
      <c r="Y328" s="295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L328" s="136"/>
      <c r="AM328" s="136"/>
      <c r="AN328" s="136"/>
      <c r="AO328" s="136"/>
      <c r="AP328" s="136"/>
      <c r="AQ328" s="136"/>
      <c r="AR328" s="136"/>
      <c r="AS328" s="136"/>
      <c r="AT328" s="136"/>
      <c r="AU328" s="136"/>
      <c r="AV328" s="136"/>
      <c r="AW328" s="136"/>
      <c r="AX328" s="125"/>
      <c r="AY328" s="125"/>
      <c r="AZ328" s="125"/>
      <c r="BA328" s="125"/>
      <c r="BB328" s="125"/>
      <c r="BC328" s="125"/>
      <c r="BD328" s="125"/>
      <c r="BE328" s="125"/>
      <c r="BF328" s="125"/>
      <c r="BG328" s="125"/>
      <c r="BH328" s="125"/>
      <c r="BI328" s="125"/>
      <c r="BJ328" s="125"/>
      <c r="BK328" s="125"/>
      <c r="BL328" s="125"/>
      <c r="BM328" s="124"/>
      <c r="BN328" s="124"/>
      <c r="BO328" s="124"/>
      <c r="BP328" s="124"/>
      <c r="BQ328" s="124"/>
      <c r="BR328" s="124"/>
      <c r="BS328" s="124"/>
      <c r="BT328" s="124"/>
      <c r="BU328" s="124"/>
      <c r="BV328" s="124"/>
      <c r="BW328" s="124"/>
      <c r="BX328" s="124"/>
      <c r="BY328" s="124"/>
      <c r="BZ328" s="124"/>
      <c r="CA328" s="124"/>
      <c r="CB328" s="124"/>
      <c r="CC328" s="124"/>
      <c r="CD328" s="124"/>
      <c r="CE328" s="124"/>
      <c r="CF328" s="124"/>
      <c r="CG328" s="124"/>
      <c r="CH328" s="124"/>
      <c r="CI328" s="124"/>
    </row>
    <row r="329" spans="1:87" s="283" customFormat="1">
      <c r="A329" s="262"/>
      <c r="B329" s="262"/>
      <c r="C329" s="262"/>
      <c r="M329" s="283">
        <v>30</v>
      </c>
      <c r="N329" s="283">
        <v>75000000</v>
      </c>
      <c r="O329" s="283" t="s">
        <v>153</v>
      </c>
      <c r="Q329" s="295"/>
      <c r="R329" s="295"/>
      <c r="S329" s="295"/>
      <c r="T329" s="295"/>
      <c r="U329" s="295"/>
      <c r="V329" s="295"/>
      <c r="W329" s="295"/>
      <c r="X329" s="295"/>
      <c r="Y329" s="295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L329" s="136"/>
      <c r="AM329" s="136"/>
      <c r="AN329" s="136"/>
      <c r="AO329" s="136"/>
      <c r="AP329" s="136"/>
      <c r="AQ329" s="136"/>
      <c r="AR329" s="136"/>
      <c r="AS329" s="136"/>
      <c r="AT329" s="136"/>
      <c r="AU329" s="136"/>
      <c r="AV329" s="136"/>
      <c r="AW329" s="136"/>
      <c r="AX329" s="125"/>
      <c r="AY329" s="125"/>
      <c r="AZ329" s="125"/>
      <c r="BA329" s="125"/>
      <c r="BB329" s="125"/>
      <c r="BC329" s="125"/>
      <c r="BD329" s="125"/>
      <c r="BE329" s="125"/>
      <c r="BF329" s="125"/>
      <c r="BG329" s="125"/>
      <c r="BH329" s="125"/>
      <c r="BI329" s="125"/>
      <c r="BJ329" s="125"/>
      <c r="BK329" s="125"/>
      <c r="BL329" s="125"/>
      <c r="BM329" s="124"/>
      <c r="BN329" s="124"/>
      <c r="BO329" s="124"/>
      <c r="BP329" s="124"/>
      <c r="BQ329" s="124"/>
      <c r="BR329" s="124"/>
      <c r="BS329" s="124"/>
      <c r="BT329" s="124"/>
      <c r="BU329" s="124"/>
      <c r="BV329" s="124"/>
      <c r="BW329" s="124"/>
      <c r="BX329" s="124"/>
      <c r="BY329" s="124"/>
      <c r="BZ329" s="124"/>
      <c r="CA329" s="124"/>
      <c r="CB329" s="124"/>
      <c r="CC329" s="124"/>
      <c r="CD329" s="124"/>
      <c r="CE329" s="124"/>
      <c r="CF329" s="124"/>
      <c r="CG329" s="124"/>
      <c r="CH329" s="124"/>
      <c r="CI329" s="124"/>
    </row>
    <row r="330" spans="1:87" s="283" customFormat="1">
      <c r="A330" s="262"/>
      <c r="B330" s="262"/>
      <c r="C330" s="262"/>
      <c r="M330" s="283">
        <v>31</v>
      </c>
      <c r="N330" s="283">
        <v>75000000</v>
      </c>
      <c r="O330" s="283" t="s">
        <v>154</v>
      </c>
      <c r="Q330" s="295"/>
      <c r="R330" s="295"/>
      <c r="S330" s="295"/>
      <c r="T330" s="295"/>
      <c r="U330" s="295"/>
      <c r="V330" s="295"/>
      <c r="W330" s="295"/>
      <c r="X330" s="295"/>
      <c r="Y330" s="295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L330" s="136"/>
      <c r="AM330" s="136"/>
      <c r="AN330" s="136"/>
      <c r="AO330" s="136"/>
      <c r="AP330" s="136"/>
      <c r="AQ330" s="136"/>
      <c r="AR330" s="136"/>
      <c r="AS330" s="136"/>
      <c r="AT330" s="136"/>
      <c r="AU330" s="136"/>
      <c r="AV330" s="136"/>
      <c r="AW330" s="136"/>
      <c r="AX330" s="125"/>
      <c r="AY330" s="125"/>
      <c r="AZ330" s="125"/>
      <c r="BA330" s="125"/>
      <c r="BB330" s="125"/>
      <c r="BC330" s="125"/>
      <c r="BD330" s="125"/>
      <c r="BE330" s="125"/>
      <c r="BF330" s="125"/>
      <c r="BG330" s="125"/>
      <c r="BH330" s="125"/>
      <c r="BI330" s="125"/>
      <c r="BJ330" s="125"/>
      <c r="BK330" s="125"/>
      <c r="BL330" s="125"/>
      <c r="BM330" s="124"/>
      <c r="BN330" s="124"/>
      <c r="BO330" s="124"/>
      <c r="BP330" s="124"/>
      <c r="BQ330" s="124"/>
      <c r="BR330" s="124"/>
      <c r="BS330" s="124"/>
      <c r="BT330" s="124"/>
      <c r="BU330" s="124"/>
      <c r="BV330" s="124"/>
      <c r="BW330" s="124"/>
      <c r="BX330" s="124"/>
      <c r="BY330" s="124"/>
      <c r="BZ330" s="124"/>
      <c r="CA330" s="124"/>
      <c r="CB330" s="124"/>
      <c r="CC330" s="124"/>
      <c r="CD330" s="124"/>
      <c r="CE330" s="124"/>
      <c r="CF330" s="124"/>
      <c r="CG330" s="124"/>
      <c r="CH330" s="124"/>
      <c r="CI330" s="124"/>
    </row>
    <row r="331" spans="1:87" s="283" customFormat="1">
      <c r="A331" s="262"/>
      <c r="B331" s="262"/>
      <c r="C331" s="262"/>
      <c r="M331" s="283">
        <v>32</v>
      </c>
      <c r="N331" s="283">
        <f>SUM(N300:N330)</f>
        <v>2325000000</v>
      </c>
      <c r="Q331" s="295"/>
      <c r="R331" s="295"/>
      <c r="S331" s="295"/>
      <c r="T331" s="295"/>
      <c r="U331" s="295"/>
      <c r="V331" s="295"/>
      <c r="W331" s="295"/>
      <c r="X331" s="295"/>
      <c r="Y331" s="295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L331" s="136"/>
      <c r="AM331" s="136"/>
      <c r="AN331" s="136"/>
      <c r="AO331" s="136"/>
      <c r="AP331" s="136"/>
      <c r="AQ331" s="136"/>
      <c r="AR331" s="136"/>
      <c r="AS331" s="136"/>
      <c r="AT331" s="136"/>
      <c r="AU331" s="136"/>
      <c r="AV331" s="136"/>
      <c r="AW331" s="136"/>
      <c r="AX331" s="125"/>
      <c r="AY331" s="125"/>
      <c r="AZ331" s="125"/>
      <c r="BA331" s="125"/>
      <c r="BB331" s="125"/>
      <c r="BC331" s="125"/>
      <c r="BD331" s="125"/>
      <c r="BE331" s="125"/>
      <c r="BF331" s="125"/>
      <c r="BG331" s="125"/>
      <c r="BH331" s="125"/>
      <c r="BI331" s="125"/>
      <c r="BJ331" s="125"/>
      <c r="BK331" s="125"/>
      <c r="BL331" s="125"/>
      <c r="BM331" s="124"/>
      <c r="BN331" s="124"/>
      <c r="BO331" s="124"/>
      <c r="BP331" s="124"/>
      <c r="BQ331" s="124"/>
      <c r="BR331" s="124"/>
      <c r="BS331" s="124"/>
      <c r="BT331" s="124"/>
      <c r="BU331" s="124"/>
      <c r="BV331" s="124"/>
      <c r="BW331" s="124"/>
      <c r="BX331" s="124"/>
      <c r="BY331" s="124"/>
      <c r="BZ331" s="124"/>
      <c r="CA331" s="124"/>
      <c r="CB331" s="124"/>
      <c r="CC331" s="124"/>
      <c r="CD331" s="124"/>
      <c r="CE331" s="124"/>
      <c r="CF331" s="124"/>
      <c r="CG331" s="124"/>
      <c r="CH331" s="124"/>
      <c r="CI331" s="124"/>
    </row>
    <row r="332" spans="1:87" s="283" customFormat="1">
      <c r="A332" s="262"/>
      <c r="B332" s="262"/>
      <c r="C332" s="262"/>
      <c r="M332" s="283">
        <v>33</v>
      </c>
      <c r="Q332" s="295"/>
      <c r="R332" s="295"/>
      <c r="S332" s="295"/>
      <c r="T332" s="295"/>
      <c r="U332" s="295"/>
      <c r="V332" s="295"/>
      <c r="W332" s="295"/>
      <c r="X332" s="295"/>
      <c r="Y332" s="295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L332" s="136"/>
      <c r="AM332" s="136"/>
      <c r="AN332" s="136"/>
      <c r="AO332" s="136"/>
      <c r="AP332" s="136"/>
      <c r="AQ332" s="136"/>
      <c r="AR332" s="136"/>
      <c r="AS332" s="136"/>
      <c r="AT332" s="136"/>
      <c r="AU332" s="136"/>
      <c r="AV332" s="136"/>
      <c r="AW332" s="136"/>
      <c r="AX332" s="125"/>
      <c r="AY332" s="125"/>
      <c r="AZ332" s="125"/>
      <c r="BA332" s="125"/>
      <c r="BB332" s="125"/>
      <c r="BC332" s="125"/>
      <c r="BD332" s="125"/>
      <c r="BE332" s="125"/>
      <c r="BF332" s="125"/>
      <c r="BG332" s="125"/>
      <c r="BH332" s="125"/>
      <c r="BI332" s="125"/>
      <c r="BJ332" s="125"/>
      <c r="BK332" s="125"/>
      <c r="BL332" s="125"/>
      <c r="BM332" s="124"/>
      <c r="BN332" s="124"/>
      <c r="BO332" s="124"/>
      <c r="BP332" s="124"/>
      <c r="BQ332" s="124"/>
      <c r="BR332" s="124"/>
      <c r="BS332" s="124"/>
      <c r="BT332" s="124"/>
      <c r="BU332" s="124"/>
      <c r="BV332" s="124"/>
      <c r="BW332" s="124"/>
      <c r="BX332" s="124"/>
      <c r="BY332" s="124"/>
      <c r="BZ332" s="124"/>
      <c r="CA332" s="124"/>
      <c r="CB332" s="124"/>
      <c r="CC332" s="124"/>
      <c r="CD332" s="124"/>
      <c r="CE332" s="124"/>
      <c r="CF332" s="124"/>
      <c r="CG332" s="124"/>
      <c r="CH332" s="124"/>
      <c r="CI332" s="124"/>
    </row>
    <row r="333" spans="1:87" s="283" customFormat="1">
      <c r="A333" s="262"/>
      <c r="B333" s="262"/>
      <c r="C333" s="262"/>
      <c r="M333" s="283">
        <v>34</v>
      </c>
      <c r="Q333" s="295"/>
      <c r="R333" s="295"/>
      <c r="S333" s="295"/>
      <c r="T333" s="295"/>
      <c r="U333" s="295"/>
      <c r="V333" s="295"/>
      <c r="W333" s="295"/>
      <c r="X333" s="295"/>
      <c r="Y333" s="295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L333" s="136"/>
      <c r="AM333" s="136"/>
      <c r="AN333" s="136"/>
      <c r="AO333" s="136"/>
      <c r="AP333" s="136"/>
      <c r="AQ333" s="136"/>
      <c r="AR333" s="136"/>
      <c r="AS333" s="136"/>
      <c r="AT333" s="136"/>
      <c r="AU333" s="136"/>
      <c r="AV333" s="136"/>
      <c r="AW333" s="136"/>
      <c r="AX333" s="125"/>
      <c r="AY333" s="125"/>
      <c r="AZ333" s="125"/>
      <c r="BA333" s="125"/>
      <c r="BB333" s="125"/>
      <c r="BC333" s="125"/>
      <c r="BD333" s="125"/>
      <c r="BE333" s="125"/>
      <c r="BF333" s="125"/>
      <c r="BG333" s="125"/>
      <c r="BH333" s="125"/>
      <c r="BI333" s="125"/>
      <c r="BJ333" s="125"/>
      <c r="BK333" s="125"/>
      <c r="BL333" s="125"/>
      <c r="BM333" s="124"/>
      <c r="BN333" s="124"/>
      <c r="BO333" s="124"/>
      <c r="BP333" s="124"/>
      <c r="BQ333" s="124"/>
      <c r="BR333" s="124"/>
      <c r="BS333" s="124"/>
      <c r="BT333" s="124"/>
      <c r="BU333" s="124"/>
      <c r="BV333" s="124"/>
      <c r="BW333" s="124"/>
      <c r="BX333" s="124"/>
      <c r="BY333" s="124"/>
      <c r="BZ333" s="124"/>
      <c r="CA333" s="124"/>
      <c r="CB333" s="124"/>
      <c r="CC333" s="124"/>
      <c r="CD333" s="124"/>
      <c r="CE333" s="124"/>
      <c r="CF333" s="124"/>
      <c r="CG333" s="124"/>
      <c r="CH333" s="124"/>
      <c r="CI333" s="124"/>
    </row>
    <row r="334" spans="1:87" s="283" customFormat="1">
      <c r="A334" s="262"/>
      <c r="B334" s="262"/>
      <c r="C334" s="262"/>
      <c r="M334" s="283">
        <v>35</v>
      </c>
      <c r="Q334" s="295"/>
      <c r="R334" s="295"/>
      <c r="S334" s="295"/>
      <c r="T334" s="295"/>
      <c r="U334" s="295"/>
      <c r="V334" s="295"/>
      <c r="W334" s="295"/>
      <c r="X334" s="295"/>
      <c r="Y334" s="295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L334" s="136"/>
      <c r="AM334" s="136"/>
      <c r="AN334" s="136"/>
      <c r="AO334" s="136"/>
      <c r="AP334" s="136"/>
      <c r="AQ334" s="136"/>
      <c r="AR334" s="136"/>
      <c r="AS334" s="136"/>
      <c r="AT334" s="136"/>
      <c r="AU334" s="136"/>
      <c r="AV334" s="136"/>
      <c r="AW334" s="136"/>
      <c r="AX334" s="125"/>
      <c r="AY334" s="125"/>
      <c r="AZ334" s="125"/>
      <c r="BA334" s="125"/>
      <c r="BB334" s="125"/>
      <c r="BC334" s="125"/>
      <c r="BD334" s="125"/>
      <c r="BE334" s="125"/>
      <c r="BF334" s="125"/>
      <c r="BG334" s="125"/>
      <c r="BH334" s="125"/>
      <c r="BI334" s="125"/>
      <c r="BJ334" s="125"/>
      <c r="BK334" s="125"/>
      <c r="BL334" s="125"/>
      <c r="BM334" s="124"/>
      <c r="BN334" s="124"/>
      <c r="BO334" s="124"/>
      <c r="BP334" s="124"/>
      <c r="BQ334" s="124"/>
      <c r="BR334" s="124"/>
      <c r="BS334" s="124"/>
      <c r="BT334" s="124"/>
      <c r="BU334" s="124"/>
      <c r="BV334" s="124"/>
      <c r="BW334" s="124"/>
      <c r="BX334" s="124"/>
      <c r="BY334" s="124"/>
      <c r="BZ334" s="124"/>
      <c r="CA334" s="124"/>
      <c r="CB334" s="124"/>
      <c r="CC334" s="124"/>
      <c r="CD334" s="124"/>
      <c r="CE334" s="124"/>
      <c r="CF334" s="124"/>
      <c r="CG334" s="124"/>
      <c r="CH334" s="124"/>
      <c r="CI334" s="124"/>
    </row>
    <row r="335" spans="1:87" s="283" customFormat="1">
      <c r="A335" s="262"/>
      <c r="B335" s="262"/>
      <c r="C335" s="262"/>
      <c r="M335" s="283">
        <v>36</v>
      </c>
      <c r="Q335" s="295"/>
      <c r="R335" s="295"/>
      <c r="S335" s="295"/>
      <c r="T335" s="295"/>
      <c r="U335" s="295"/>
      <c r="V335" s="295"/>
      <c r="W335" s="295"/>
      <c r="X335" s="295"/>
      <c r="Y335" s="295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L335" s="136"/>
      <c r="AM335" s="136"/>
      <c r="AN335" s="136"/>
      <c r="AO335" s="136"/>
      <c r="AP335" s="136"/>
      <c r="AQ335" s="136"/>
      <c r="AR335" s="136"/>
      <c r="AS335" s="136"/>
      <c r="AT335" s="136"/>
      <c r="AU335" s="136"/>
      <c r="AV335" s="136"/>
      <c r="AW335" s="136"/>
      <c r="AX335" s="125"/>
      <c r="AY335" s="125"/>
      <c r="AZ335" s="125"/>
      <c r="BA335" s="125"/>
      <c r="BB335" s="125"/>
      <c r="BC335" s="125"/>
      <c r="BD335" s="125"/>
      <c r="BE335" s="125"/>
      <c r="BF335" s="125"/>
      <c r="BG335" s="125"/>
      <c r="BH335" s="125"/>
      <c r="BI335" s="125"/>
      <c r="BJ335" s="125"/>
      <c r="BK335" s="125"/>
      <c r="BL335" s="125"/>
      <c r="BM335" s="124"/>
      <c r="BN335" s="124"/>
      <c r="BO335" s="124"/>
      <c r="BP335" s="124"/>
      <c r="BQ335" s="124"/>
      <c r="BR335" s="124"/>
      <c r="BS335" s="124"/>
      <c r="BT335" s="124"/>
      <c r="BU335" s="124"/>
      <c r="BV335" s="124"/>
      <c r="BW335" s="124"/>
      <c r="BX335" s="124"/>
      <c r="BY335" s="124"/>
      <c r="BZ335" s="124"/>
      <c r="CA335" s="124"/>
      <c r="CB335" s="124"/>
      <c r="CC335" s="124"/>
      <c r="CD335" s="124"/>
      <c r="CE335" s="124"/>
      <c r="CF335" s="124"/>
      <c r="CG335" s="124"/>
      <c r="CH335" s="124"/>
      <c r="CI335" s="124"/>
    </row>
    <row r="336" spans="1:87" s="283" customFormat="1">
      <c r="A336" s="262"/>
      <c r="B336" s="262"/>
      <c r="C336" s="262"/>
      <c r="M336" s="283">
        <v>37</v>
      </c>
      <c r="Q336" s="295"/>
      <c r="R336" s="295"/>
      <c r="S336" s="295"/>
      <c r="T336" s="295"/>
      <c r="U336" s="295"/>
      <c r="V336" s="295"/>
      <c r="W336" s="295"/>
      <c r="X336" s="295"/>
      <c r="Y336" s="295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L336" s="136"/>
      <c r="AM336" s="136"/>
      <c r="AN336" s="136"/>
      <c r="AO336" s="136"/>
      <c r="AP336" s="136"/>
      <c r="AQ336" s="136"/>
      <c r="AR336" s="136"/>
      <c r="AS336" s="136"/>
      <c r="AT336" s="136"/>
      <c r="AU336" s="136"/>
      <c r="AV336" s="136"/>
      <c r="AW336" s="136"/>
      <c r="AX336" s="125"/>
      <c r="AY336" s="125"/>
      <c r="AZ336" s="125"/>
      <c r="BA336" s="125"/>
      <c r="BB336" s="125"/>
      <c r="BC336" s="125"/>
      <c r="BD336" s="125"/>
      <c r="BE336" s="125"/>
      <c r="BF336" s="125"/>
      <c r="BG336" s="125"/>
      <c r="BH336" s="125"/>
      <c r="BI336" s="125"/>
      <c r="BJ336" s="125"/>
      <c r="BK336" s="125"/>
      <c r="BL336" s="125"/>
      <c r="BM336" s="124"/>
      <c r="BN336" s="124"/>
      <c r="BO336" s="124"/>
      <c r="BP336" s="124"/>
      <c r="BQ336" s="124"/>
      <c r="BR336" s="124"/>
      <c r="BS336" s="124"/>
      <c r="BT336" s="124"/>
      <c r="BU336" s="124"/>
      <c r="BV336" s="124"/>
      <c r="BW336" s="124"/>
      <c r="BX336" s="124"/>
      <c r="BY336" s="124"/>
      <c r="BZ336" s="124"/>
      <c r="CA336" s="124"/>
      <c r="CB336" s="124"/>
      <c r="CC336" s="124"/>
      <c r="CD336" s="124"/>
      <c r="CE336" s="124"/>
      <c r="CF336" s="124"/>
      <c r="CG336" s="124"/>
      <c r="CH336" s="124"/>
      <c r="CI336" s="124"/>
    </row>
  </sheetData>
  <mergeCells count="28">
    <mergeCell ref="A132:C132"/>
    <mergeCell ref="A134:C134"/>
    <mergeCell ref="B16:C16"/>
    <mergeCell ref="A7:C9"/>
    <mergeCell ref="B30:C30"/>
    <mergeCell ref="B32:D32"/>
    <mergeCell ref="B107:C107"/>
    <mergeCell ref="A10:C10"/>
    <mergeCell ref="A11:C11"/>
    <mergeCell ref="B12:C12"/>
    <mergeCell ref="B14:C14"/>
    <mergeCell ref="B15:C15"/>
    <mergeCell ref="P7:P9"/>
    <mergeCell ref="AY7:AY9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D7:O7"/>
    <mergeCell ref="D8:O8"/>
    <mergeCell ref="B23:C23"/>
    <mergeCell ref="B24:C24"/>
    <mergeCell ref="B25:C25"/>
  </mergeCells>
  <printOptions horizontalCentered="1" verticalCentered="1"/>
  <pageMargins left="0.23622047244094491" right="0.23622047244094491" top="0.19685039370078741" bottom="0.15748031496062992" header="0.31496062992125984" footer="0.31496062992125984"/>
  <pageSetup paperSize="5" scale="7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CI335"/>
  <sheetViews>
    <sheetView workbookViewId="0">
      <pane xSplit="3" ySplit="8" topLeftCell="H9" activePane="bottomRight" state="frozen"/>
      <selection pane="topRight" activeCell="D1" sqref="D1"/>
      <selection pane="bottomLeft" activeCell="A4" sqref="A4"/>
      <selection pane="bottomRight" activeCell="A29" sqref="A9:XFD29"/>
    </sheetView>
  </sheetViews>
  <sheetFormatPr defaultRowHeight="15.75"/>
  <cols>
    <col min="1" max="1" width="2" style="262" customWidth="1"/>
    <col min="2" max="2" width="5.7109375" style="262" customWidth="1"/>
    <col min="3" max="3" width="38.140625" style="262" customWidth="1"/>
    <col min="4" max="15" width="15.7109375" style="283" customWidth="1"/>
    <col min="16" max="16" width="16.7109375" style="283" customWidth="1"/>
    <col min="17" max="25" width="15.140625" style="295" customWidth="1"/>
    <col min="26" max="49" width="15.140625" style="136" customWidth="1"/>
    <col min="50" max="64" width="15" style="125" customWidth="1"/>
    <col min="65" max="65" width="9.85546875" style="124" customWidth="1"/>
    <col min="66" max="66" width="12.5703125" style="124" bestFit="1" customWidth="1"/>
    <col min="67" max="87" width="9.140625" style="124"/>
  </cols>
  <sheetData>
    <row r="1" spans="1:87">
      <c r="A1" s="237" t="s">
        <v>537</v>
      </c>
      <c r="B1" s="341"/>
      <c r="C1" s="342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95"/>
      <c r="O1" s="295"/>
      <c r="P1" s="295"/>
      <c r="AX1" s="125">
        <f>+O105+'CF 2017'!P105+'CF 2018'!P101+'CF 2019'!P100</f>
        <v>487281368</v>
      </c>
    </row>
    <row r="2" spans="1:87">
      <c r="A2" s="341" t="s">
        <v>226</v>
      </c>
      <c r="B2" s="341"/>
      <c r="C2" s="342"/>
      <c r="D2" s="227"/>
      <c r="E2" s="227"/>
      <c r="F2" s="227"/>
      <c r="G2" s="343"/>
      <c r="H2" s="343"/>
      <c r="I2" s="343">
        <v>2139828425</v>
      </c>
      <c r="J2" s="227"/>
      <c r="K2" s="227"/>
      <c r="L2" s="227"/>
      <c r="M2" s="227"/>
      <c r="N2" s="295"/>
      <c r="O2" s="295"/>
      <c r="P2" s="295"/>
    </row>
    <row r="3" spans="1:87">
      <c r="A3" s="341" t="s">
        <v>227</v>
      </c>
      <c r="B3" s="341"/>
      <c r="C3" s="342"/>
      <c r="D3" s="330"/>
      <c r="E3" s="330"/>
      <c r="F3" s="330"/>
      <c r="G3" s="344"/>
      <c r="H3" s="343">
        <v>339448122</v>
      </c>
      <c r="I3" s="343"/>
      <c r="J3" s="227"/>
      <c r="K3" s="227"/>
      <c r="L3" s="227"/>
      <c r="M3" s="227"/>
      <c r="N3" s="295"/>
      <c r="O3" s="295"/>
      <c r="P3" s="295"/>
      <c r="AY3" s="125">
        <v>339448122</v>
      </c>
    </row>
    <row r="4" spans="1:87">
      <c r="A4" s="342"/>
      <c r="B4" s="342"/>
      <c r="C4" s="342"/>
      <c r="D4" s="227"/>
      <c r="E4" s="227"/>
      <c r="F4" s="227"/>
      <c r="G4" s="343"/>
      <c r="H4" s="343"/>
      <c r="I4" s="343">
        <f>H3/3</f>
        <v>113149374</v>
      </c>
      <c r="J4" s="227"/>
      <c r="K4" s="227"/>
      <c r="L4" s="227"/>
      <c r="M4" s="227"/>
      <c r="N4" s="295"/>
      <c r="O4" s="295"/>
      <c r="P4" s="295"/>
      <c r="AY4" s="125">
        <f>AY3-I4</f>
        <v>226298748</v>
      </c>
    </row>
    <row r="5" spans="1:87">
      <c r="A5" s="342"/>
      <c r="B5" s="342"/>
      <c r="C5" s="342"/>
      <c r="D5" s="227"/>
      <c r="E5" s="227"/>
      <c r="F5" s="227"/>
      <c r="G5" s="227"/>
      <c r="H5" s="227"/>
      <c r="I5" s="227"/>
      <c r="J5" s="227"/>
      <c r="K5" s="227"/>
      <c r="L5" s="227"/>
      <c r="M5" s="292"/>
      <c r="N5" s="295"/>
      <c r="O5" s="295"/>
      <c r="P5" s="295"/>
    </row>
    <row r="6" spans="1:87">
      <c r="A6" s="543" t="s">
        <v>1</v>
      </c>
      <c r="B6" s="544"/>
      <c r="C6" s="544"/>
      <c r="D6" s="355"/>
      <c r="E6" s="352"/>
      <c r="F6" s="352"/>
      <c r="G6" s="352"/>
      <c r="H6" s="353"/>
      <c r="I6" s="559" t="s">
        <v>3</v>
      </c>
      <c r="J6" s="565"/>
      <c r="K6" s="565"/>
      <c r="L6" s="565"/>
      <c r="M6" s="566"/>
      <c r="N6" s="352"/>
      <c r="O6" s="353"/>
      <c r="P6" s="556" t="s">
        <v>235</v>
      </c>
      <c r="Q6" s="328"/>
      <c r="R6" s="328"/>
      <c r="S6" s="328"/>
      <c r="T6" s="328"/>
      <c r="U6" s="328"/>
      <c r="V6" s="328"/>
      <c r="W6" s="328"/>
      <c r="X6" s="328"/>
      <c r="Y6" s="328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78"/>
      <c r="AY6" s="558" t="s">
        <v>235</v>
      </c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</row>
    <row r="7" spans="1:87">
      <c r="A7" s="545"/>
      <c r="B7" s="546"/>
      <c r="C7" s="546"/>
      <c r="D7" s="562" t="s">
        <v>125</v>
      </c>
      <c r="E7" s="563"/>
      <c r="F7" s="563"/>
      <c r="G7" s="563"/>
      <c r="H7" s="564"/>
      <c r="I7" s="562" t="s">
        <v>125</v>
      </c>
      <c r="J7" s="564"/>
      <c r="K7" s="567" t="s">
        <v>126</v>
      </c>
      <c r="L7" s="568"/>
      <c r="M7" s="569"/>
      <c r="N7" s="336"/>
      <c r="O7" s="336"/>
      <c r="P7" s="557"/>
      <c r="Q7" s="328"/>
      <c r="R7" s="328"/>
      <c r="S7" s="328"/>
      <c r="T7" s="328"/>
      <c r="U7" s="328"/>
      <c r="V7" s="328"/>
      <c r="W7" s="328"/>
      <c r="X7" s="328"/>
      <c r="Y7" s="328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79"/>
      <c r="AY7" s="558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</row>
    <row r="8" spans="1:87">
      <c r="A8" s="545"/>
      <c r="B8" s="546"/>
      <c r="C8" s="546"/>
      <c r="D8" s="241" t="s">
        <v>4</v>
      </c>
      <c r="E8" s="241" t="s">
        <v>5</v>
      </c>
      <c r="F8" s="241" t="s">
        <v>6</v>
      </c>
      <c r="G8" s="241" t="s">
        <v>7</v>
      </c>
      <c r="H8" s="241" t="s">
        <v>8</v>
      </c>
      <c r="I8" s="241" t="s">
        <v>9</v>
      </c>
      <c r="J8" s="241" t="s">
        <v>127</v>
      </c>
      <c r="K8" s="241" t="s">
        <v>129</v>
      </c>
      <c r="L8" s="337" t="s">
        <v>142</v>
      </c>
      <c r="M8" s="241" t="s">
        <v>131</v>
      </c>
      <c r="N8" s="337" t="s">
        <v>132</v>
      </c>
      <c r="O8" s="337" t="s">
        <v>133</v>
      </c>
      <c r="P8" s="557"/>
      <c r="Q8" s="328"/>
      <c r="R8" s="328"/>
      <c r="S8" s="328"/>
      <c r="T8" s="328"/>
      <c r="U8" s="328"/>
      <c r="V8" s="328"/>
      <c r="W8" s="328"/>
      <c r="X8" s="328"/>
      <c r="Y8" s="328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80"/>
      <c r="AY8" s="558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87">
      <c r="A9" s="545" t="s">
        <v>236</v>
      </c>
      <c r="B9" s="546"/>
      <c r="C9" s="546"/>
      <c r="D9" s="241"/>
      <c r="E9" s="241">
        <f>E10-D10</f>
        <v>5.0300000000000011</v>
      </c>
      <c r="F9" s="241">
        <f t="shared" ref="F9:J9" si="0">F10-E10</f>
        <v>3.8399999999999892</v>
      </c>
      <c r="G9" s="241">
        <f t="shared" si="0"/>
        <v>-1.0599999999999881</v>
      </c>
      <c r="H9" s="241">
        <f t="shared" si="0"/>
        <v>-3.1400000000000006</v>
      </c>
      <c r="I9" s="337">
        <f t="shared" si="0"/>
        <v>-10.969999999999999</v>
      </c>
      <c r="J9" s="241">
        <f t="shared" si="0"/>
        <v>1.6699999999999875</v>
      </c>
      <c r="K9" s="239">
        <v>0.04</v>
      </c>
      <c r="L9" s="239">
        <v>0.02</v>
      </c>
      <c r="M9" s="335">
        <f>M10-L10</f>
        <v>2</v>
      </c>
      <c r="N9" s="338">
        <f>N10-M10</f>
        <v>0</v>
      </c>
      <c r="O9" s="239">
        <f t="shared" ref="O9" si="1">O10-N10</f>
        <v>0</v>
      </c>
      <c r="P9" s="329"/>
      <c r="Q9" s="330"/>
      <c r="R9" s="330"/>
      <c r="S9" s="330"/>
      <c r="T9" s="330"/>
      <c r="U9" s="330"/>
      <c r="V9" s="330"/>
      <c r="W9" s="330"/>
      <c r="X9" s="330"/>
      <c r="Y9" s="330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21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87">
      <c r="A10" s="547" t="s">
        <v>134</v>
      </c>
      <c r="B10" s="548"/>
      <c r="C10" s="548"/>
      <c r="D10" s="253">
        <v>80.59</v>
      </c>
      <c r="E10" s="253">
        <v>85.62</v>
      </c>
      <c r="F10" s="253">
        <v>89.46</v>
      </c>
      <c r="G10" s="253">
        <v>88.4</v>
      </c>
      <c r="H10" s="253">
        <v>85.26</v>
      </c>
      <c r="I10" s="354">
        <v>74.290000000000006</v>
      </c>
      <c r="J10" s="253">
        <v>75.959999999999994</v>
      </c>
      <c r="K10" s="241">
        <v>84</v>
      </c>
      <c r="L10" s="241">
        <v>84</v>
      </c>
      <c r="M10" s="241">
        <v>86</v>
      </c>
      <c r="N10" s="337">
        <v>86</v>
      </c>
      <c r="O10" s="241">
        <v>86</v>
      </c>
      <c r="P10" s="331">
        <f>SUM(D10:O10)/12</f>
        <v>83.798333333333332</v>
      </c>
      <c r="Q10" s="227"/>
      <c r="R10" s="227"/>
      <c r="S10" s="227"/>
      <c r="T10" s="227"/>
      <c r="U10" s="227"/>
      <c r="V10" s="227"/>
      <c r="W10" s="227"/>
      <c r="X10" s="227"/>
      <c r="Y10" s="227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87">
      <c r="A11" s="243" t="s">
        <v>10</v>
      </c>
      <c r="B11" s="541" t="s">
        <v>11</v>
      </c>
      <c r="C11" s="541"/>
      <c r="D11" s="241">
        <v>509102793.48072398</v>
      </c>
      <c r="E11" s="241">
        <f>D133</f>
        <v>2295156009.4807243</v>
      </c>
      <c r="F11" s="241">
        <f t="shared" ref="F11:H11" si="2">E133</f>
        <v>989117143.42072487</v>
      </c>
      <c r="G11" s="241">
        <f t="shared" si="2"/>
        <v>852499989.90072536</v>
      </c>
      <c r="H11" s="241">
        <f t="shared" si="2"/>
        <v>1021078314.5707259</v>
      </c>
      <c r="I11" s="337">
        <f t="shared" ref="I11" si="3">H133</f>
        <v>1052833937.2507267</v>
      </c>
      <c r="J11" s="241">
        <f t="shared" ref="J11" si="4">I133</f>
        <v>558040010.34072685</v>
      </c>
      <c r="K11" s="241">
        <f t="shared" ref="K11" si="5">J133</f>
        <v>703371846.34072685</v>
      </c>
      <c r="L11" s="241">
        <f t="shared" ref="L11" si="6">K133</f>
        <v>494023502.40032673</v>
      </c>
      <c r="M11" s="241">
        <f t="shared" ref="M11" si="7">L133</f>
        <v>1254418576.6793394</v>
      </c>
      <c r="N11" s="337">
        <f t="shared" ref="N11" si="8">M133</f>
        <v>1382442602.2761555</v>
      </c>
      <c r="O11" s="241">
        <f t="shared" ref="O11" si="9">N133</f>
        <v>2359253736.1188927</v>
      </c>
      <c r="P11" s="331"/>
      <c r="Q11" s="227"/>
      <c r="R11" s="227"/>
      <c r="S11" s="227"/>
      <c r="T11" s="227"/>
      <c r="U11" s="227"/>
      <c r="V11" s="227"/>
      <c r="W11" s="227"/>
      <c r="X11" s="227"/>
      <c r="Y11" s="227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</row>
    <row r="12" spans="1:87">
      <c r="A12" s="243"/>
      <c r="B12" s="244"/>
      <c r="C12" s="244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337"/>
      <c r="O12" s="241"/>
      <c r="P12" s="331"/>
      <c r="Q12" s="227"/>
      <c r="R12" s="227"/>
      <c r="S12" s="227"/>
      <c r="T12" s="227"/>
      <c r="U12" s="227"/>
      <c r="V12" s="227"/>
      <c r="W12" s="227"/>
      <c r="X12" s="227"/>
      <c r="Y12" s="227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87">
      <c r="A13" s="243" t="s">
        <v>12</v>
      </c>
      <c r="B13" s="541" t="s">
        <v>159</v>
      </c>
      <c r="C13" s="5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337"/>
      <c r="O13" s="241"/>
      <c r="P13" s="331"/>
      <c r="Q13" s="227"/>
      <c r="R13" s="227"/>
      <c r="S13" s="227"/>
      <c r="T13" s="227"/>
      <c r="U13" s="227"/>
      <c r="V13" s="227"/>
      <c r="W13" s="227"/>
      <c r="X13" s="227"/>
      <c r="Y13" s="227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</row>
    <row r="14" spans="1:87">
      <c r="A14" s="243"/>
      <c r="B14" s="542" t="s">
        <v>13</v>
      </c>
      <c r="C14" s="542"/>
      <c r="D14" s="241">
        <v>1226236460</v>
      </c>
      <c r="E14" s="241">
        <v>1245072187</v>
      </c>
      <c r="F14" s="241">
        <v>1490172832</v>
      </c>
      <c r="G14" s="241">
        <v>1448111058</v>
      </c>
      <c r="H14" s="241">
        <v>1373836626.6800001</v>
      </c>
      <c r="I14" s="241">
        <f>1268597408-113149374-50000000</f>
        <v>1105448034</v>
      </c>
      <c r="J14" s="241">
        <f>'[2]JULI (2)'!$D$29-'[2]JULI (2)'!$E$818</f>
        <v>1117171061</v>
      </c>
      <c r="K14" s="241">
        <f>J14+(K9*J14%)</f>
        <v>1117617929.4244001</v>
      </c>
      <c r="L14" s="241">
        <f>K14+(L9*K14%)</f>
        <v>1117841453.0102849</v>
      </c>
      <c r="M14" s="241">
        <f t="shared" ref="M14:O14" si="10">L14+(M9*L14%)</f>
        <v>1140198282.0704906</v>
      </c>
      <c r="N14" s="337">
        <f t="shared" si="10"/>
        <v>1140198282.0704906</v>
      </c>
      <c r="O14" s="241">
        <f t="shared" si="10"/>
        <v>1140198282.0704906</v>
      </c>
      <c r="P14" s="331">
        <f>SUM(D14:O14)</f>
        <v>14662102487.326155</v>
      </c>
      <c r="Q14" s="227"/>
      <c r="R14" s="227"/>
      <c r="S14" s="227"/>
      <c r="T14" s="227"/>
      <c r="U14" s="227"/>
      <c r="V14" s="227"/>
      <c r="W14" s="227"/>
      <c r="X14" s="227"/>
      <c r="Y14" s="227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87">
      <c r="A15" s="243"/>
      <c r="B15" s="542" t="s">
        <v>14</v>
      </c>
      <c r="C15" s="542"/>
      <c r="D15" s="241">
        <v>271454599</v>
      </c>
      <c r="E15" s="241">
        <v>325014189</v>
      </c>
      <c r="F15" s="241">
        <v>386263938</v>
      </c>
      <c r="G15" s="241">
        <v>348048968</v>
      </c>
      <c r="H15" s="241">
        <v>305974766</v>
      </c>
      <c r="I15" s="241">
        <v>308201859</v>
      </c>
      <c r="J15" s="241">
        <v>305606319</v>
      </c>
      <c r="K15" s="241">
        <f>J15+(K9*J15%)</f>
        <v>305728561.52759999</v>
      </c>
      <c r="L15" s="241">
        <f>K15+(L9*K15%)</f>
        <v>305789707.23990554</v>
      </c>
      <c r="M15" s="241">
        <f t="shared" ref="M15:O15" si="11">L15+(M9*L15%)</f>
        <v>311905501.38470364</v>
      </c>
      <c r="N15" s="337">
        <f t="shared" si="11"/>
        <v>311905501.38470364</v>
      </c>
      <c r="O15" s="241">
        <f t="shared" si="11"/>
        <v>311905501.38470364</v>
      </c>
      <c r="P15" s="331">
        <f t="shared" ref="P15:P80" si="12">SUM(D15:O15)</f>
        <v>3797799410.9216161</v>
      </c>
      <c r="Q15" s="227"/>
      <c r="R15" s="227"/>
      <c r="S15" s="227"/>
      <c r="T15" s="227"/>
      <c r="U15" s="227"/>
      <c r="V15" s="227"/>
      <c r="W15" s="227"/>
      <c r="X15" s="227"/>
      <c r="Y15" s="227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87" s="182" customFormat="1">
      <c r="A16" s="243"/>
      <c r="B16" s="542" t="str">
        <f>+'CF 2017'!B16:C16</f>
        <v>Pendapatan Alat Jantung</v>
      </c>
      <c r="C16" s="542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337">
        <f>10*4000000</f>
        <v>40000000</v>
      </c>
      <c r="O16" s="241">
        <f>N16</f>
        <v>40000000</v>
      </c>
      <c r="P16" s="331">
        <f t="shared" si="12"/>
        <v>80000000</v>
      </c>
      <c r="Q16" s="227"/>
      <c r="R16" s="227"/>
      <c r="S16" s="227"/>
      <c r="T16" s="227"/>
      <c r="U16" s="227"/>
      <c r="V16" s="227"/>
      <c r="W16" s="227"/>
      <c r="X16" s="227"/>
      <c r="Y16" s="227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  <c r="BW16" s="124"/>
      <c r="BX16" s="124"/>
      <c r="BY16" s="124"/>
      <c r="BZ16" s="124"/>
      <c r="CA16" s="124"/>
      <c r="CB16" s="124"/>
      <c r="CC16" s="124"/>
      <c r="CD16" s="124"/>
      <c r="CE16" s="124"/>
      <c r="CF16" s="124"/>
      <c r="CG16" s="124"/>
      <c r="CH16" s="124"/>
      <c r="CI16" s="124"/>
    </row>
    <row r="17" spans="1:64">
      <c r="A17" s="243"/>
      <c r="B17" s="542" t="s">
        <v>233</v>
      </c>
      <c r="C17" s="542"/>
      <c r="D17" s="241">
        <f>1763628016+1684695696</f>
        <v>3448323712</v>
      </c>
      <c r="E17" s="241"/>
      <c r="F17" s="241">
        <f>'[3]MARET (2)'!$E$33</f>
        <v>1810047921</v>
      </c>
      <c r="G17" s="241">
        <f>'[3]APRIL (2)'!$E$24</f>
        <v>1894759925</v>
      </c>
      <c r="H17" s="241">
        <f>'[3]MEI (3)'!$E$19</f>
        <v>2143179750</v>
      </c>
      <c r="I17" s="241">
        <f>'[3]JUNI (2)'!$E$26</f>
        <v>2253989465</v>
      </c>
      <c r="J17" s="241">
        <f>'[3]JULI (2)'!$E$23</f>
        <v>2304494700</v>
      </c>
      <c r="K17" s="241">
        <f>+[3]AGUSTUS!$E$28</f>
        <v>2139828425</v>
      </c>
      <c r="L17" s="241">
        <f>+'[4]2016'!$B$14</f>
        <v>2279816696</v>
      </c>
      <c r="M17" s="241">
        <f>+K211</f>
        <v>2305416497.8800001</v>
      </c>
      <c r="N17" s="337">
        <f t="shared" ref="N17:O17" si="13">+L211</f>
        <v>2305877581.1795759</v>
      </c>
      <c r="O17" s="241">
        <f t="shared" si="13"/>
        <v>2328936356.9913716</v>
      </c>
      <c r="P17" s="331">
        <f t="shared" si="12"/>
        <v>25214671030.050949</v>
      </c>
      <c r="Q17" s="227"/>
      <c r="R17" s="227"/>
      <c r="S17" s="227"/>
      <c r="T17" s="227"/>
      <c r="U17" s="227"/>
      <c r="V17" s="227"/>
      <c r="W17" s="227"/>
      <c r="X17" s="227"/>
      <c r="Y17" s="227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 s="124" customFormat="1">
      <c r="A18" s="243"/>
      <c r="B18" s="542" t="s">
        <v>234</v>
      </c>
      <c r="C18" s="542"/>
      <c r="D18" s="241">
        <f>4016106360.15-D17</f>
        <v>567782648.1500001</v>
      </c>
      <c r="E18" s="241">
        <v>403859135.04000002</v>
      </c>
      <c r="F18" s="241">
        <f>2132298920.05-F17</f>
        <v>322250999.04999995</v>
      </c>
      <c r="G18" s="241">
        <f>2182686860.23-G17</f>
        <v>287926935.23000002</v>
      </c>
      <c r="H18" s="241">
        <f>2497629488-H17</f>
        <v>354449738</v>
      </c>
      <c r="I18" s="241">
        <f>2759703062-I17-165370828</f>
        <v>340342769</v>
      </c>
      <c r="J18" s="241">
        <f>2856362126-J17</f>
        <v>551867426</v>
      </c>
      <c r="K18" s="241">
        <f>I18+(K9*I18%)</f>
        <v>340478906.10759997</v>
      </c>
      <c r="L18" s="241">
        <f>K18+(L9*K18%)</f>
        <v>340547001.88882148</v>
      </c>
      <c r="M18" s="241">
        <f>+L212</f>
        <v>340547001.88882148</v>
      </c>
      <c r="N18" s="337">
        <f t="shared" ref="N18:O18" si="14">+M212</f>
        <v>343952471.90770972</v>
      </c>
      <c r="O18" s="241">
        <f t="shared" si="14"/>
        <v>347391996.62678683</v>
      </c>
      <c r="P18" s="331">
        <f t="shared" si="12"/>
        <v>4541397028.88974</v>
      </c>
      <c r="Q18" s="227"/>
      <c r="R18" s="227"/>
      <c r="S18" s="227"/>
      <c r="T18" s="227"/>
      <c r="U18" s="227"/>
      <c r="V18" s="227"/>
      <c r="W18" s="227"/>
      <c r="X18" s="227"/>
      <c r="Y18" s="227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 s="124" customFormat="1">
      <c r="A19" s="243"/>
      <c r="B19" s="542" t="s">
        <v>299</v>
      </c>
      <c r="C19" s="542"/>
      <c r="D19" s="241"/>
      <c r="E19" s="241"/>
      <c r="F19" s="241"/>
      <c r="G19" s="241"/>
      <c r="H19" s="241"/>
      <c r="I19" s="241"/>
      <c r="J19" s="241"/>
      <c r="K19" s="241"/>
      <c r="L19" s="241">
        <v>1000000000</v>
      </c>
      <c r="M19" s="241">
        <v>3000000000</v>
      </c>
      <c r="N19" s="337">
        <v>4000000000</v>
      </c>
      <c r="O19" s="241"/>
      <c r="P19" s="331">
        <f t="shared" si="12"/>
        <v>8000000000</v>
      </c>
      <c r="Q19" s="227"/>
      <c r="R19" s="227"/>
      <c r="S19" s="227"/>
      <c r="T19" s="227"/>
      <c r="U19" s="227"/>
      <c r="V19" s="227"/>
      <c r="W19" s="227"/>
      <c r="X19" s="227"/>
      <c r="Y19" s="227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80"/>
      <c r="AY19" s="80">
        <v>8000000000</v>
      </c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 s="124" customFormat="1" ht="15.75" customHeight="1">
      <c r="A20" s="243"/>
      <c r="B20" s="542" t="s">
        <v>15</v>
      </c>
      <c r="C20" s="542"/>
      <c r="D20" s="241"/>
      <c r="E20" s="241"/>
      <c r="F20" s="241"/>
      <c r="G20" s="241">
        <v>10000000</v>
      </c>
      <c r="H20" s="241"/>
      <c r="I20" s="241"/>
      <c r="J20" s="241"/>
      <c r="K20" s="241"/>
      <c r="L20" s="241"/>
      <c r="M20" s="241"/>
      <c r="N20" s="337"/>
      <c r="O20" s="241"/>
      <c r="P20" s="331">
        <f t="shared" si="12"/>
        <v>10000000</v>
      </c>
      <c r="Q20" s="227"/>
      <c r="R20" s="227"/>
      <c r="S20" s="227"/>
      <c r="T20" s="227"/>
      <c r="U20" s="227"/>
      <c r="V20" s="227"/>
      <c r="W20" s="227"/>
      <c r="X20" s="227"/>
      <c r="Y20" s="227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 s="124" customFormat="1">
      <c r="A21" s="243"/>
      <c r="B21" s="542" t="s">
        <v>555</v>
      </c>
      <c r="C21" s="542"/>
      <c r="D21" s="241"/>
      <c r="E21" s="241"/>
      <c r="F21" s="241"/>
      <c r="G21" s="241"/>
      <c r="H21" s="241">
        <v>20250000</v>
      </c>
      <c r="I21" s="241"/>
      <c r="J21" s="241"/>
      <c r="K21" s="241"/>
      <c r="L21" s="241"/>
      <c r="M21" s="241"/>
      <c r="N21" s="337"/>
      <c r="O21" s="241"/>
      <c r="P21" s="331">
        <f t="shared" si="12"/>
        <v>20250000</v>
      </c>
      <c r="Q21" s="227"/>
      <c r="R21" s="227"/>
      <c r="S21" s="227"/>
      <c r="T21" s="227"/>
      <c r="U21" s="227"/>
      <c r="V21" s="227"/>
      <c r="W21" s="227"/>
      <c r="X21" s="227"/>
      <c r="Y21" s="227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 s="124" customFormat="1">
      <c r="A22" s="243"/>
      <c r="B22" s="542" t="s">
        <v>300</v>
      </c>
      <c r="C22" s="542"/>
      <c r="D22" s="241">
        <v>25313806</v>
      </c>
      <c r="E22" s="241"/>
      <c r="F22" s="241">
        <v>8335066</v>
      </c>
      <c r="G22" s="241"/>
      <c r="H22" s="241"/>
      <c r="I22" s="241">
        <v>35674833</v>
      </c>
      <c r="J22" s="241"/>
      <c r="K22" s="241"/>
      <c r="L22" s="241"/>
      <c r="M22" s="241"/>
      <c r="N22" s="337"/>
      <c r="O22" s="241"/>
      <c r="P22" s="331">
        <f t="shared" si="12"/>
        <v>69323705</v>
      </c>
      <c r="Q22" s="227"/>
      <c r="R22" s="227"/>
      <c r="S22" s="227"/>
      <c r="T22" s="227"/>
      <c r="U22" s="227"/>
      <c r="V22" s="227"/>
      <c r="W22" s="227"/>
      <c r="X22" s="227"/>
      <c r="Y22" s="227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 s="124" customFormat="1">
      <c r="A23" s="243"/>
      <c r="B23" s="542" t="s">
        <v>17</v>
      </c>
      <c r="C23" s="542"/>
      <c r="D23" s="241"/>
      <c r="E23" s="241"/>
      <c r="F23" s="241"/>
      <c r="G23" s="241"/>
      <c r="H23" s="241"/>
      <c r="I23" s="241">
        <v>5000000</v>
      </c>
      <c r="J23" s="241">
        <v>12000000</v>
      </c>
      <c r="K23" s="241"/>
      <c r="L23" s="241"/>
      <c r="M23" s="241"/>
      <c r="N23" s="337"/>
      <c r="O23" s="241"/>
      <c r="P23" s="331">
        <f t="shared" si="12"/>
        <v>17000000</v>
      </c>
      <c r="Q23" s="227"/>
      <c r="R23" s="227"/>
      <c r="S23" s="227"/>
      <c r="T23" s="227"/>
      <c r="U23" s="227"/>
      <c r="V23" s="227"/>
      <c r="W23" s="227"/>
      <c r="X23" s="227"/>
      <c r="Y23" s="227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 s="124" customFormat="1">
      <c r="A24" s="243"/>
      <c r="B24" s="542" t="s">
        <v>18</v>
      </c>
      <c r="C24" s="542"/>
      <c r="D24" s="241">
        <v>26000000</v>
      </c>
      <c r="E24" s="241"/>
      <c r="F24" s="241">
        <v>12000000</v>
      </c>
      <c r="G24" s="241"/>
      <c r="H24" s="241"/>
      <c r="I24" s="241"/>
      <c r="J24" s="241"/>
      <c r="K24" s="241"/>
      <c r="L24" s="241"/>
      <c r="M24" s="241"/>
      <c r="N24" s="337"/>
      <c r="O24" s="241"/>
      <c r="P24" s="331">
        <f t="shared" si="12"/>
        <v>38000000</v>
      </c>
      <c r="Q24" s="227"/>
      <c r="R24" s="227"/>
      <c r="S24" s="227"/>
      <c r="T24" s="227"/>
      <c r="U24" s="227"/>
      <c r="V24" s="227"/>
      <c r="W24" s="227"/>
      <c r="X24" s="227"/>
      <c r="Y24" s="227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 s="124" customFormat="1">
      <c r="A25" s="243"/>
      <c r="B25" s="542" t="s">
        <v>219</v>
      </c>
      <c r="C25" s="542"/>
      <c r="D25" s="241">
        <v>119817100</v>
      </c>
      <c r="E25" s="241">
        <v>113985608</v>
      </c>
      <c r="F25" s="241">
        <v>131553548</v>
      </c>
      <c r="G25" s="241">
        <v>221390411</v>
      </c>
      <c r="H25" s="241">
        <v>272052525</v>
      </c>
      <c r="I25" s="241">
        <v>287442928</v>
      </c>
      <c r="J25" s="241">
        <v>291178944</v>
      </c>
      <c r="K25" s="241">
        <v>242296141</v>
      </c>
      <c r="L25" s="241">
        <f>K25+(K25*K9)</f>
        <v>251987986.63999999</v>
      </c>
      <c r="M25" s="241">
        <f>L25+(L25*L9)</f>
        <v>257027746.37279999</v>
      </c>
      <c r="N25" s="337">
        <f>M25+(M25*M9%)</f>
        <v>262168301.30025598</v>
      </c>
      <c r="O25" s="241">
        <f>N25+(N25*N9%)</f>
        <v>262168301.30025598</v>
      </c>
      <c r="P25" s="331">
        <f t="shared" si="12"/>
        <v>2713069540.6133113</v>
      </c>
      <c r="Q25" s="227"/>
      <c r="R25" s="227"/>
      <c r="S25" s="227"/>
      <c r="T25" s="227"/>
      <c r="U25" s="227"/>
      <c r="V25" s="227"/>
      <c r="W25" s="227"/>
      <c r="X25" s="227"/>
      <c r="Y25" s="227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 s="124" customFormat="1">
      <c r="A26" s="243"/>
      <c r="B26" s="542" t="s">
        <v>220</v>
      </c>
      <c r="C26" s="542"/>
      <c r="D26" s="241">
        <v>1083726.8500000001</v>
      </c>
      <c r="E26" s="241">
        <v>766658.9</v>
      </c>
      <c r="F26" s="241">
        <v>984887</v>
      </c>
      <c r="G26" s="241">
        <v>915692</v>
      </c>
      <c r="H26" s="241"/>
      <c r="I26" s="241"/>
      <c r="J26" s="241"/>
      <c r="K26" s="241"/>
      <c r="L26" s="241"/>
      <c r="M26" s="241"/>
      <c r="N26" s="337"/>
      <c r="O26" s="241"/>
      <c r="P26" s="331">
        <f t="shared" si="12"/>
        <v>3750964.75</v>
      </c>
      <c r="Q26" s="227"/>
      <c r="R26" s="227"/>
      <c r="S26" s="227"/>
      <c r="T26" s="227"/>
      <c r="U26" s="227"/>
      <c r="V26" s="227"/>
      <c r="W26" s="227"/>
      <c r="X26" s="227"/>
      <c r="Y26" s="227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 s="124" customFormat="1">
      <c r="A27" s="243"/>
      <c r="B27" s="541" t="s">
        <v>216</v>
      </c>
      <c r="C27" s="541"/>
      <c r="D27" s="245">
        <f>SUM(D14:D26)</f>
        <v>5686012052</v>
      </c>
      <c r="E27" s="245">
        <f t="shared" ref="E27" si="15">SUM(E14:E26)</f>
        <v>2088697777.9400001</v>
      </c>
      <c r="F27" s="245">
        <f t="shared" ref="F27:O27" si="16">SUM(F14:F26)</f>
        <v>4161609191.0500002</v>
      </c>
      <c r="G27" s="245">
        <f t="shared" si="16"/>
        <v>4211152989.23</v>
      </c>
      <c r="H27" s="245">
        <f t="shared" si="16"/>
        <v>4469743405.6800003</v>
      </c>
      <c r="I27" s="245">
        <f t="shared" si="16"/>
        <v>4336099888</v>
      </c>
      <c r="J27" s="245">
        <f t="shared" si="16"/>
        <v>4582318450</v>
      </c>
      <c r="K27" s="245">
        <f t="shared" si="16"/>
        <v>4145949963.0595999</v>
      </c>
      <c r="L27" s="245">
        <f t="shared" si="16"/>
        <v>5295982844.7790127</v>
      </c>
      <c r="M27" s="245">
        <f t="shared" si="16"/>
        <v>7355095029.5968161</v>
      </c>
      <c r="N27" s="339">
        <f t="shared" si="16"/>
        <v>8404102137.8427362</v>
      </c>
      <c r="O27" s="245">
        <f t="shared" si="16"/>
        <v>4430600438.3736086</v>
      </c>
      <c r="P27" s="332">
        <f t="shared" si="12"/>
        <v>59167364167.551781</v>
      </c>
      <c r="Q27" s="333"/>
      <c r="R27" s="333"/>
      <c r="S27" s="333"/>
      <c r="T27" s="333"/>
      <c r="U27" s="333"/>
      <c r="V27" s="333"/>
      <c r="W27" s="333"/>
      <c r="X27" s="333"/>
      <c r="Y27" s="33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82">
        <f>+'[5]CF 2016'!$P$25</f>
        <v>51283899227.304123</v>
      </c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</row>
    <row r="28" spans="1:64" s="124" customFormat="1">
      <c r="A28" s="243"/>
      <c r="B28" s="246"/>
      <c r="C28" s="246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339"/>
      <c r="O28" s="245"/>
      <c r="P28" s="332">
        <f t="shared" si="12"/>
        <v>0</v>
      </c>
      <c r="Q28" s="333"/>
      <c r="R28" s="333"/>
      <c r="S28" s="333"/>
      <c r="T28" s="333"/>
      <c r="U28" s="333"/>
      <c r="V28" s="333"/>
      <c r="W28" s="333"/>
      <c r="X28" s="333"/>
      <c r="Y28" s="33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</row>
    <row r="29" spans="1:64" s="124" customFormat="1" ht="31.5" customHeight="1">
      <c r="A29" s="243" t="s">
        <v>19</v>
      </c>
      <c r="B29" s="541" t="s">
        <v>217</v>
      </c>
      <c r="C29" s="541"/>
      <c r="D29" s="245">
        <f t="shared" ref="D29:O29" si="17">+D27+D11</f>
        <v>6195114845.4807243</v>
      </c>
      <c r="E29" s="245">
        <f t="shared" si="17"/>
        <v>4383853787.4207249</v>
      </c>
      <c r="F29" s="245">
        <f t="shared" si="17"/>
        <v>5150726334.4707251</v>
      </c>
      <c r="G29" s="245">
        <f t="shared" si="17"/>
        <v>5063652979.1307259</v>
      </c>
      <c r="H29" s="245">
        <f t="shared" si="17"/>
        <v>5490821720.2507267</v>
      </c>
      <c r="I29" s="245">
        <f t="shared" si="17"/>
        <v>5388933825.2507267</v>
      </c>
      <c r="J29" s="245">
        <f t="shared" si="17"/>
        <v>5140358460.3407269</v>
      </c>
      <c r="K29" s="245">
        <f t="shared" si="17"/>
        <v>4849321809.4003267</v>
      </c>
      <c r="L29" s="245">
        <f t="shared" si="17"/>
        <v>5790006347.1793394</v>
      </c>
      <c r="M29" s="245">
        <f t="shared" si="17"/>
        <v>8609513606.2761555</v>
      </c>
      <c r="N29" s="339">
        <f t="shared" si="17"/>
        <v>9786544740.1188927</v>
      </c>
      <c r="O29" s="245">
        <f t="shared" si="17"/>
        <v>6789854174.4925013</v>
      </c>
      <c r="P29" s="332">
        <f>P27+D11</f>
        <v>59676466961.032501</v>
      </c>
      <c r="Q29" s="333"/>
      <c r="R29" s="333"/>
      <c r="S29" s="333"/>
      <c r="T29" s="333"/>
      <c r="U29" s="333"/>
      <c r="V29" s="333"/>
      <c r="W29" s="333"/>
      <c r="X29" s="333"/>
      <c r="Y29" s="33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</row>
    <row r="30" spans="1:64" s="124" customFormat="1">
      <c r="A30" s="243"/>
      <c r="B30" s="244"/>
      <c r="C30" s="246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337"/>
      <c r="O30" s="241"/>
      <c r="P30" s="331">
        <f t="shared" si="12"/>
        <v>0</v>
      </c>
      <c r="Q30" s="227"/>
      <c r="R30" s="227"/>
      <c r="S30" s="227"/>
      <c r="T30" s="227"/>
      <c r="U30" s="227"/>
      <c r="V30" s="227"/>
      <c r="W30" s="227"/>
      <c r="X30" s="227"/>
      <c r="Y30" s="227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 s="124" customFormat="1">
      <c r="A31" s="243"/>
      <c r="B31" s="541" t="s">
        <v>20</v>
      </c>
      <c r="C31" s="541"/>
      <c r="D31" s="541"/>
      <c r="E31" s="241"/>
      <c r="F31" s="241"/>
      <c r="G31" s="241"/>
      <c r="H31" s="241"/>
      <c r="I31" s="241"/>
      <c r="J31" s="241"/>
      <c r="K31" s="241"/>
      <c r="L31" s="241"/>
      <c r="M31" s="241"/>
      <c r="N31" s="337"/>
      <c r="O31" s="241"/>
      <c r="P31" s="331">
        <f t="shared" si="12"/>
        <v>0</v>
      </c>
      <c r="Q31" s="227"/>
      <c r="R31" s="227"/>
      <c r="S31" s="227"/>
      <c r="T31" s="227"/>
      <c r="U31" s="227"/>
      <c r="V31" s="227"/>
      <c r="W31" s="227"/>
      <c r="X31" s="227"/>
      <c r="Y31" s="227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 s="124" customFormat="1">
      <c r="A32" s="243"/>
      <c r="B32" s="247" t="s">
        <v>21</v>
      </c>
      <c r="C32" s="248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337"/>
      <c r="O32" s="241"/>
      <c r="P32" s="331">
        <f t="shared" si="12"/>
        <v>0</v>
      </c>
      <c r="Q32" s="227"/>
      <c r="R32" s="227"/>
      <c r="S32" s="227"/>
      <c r="T32" s="227"/>
      <c r="U32" s="227"/>
      <c r="V32" s="227"/>
      <c r="W32" s="227"/>
      <c r="X32" s="227"/>
      <c r="Y32" s="227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6" s="124" customFormat="1">
      <c r="A33" s="243"/>
      <c r="B33" s="247"/>
      <c r="C33" s="248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337"/>
      <c r="O33" s="241"/>
      <c r="P33" s="331">
        <f t="shared" si="12"/>
        <v>0</v>
      </c>
      <c r="Q33" s="227"/>
      <c r="R33" s="227"/>
      <c r="S33" s="227"/>
      <c r="T33" s="227"/>
      <c r="U33" s="227"/>
      <c r="V33" s="227"/>
      <c r="W33" s="227"/>
      <c r="X33" s="227"/>
      <c r="Y33" s="227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6" s="124" customFormat="1">
      <c r="A34" s="243"/>
      <c r="B34" s="248">
        <v>6400</v>
      </c>
      <c r="C34" s="248" t="s">
        <v>22</v>
      </c>
      <c r="D34" s="241">
        <v>494456175</v>
      </c>
      <c r="E34" s="241">
        <v>462525669</v>
      </c>
      <c r="F34" s="241">
        <v>478106827</v>
      </c>
      <c r="G34" s="241">
        <v>523827334</v>
      </c>
      <c r="H34" s="241">
        <v>581732789</v>
      </c>
      <c r="I34" s="241">
        <v>582433766</v>
      </c>
      <c r="J34" s="241">
        <v>596053062</v>
      </c>
      <c r="K34" s="241">
        <v>630000000</v>
      </c>
      <c r="L34" s="241">
        <v>630000000</v>
      </c>
      <c r="M34" s="241">
        <v>630000000</v>
      </c>
      <c r="N34" s="337">
        <v>630000000</v>
      </c>
      <c r="O34" s="241">
        <v>630000000</v>
      </c>
      <c r="P34" s="331">
        <f t="shared" si="12"/>
        <v>6869135622</v>
      </c>
      <c r="Q34" s="227"/>
      <c r="R34" s="227"/>
      <c r="S34" s="227"/>
      <c r="T34" s="227"/>
      <c r="U34" s="227"/>
      <c r="V34" s="227"/>
      <c r="W34" s="227"/>
      <c r="X34" s="227"/>
      <c r="Y34" s="227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80"/>
      <c r="AY34" s="80">
        <v>500</v>
      </c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N34" s="129">
        <v>500</v>
      </c>
    </row>
    <row r="35" spans="1:66" s="124" customFormat="1">
      <c r="A35" s="243"/>
      <c r="B35" s="248">
        <v>6401</v>
      </c>
      <c r="C35" s="248" t="s">
        <v>23</v>
      </c>
      <c r="D35" s="241">
        <v>7219054</v>
      </c>
      <c r="E35" s="241">
        <v>2684105</v>
      </c>
      <c r="F35" s="241">
        <v>4714785</v>
      </c>
      <c r="G35" s="241">
        <v>4666708</v>
      </c>
      <c r="H35" s="241">
        <v>5967257</v>
      </c>
      <c r="I35" s="241">
        <v>7093060</v>
      </c>
      <c r="J35" s="241">
        <v>360000</v>
      </c>
      <c r="K35" s="241">
        <v>5500000</v>
      </c>
      <c r="L35" s="241">
        <v>5500000</v>
      </c>
      <c r="M35" s="241">
        <v>5500000</v>
      </c>
      <c r="N35" s="337">
        <f>+M35+(M35*$N$9%)</f>
        <v>5500000</v>
      </c>
      <c r="O35" s="241">
        <f>+N35+(N35*$O$9%)</f>
        <v>5500000</v>
      </c>
      <c r="P35" s="331">
        <f t="shared" si="12"/>
        <v>60204969</v>
      </c>
      <c r="Q35" s="227"/>
      <c r="R35" s="227"/>
      <c r="S35" s="227"/>
      <c r="T35" s="227"/>
      <c r="U35" s="227"/>
      <c r="V35" s="227"/>
      <c r="W35" s="227"/>
      <c r="X35" s="227"/>
      <c r="Y35" s="227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80"/>
      <c r="AY35" s="80">
        <v>5.5</v>
      </c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N35" s="129">
        <v>5.5</v>
      </c>
    </row>
    <row r="36" spans="1:66" s="124" customFormat="1">
      <c r="A36" s="243"/>
      <c r="B36" s="248">
        <v>6402</v>
      </c>
      <c r="C36" s="248" t="s">
        <v>24</v>
      </c>
      <c r="D36" s="241">
        <v>10410050</v>
      </c>
      <c r="E36" s="241">
        <v>3618300</v>
      </c>
      <c r="F36" s="241">
        <v>8370500</v>
      </c>
      <c r="G36" s="241">
        <v>725000</v>
      </c>
      <c r="H36" s="241">
        <v>4485300</v>
      </c>
      <c r="I36" s="241">
        <v>640800</v>
      </c>
      <c r="J36" s="241"/>
      <c r="K36" s="241">
        <f>+J36</f>
        <v>0</v>
      </c>
      <c r="L36" s="241">
        <v>69456766.5</v>
      </c>
      <c r="M36" s="241">
        <v>2000000</v>
      </c>
      <c r="N36" s="337">
        <f>+M36+(M36*$N$9%)</f>
        <v>2000000</v>
      </c>
      <c r="O36" s="241">
        <f t="shared" ref="O36:O99" si="18">+N36+(N36*$O$9%)</f>
        <v>2000000</v>
      </c>
      <c r="P36" s="331">
        <f t="shared" si="12"/>
        <v>103706716.5</v>
      </c>
      <c r="Q36" s="227"/>
      <c r="R36" s="227"/>
      <c r="S36" s="227"/>
      <c r="T36" s="227"/>
      <c r="U36" s="227"/>
      <c r="V36" s="227"/>
      <c r="W36" s="227"/>
      <c r="X36" s="227"/>
      <c r="Y36" s="227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80"/>
      <c r="AY36" s="80">
        <v>2</v>
      </c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N36" s="129">
        <v>29.582894249999995</v>
      </c>
    </row>
    <row r="37" spans="1:66" s="124" customFormat="1">
      <c r="A37" s="243"/>
      <c r="B37" s="248">
        <v>6403</v>
      </c>
      <c r="C37" s="248" t="s">
        <v>25</v>
      </c>
      <c r="D37" s="241"/>
      <c r="E37" s="241"/>
      <c r="F37" s="241"/>
      <c r="G37" s="241"/>
      <c r="H37" s="241"/>
      <c r="I37" s="241">
        <v>568267130</v>
      </c>
      <c r="J37" s="241"/>
      <c r="K37" s="241"/>
      <c r="L37" s="241">
        <v>0</v>
      </c>
      <c r="M37" s="241">
        <v>0</v>
      </c>
      <c r="N37" s="337">
        <f t="shared" ref="N37:N100" si="19">+M37+(M37*$N$9%)</f>
        <v>0</v>
      </c>
      <c r="O37" s="241">
        <f t="shared" si="18"/>
        <v>0</v>
      </c>
      <c r="P37" s="331">
        <f t="shared" si="12"/>
        <v>568267130</v>
      </c>
      <c r="Q37" s="227"/>
      <c r="R37" s="227"/>
      <c r="S37" s="227"/>
      <c r="T37" s="227"/>
      <c r="U37" s="227"/>
      <c r="V37" s="227"/>
      <c r="W37" s="227"/>
      <c r="X37" s="227"/>
      <c r="Y37" s="227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N37" s="129"/>
    </row>
    <row r="38" spans="1:66" s="124" customFormat="1">
      <c r="A38" s="243"/>
      <c r="B38" s="248">
        <v>6404</v>
      </c>
      <c r="C38" s="248" t="s">
        <v>26</v>
      </c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337">
        <f t="shared" si="19"/>
        <v>0</v>
      </c>
      <c r="O38" s="241">
        <f t="shared" si="18"/>
        <v>0</v>
      </c>
      <c r="P38" s="331">
        <f t="shared" si="12"/>
        <v>0</v>
      </c>
      <c r="Q38" s="227"/>
      <c r="R38" s="227"/>
      <c r="S38" s="227"/>
      <c r="T38" s="227"/>
      <c r="U38" s="227"/>
      <c r="V38" s="227"/>
      <c r="W38" s="227"/>
      <c r="X38" s="227"/>
      <c r="Y38" s="227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80"/>
      <c r="AY38" s="80">
        <v>120</v>
      </c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N38" s="129">
        <v>120</v>
      </c>
    </row>
    <row r="39" spans="1:66" s="124" customFormat="1">
      <c r="A39" s="243"/>
      <c r="B39" s="248">
        <v>6405</v>
      </c>
      <c r="C39" s="248" t="s">
        <v>27</v>
      </c>
      <c r="D39" s="241"/>
      <c r="E39" s="241">
        <v>338197</v>
      </c>
      <c r="F39" s="241">
        <v>338197</v>
      </c>
      <c r="G39" s="241"/>
      <c r="H39" s="241">
        <v>338197</v>
      </c>
      <c r="I39" s="241">
        <v>338197</v>
      </c>
      <c r="J39" s="241"/>
      <c r="K39" s="241">
        <v>350000</v>
      </c>
      <c r="L39" s="241">
        <f>+K39</f>
        <v>350000</v>
      </c>
      <c r="M39" s="241">
        <f>+L39</f>
        <v>350000</v>
      </c>
      <c r="N39" s="337">
        <f t="shared" si="19"/>
        <v>350000</v>
      </c>
      <c r="O39" s="241">
        <f t="shared" si="18"/>
        <v>350000</v>
      </c>
      <c r="P39" s="331">
        <f t="shared" si="12"/>
        <v>3102788</v>
      </c>
      <c r="Q39" s="227"/>
      <c r="R39" s="227"/>
      <c r="S39" s="227"/>
      <c r="T39" s="227"/>
      <c r="U39" s="227"/>
      <c r="V39" s="227"/>
      <c r="W39" s="227"/>
      <c r="X39" s="227"/>
      <c r="Y39" s="227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80"/>
      <c r="AY39" s="80">
        <v>0.25</v>
      </c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N39" s="129">
        <v>0.25</v>
      </c>
    </row>
    <row r="40" spans="1:66">
      <c r="A40" s="243"/>
      <c r="B40" s="248">
        <v>6406</v>
      </c>
      <c r="C40" s="248" t="s">
        <v>28</v>
      </c>
      <c r="D40" s="241"/>
      <c r="E40" s="241"/>
      <c r="F40" s="241"/>
      <c r="G40" s="241"/>
      <c r="H40" s="241"/>
      <c r="I40" s="241"/>
      <c r="J40" s="241"/>
      <c r="K40" s="241"/>
      <c r="L40" s="241">
        <v>0</v>
      </c>
      <c r="M40" s="241">
        <v>0</v>
      </c>
      <c r="N40" s="337">
        <f t="shared" si="19"/>
        <v>0</v>
      </c>
      <c r="O40" s="241">
        <f t="shared" si="18"/>
        <v>0</v>
      </c>
      <c r="P40" s="331">
        <f t="shared" si="12"/>
        <v>0</v>
      </c>
      <c r="Q40" s="227"/>
      <c r="R40" s="227"/>
      <c r="S40" s="227"/>
      <c r="T40" s="227"/>
      <c r="U40" s="227"/>
      <c r="V40" s="227"/>
      <c r="W40" s="227"/>
      <c r="X40" s="227"/>
      <c r="Y40" s="227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N40" s="129"/>
    </row>
    <row r="41" spans="1:66">
      <c r="A41" s="243"/>
      <c r="B41" s="248">
        <v>6407</v>
      </c>
      <c r="C41" s="248" t="s">
        <v>29</v>
      </c>
      <c r="D41" s="241"/>
      <c r="E41" s="241"/>
      <c r="F41" s="241"/>
      <c r="G41" s="241"/>
      <c r="H41" s="241"/>
      <c r="I41" s="241"/>
      <c r="J41" s="241"/>
      <c r="K41" s="241">
        <v>1000000</v>
      </c>
      <c r="L41" s="241">
        <v>1000000</v>
      </c>
      <c r="M41" s="241">
        <v>1000000</v>
      </c>
      <c r="N41" s="337">
        <f t="shared" si="19"/>
        <v>1000000</v>
      </c>
      <c r="O41" s="241">
        <f t="shared" si="18"/>
        <v>1000000</v>
      </c>
      <c r="P41" s="331">
        <f t="shared" si="12"/>
        <v>5000000</v>
      </c>
      <c r="Q41" s="227"/>
      <c r="R41" s="227"/>
      <c r="S41" s="227"/>
      <c r="T41" s="227"/>
      <c r="U41" s="227"/>
      <c r="V41" s="227"/>
      <c r="W41" s="227"/>
      <c r="X41" s="227"/>
      <c r="Y41" s="227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80"/>
      <c r="AY41" s="80">
        <v>1</v>
      </c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N41" s="129">
        <v>1</v>
      </c>
    </row>
    <row r="42" spans="1:66">
      <c r="A42" s="243"/>
      <c r="B42" s="248">
        <v>6408</v>
      </c>
      <c r="C42" s="248" t="s">
        <v>30</v>
      </c>
      <c r="D42" s="241">
        <v>600000</v>
      </c>
      <c r="E42" s="241">
        <v>5305013</v>
      </c>
      <c r="F42" s="241">
        <v>7150000</v>
      </c>
      <c r="G42" s="241">
        <v>28646000</v>
      </c>
      <c r="H42" s="241">
        <v>13090000</v>
      </c>
      <c r="I42" s="241">
        <v>12400000</v>
      </c>
      <c r="J42" s="241">
        <v>300000</v>
      </c>
      <c r="K42" s="241">
        <v>17000000</v>
      </c>
      <c r="L42" s="241">
        <v>17000000</v>
      </c>
      <c r="M42" s="241">
        <v>17000000</v>
      </c>
      <c r="N42" s="337">
        <f t="shared" si="19"/>
        <v>17000000</v>
      </c>
      <c r="O42" s="241">
        <f t="shared" si="18"/>
        <v>17000000</v>
      </c>
      <c r="P42" s="331">
        <f t="shared" si="12"/>
        <v>152491013</v>
      </c>
      <c r="Q42" s="227"/>
      <c r="R42" s="227"/>
      <c r="S42" s="227"/>
      <c r="T42" s="227"/>
      <c r="U42" s="227"/>
      <c r="V42" s="227"/>
      <c r="W42" s="227"/>
      <c r="X42" s="227"/>
      <c r="Y42" s="227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80"/>
      <c r="AY42" s="80">
        <v>17</v>
      </c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N42" s="129">
        <v>17</v>
      </c>
    </row>
    <row r="43" spans="1:66">
      <c r="A43" s="243"/>
      <c r="B43" s="248">
        <v>6409</v>
      </c>
      <c r="C43" s="248" t="s">
        <v>31</v>
      </c>
      <c r="D43" s="241"/>
      <c r="E43" s="241"/>
      <c r="F43" s="241"/>
      <c r="G43" s="241"/>
      <c r="H43" s="241"/>
      <c r="I43" s="241"/>
      <c r="J43" s="241"/>
      <c r="K43" s="241">
        <v>500000</v>
      </c>
      <c r="L43" s="241">
        <v>500000</v>
      </c>
      <c r="M43" s="241">
        <v>500000</v>
      </c>
      <c r="N43" s="337">
        <f t="shared" si="19"/>
        <v>500000</v>
      </c>
      <c r="O43" s="241">
        <f t="shared" si="18"/>
        <v>500000</v>
      </c>
      <c r="P43" s="331">
        <f t="shared" si="12"/>
        <v>2500000</v>
      </c>
      <c r="Q43" s="227"/>
      <c r="R43" s="227"/>
      <c r="S43" s="227"/>
      <c r="T43" s="227"/>
      <c r="U43" s="227"/>
      <c r="V43" s="227"/>
      <c r="W43" s="227"/>
      <c r="X43" s="227"/>
      <c r="Y43" s="227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80"/>
      <c r="AY43" s="80">
        <v>0.5</v>
      </c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N43" s="129">
        <v>0.5</v>
      </c>
    </row>
    <row r="44" spans="1:66">
      <c r="A44" s="243"/>
      <c r="B44" s="248">
        <v>6410</v>
      </c>
      <c r="C44" s="248" t="s">
        <v>32</v>
      </c>
      <c r="D44" s="241">
        <v>30976500</v>
      </c>
      <c r="E44" s="241">
        <v>43390500</v>
      </c>
      <c r="F44" s="241">
        <v>32923150</v>
      </c>
      <c r="G44" s="241">
        <v>34982350</v>
      </c>
      <c r="H44" s="241">
        <v>47240950</v>
      </c>
      <c r="I44" s="241">
        <v>70205050</v>
      </c>
      <c r="J44" s="241">
        <v>65548300</v>
      </c>
      <c r="K44" s="241">
        <v>50000000</v>
      </c>
      <c r="L44" s="241">
        <v>50000000</v>
      </c>
      <c r="M44" s="241">
        <v>50000000</v>
      </c>
      <c r="N44" s="337">
        <f t="shared" si="19"/>
        <v>50000000</v>
      </c>
      <c r="O44" s="241">
        <f t="shared" si="18"/>
        <v>50000000</v>
      </c>
      <c r="P44" s="331">
        <f t="shared" si="12"/>
        <v>575266800</v>
      </c>
      <c r="Q44" s="227"/>
      <c r="R44" s="227"/>
      <c r="S44" s="227"/>
      <c r="T44" s="227"/>
      <c r="U44" s="227"/>
      <c r="V44" s="227"/>
      <c r="W44" s="227"/>
      <c r="X44" s="227"/>
      <c r="Y44" s="227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80"/>
      <c r="AY44" s="80">
        <v>24.756499999999999</v>
      </c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N44" s="129">
        <v>24.756499999999999</v>
      </c>
    </row>
    <row r="45" spans="1:66">
      <c r="A45" s="243"/>
      <c r="B45" s="248">
        <v>6411</v>
      </c>
      <c r="C45" s="248" t="s">
        <v>33</v>
      </c>
      <c r="D45" s="241"/>
      <c r="E45" s="241">
        <v>1600000</v>
      </c>
      <c r="F45" s="241">
        <v>800000</v>
      </c>
      <c r="G45" s="241">
        <v>10000000</v>
      </c>
      <c r="H45" s="241">
        <v>700000</v>
      </c>
      <c r="I45" s="241">
        <v>20800000</v>
      </c>
      <c r="J45" s="241">
        <v>950000</v>
      </c>
      <c r="K45" s="241">
        <v>1500000</v>
      </c>
      <c r="L45" s="241">
        <v>4280000</v>
      </c>
      <c r="M45" s="241">
        <v>1500000</v>
      </c>
      <c r="N45" s="337">
        <f t="shared" si="19"/>
        <v>1500000</v>
      </c>
      <c r="O45" s="241">
        <f t="shared" si="18"/>
        <v>1500000</v>
      </c>
      <c r="P45" s="331">
        <f t="shared" si="12"/>
        <v>45130000</v>
      </c>
      <c r="Q45" s="227"/>
      <c r="R45" s="227"/>
      <c r="S45" s="227"/>
      <c r="T45" s="227"/>
      <c r="U45" s="227"/>
      <c r="V45" s="227"/>
      <c r="W45" s="227"/>
      <c r="X45" s="227"/>
      <c r="Y45" s="227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80"/>
      <c r="AY45" s="80">
        <v>1.5</v>
      </c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N45" s="129">
        <v>1.5</v>
      </c>
    </row>
    <row r="46" spans="1:66">
      <c r="A46" s="243"/>
      <c r="B46" s="248">
        <v>6412</v>
      </c>
      <c r="C46" s="248" t="s">
        <v>34</v>
      </c>
      <c r="D46" s="241">
        <v>46972856</v>
      </c>
      <c r="E46" s="241">
        <v>50836920</v>
      </c>
      <c r="F46" s="241">
        <v>42785461</v>
      </c>
      <c r="G46" s="241">
        <v>48452338</v>
      </c>
      <c r="H46" s="241">
        <v>52863568</v>
      </c>
      <c r="I46" s="241">
        <v>58242293</v>
      </c>
      <c r="J46" s="241">
        <v>55338770</v>
      </c>
      <c r="K46" s="241">
        <v>60000000</v>
      </c>
      <c r="L46" s="241">
        <v>60000000</v>
      </c>
      <c r="M46" s="241">
        <v>60000000</v>
      </c>
      <c r="N46" s="337">
        <f t="shared" si="19"/>
        <v>60000000</v>
      </c>
      <c r="O46" s="241">
        <f t="shared" si="18"/>
        <v>60000000</v>
      </c>
      <c r="P46" s="331">
        <f t="shared" si="12"/>
        <v>655492206</v>
      </c>
      <c r="Q46" s="227"/>
      <c r="R46" s="227"/>
      <c r="S46" s="227"/>
      <c r="T46" s="227"/>
      <c r="U46" s="227"/>
      <c r="V46" s="227"/>
      <c r="W46" s="227"/>
      <c r="X46" s="227"/>
      <c r="Y46" s="227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80"/>
      <c r="AY46" s="80">
        <v>60</v>
      </c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N46" s="129">
        <v>60</v>
      </c>
    </row>
    <row r="47" spans="1:66">
      <c r="A47" s="243"/>
      <c r="B47" s="248">
        <v>6413</v>
      </c>
      <c r="C47" s="248" t="s">
        <v>35</v>
      </c>
      <c r="D47" s="241">
        <v>5774083</v>
      </c>
      <c r="E47" s="241">
        <v>17905218</v>
      </c>
      <c r="F47" s="241">
        <v>19816460</v>
      </c>
      <c r="G47" s="241">
        <v>14122417</v>
      </c>
      <c r="H47" s="241">
        <v>10817302</v>
      </c>
      <c r="I47" s="241">
        <v>12441062</v>
      </c>
      <c r="J47" s="241">
        <v>8977064</v>
      </c>
      <c r="K47" s="241">
        <v>12000000</v>
      </c>
      <c r="L47" s="241">
        <f>K47</f>
        <v>12000000</v>
      </c>
      <c r="M47" s="241">
        <f>K47</f>
        <v>12000000</v>
      </c>
      <c r="N47" s="337">
        <f t="shared" si="19"/>
        <v>12000000</v>
      </c>
      <c r="O47" s="241">
        <f t="shared" si="18"/>
        <v>12000000</v>
      </c>
      <c r="P47" s="331">
        <f t="shared" si="12"/>
        <v>149853606</v>
      </c>
      <c r="Q47" s="227"/>
      <c r="R47" s="227"/>
      <c r="S47" s="227"/>
      <c r="T47" s="227"/>
      <c r="U47" s="227"/>
      <c r="V47" s="227"/>
      <c r="W47" s="227"/>
      <c r="X47" s="227"/>
      <c r="Y47" s="227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80"/>
      <c r="AY47" s="80">
        <v>8.5</v>
      </c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N47" s="129">
        <v>8.5</v>
      </c>
    </row>
    <row r="48" spans="1:66">
      <c r="A48" s="243"/>
      <c r="B48" s="248">
        <v>6414</v>
      </c>
      <c r="C48" s="248" t="s">
        <v>36</v>
      </c>
      <c r="D48" s="241"/>
      <c r="E48" s="241"/>
      <c r="F48" s="241"/>
      <c r="G48" s="241"/>
      <c r="H48" s="241"/>
      <c r="I48" s="241"/>
      <c r="J48" s="241"/>
      <c r="K48" s="241">
        <v>0</v>
      </c>
      <c r="L48" s="241">
        <v>0</v>
      </c>
      <c r="M48" s="241">
        <v>0</v>
      </c>
      <c r="N48" s="337">
        <f t="shared" si="19"/>
        <v>0</v>
      </c>
      <c r="O48" s="241">
        <f t="shared" si="18"/>
        <v>0</v>
      </c>
      <c r="P48" s="331">
        <f t="shared" si="12"/>
        <v>0</v>
      </c>
      <c r="Q48" s="227"/>
      <c r="R48" s="227"/>
      <c r="S48" s="227"/>
      <c r="T48" s="227"/>
      <c r="U48" s="227"/>
      <c r="V48" s="227"/>
      <c r="W48" s="227"/>
      <c r="X48" s="227"/>
      <c r="Y48" s="227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N48" s="129"/>
    </row>
    <row r="49" spans="1:66">
      <c r="A49" s="243"/>
      <c r="B49" s="248">
        <v>6415</v>
      </c>
      <c r="C49" s="248" t="s">
        <v>37</v>
      </c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337">
        <f t="shared" si="19"/>
        <v>0</v>
      </c>
      <c r="O49" s="241">
        <f t="shared" si="18"/>
        <v>0</v>
      </c>
      <c r="P49" s="331">
        <f t="shared" si="12"/>
        <v>0</v>
      </c>
      <c r="Q49" s="227"/>
      <c r="R49" s="227"/>
      <c r="S49" s="227"/>
      <c r="T49" s="227"/>
      <c r="U49" s="227"/>
      <c r="V49" s="227"/>
      <c r="W49" s="227"/>
      <c r="X49" s="227"/>
      <c r="Y49" s="227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80"/>
      <c r="AY49" s="80">
        <v>2.5</v>
      </c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N49" s="129">
        <v>2.5</v>
      </c>
    </row>
    <row r="50" spans="1:66">
      <c r="A50" s="243"/>
      <c r="B50" s="248">
        <v>6416</v>
      </c>
      <c r="C50" s="248" t="s">
        <v>38</v>
      </c>
      <c r="D50" s="241">
        <v>4696200</v>
      </c>
      <c r="E50" s="241">
        <v>6482400</v>
      </c>
      <c r="F50" s="241">
        <v>7689006</v>
      </c>
      <c r="G50" s="241">
        <v>8987100</v>
      </c>
      <c r="H50" s="241">
        <v>13101300</v>
      </c>
      <c r="I50" s="241">
        <v>7713021</v>
      </c>
      <c r="J50" s="241">
        <v>2605900</v>
      </c>
      <c r="K50" s="241">
        <v>13000000</v>
      </c>
      <c r="L50" s="241">
        <v>13000000</v>
      </c>
      <c r="M50" s="241">
        <v>13000000</v>
      </c>
      <c r="N50" s="337">
        <f t="shared" si="19"/>
        <v>13000000</v>
      </c>
      <c r="O50" s="241">
        <f t="shared" si="18"/>
        <v>13000000</v>
      </c>
      <c r="P50" s="331">
        <f t="shared" si="12"/>
        <v>116274927</v>
      </c>
      <c r="Q50" s="227"/>
      <c r="R50" s="227"/>
      <c r="S50" s="227"/>
      <c r="T50" s="227"/>
      <c r="U50" s="227"/>
      <c r="V50" s="227"/>
      <c r="W50" s="227"/>
      <c r="X50" s="227"/>
      <c r="Y50" s="227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80"/>
      <c r="AY50" s="80">
        <v>13</v>
      </c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N50" s="129">
        <v>13</v>
      </c>
    </row>
    <row r="51" spans="1:66">
      <c r="A51" s="243"/>
      <c r="B51" s="248">
        <v>6417</v>
      </c>
      <c r="C51" s="248" t="s">
        <v>39</v>
      </c>
      <c r="D51" s="241">
        <v>4440376</v>
      </c>
      <c r="E51" s="241">
        <v>3816703</v>
      </c>
      <c r="F51" s="241">
        <v>805067</v>
      </c>
      <c r="G51" s="241">
        <v>6416786</v>
      </c>
      <c r="H51" s="241">
        <v>3971475</v>
      </c>
      <c r="I51" s="241">
        <v>45000</v>
      </c>
      <c r="J51" s="241">
        <v>15000</v>
      </c>
      <c r="K51" s="241">
        <v>4000000</v>
      </c>
      <c r="L51" s="241">
        <v>4000000</v>
      </c>
      <c r="M51" s="241">
        <v>4000000</v>
      </c>
      <c r="N51" s="337">
        <f t="shared" si="19"/>
        <v>4000000</v>
      </c>
      <c r="O51" s="241">
        <f t="shared" si="18"/>
        <v>4000000</v>
      </c>
      <c r="P51" s="331">
        <f t="shared" si="12"/>
        <v>39510407</v>
      </c>
      <c r="Q51" s="227"/>
      <c r="R51" s="227"/>
      <c r="S51" s="227"/>
      <c r="T51" s="227"/>
      <c r="U51" s="227"/>
      <c r="V51" s="227"/>
      <c r="W51" s="227"/>
      <c r="X51" s="227"/>
      <c r="Y51" s="227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80"/>
      <c r="AY51" s="80">
        <v>4</v>
      </c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N51" s="129">
        <v>4</v>
      </c>
    </row>
    <row r="52" spans="1:66">
      <c r="A52" s="243"/>
      <c r="B52" s="248">
        <v>6418</v>
      </c>
      <c r="C52" s="248" t="s">
        <v>40</v>
      </c>
      <c r="D52" s="241">
        <v>15590640</v>
      </c>
      <c r="E52" s="241">
        <v>6825640</v>
      </c>
      <c r="F52" s="241">
        <v>6425640</v>
      </c>
      <c r="G52" s="241">
        <v>10695759</v>
      </c>
      <c r="H52" s="241">
        <v>3477011</v>
      </c>
      <c r="I52" s="241">
        <v>5623619</v>
      </c>
      <c r="J52" s="241"/>
      <c r="K52" s="241">
        <v>6600000</v>
      </c>
      <c r="L52" s="241">
        <v>6600000</v>
      </c>
      <c r="M52" s="241">
        <v>6600000</v>
      </c>
      <c r="N52" s="337">
        <f t="shared" si="19"/>
        <v>6600000</v>
      </c>
      <c r="O52" s="241">
        <f t="shared" si="18"/>
        <v>6600000</v>
      </c>
      <c r="P52" s="331">
        <f t="shared" si="12"/>
        <v>81638309</v>
      </c>
      <c r="Q52" s="227"/>
      <c r="R52" s="227"/>
      <c r="S52" s="227"/>
      <c r="T52" s="227"/>
      <c r="U52" s="227"/>
      <c r="V52" s="227"/>
      <c r="W52" s="227"/>
      <c r="X52" s="227"/>
      <c r="Y52" s="227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80"/>
      <c r="AY52" s="80">
        <v>6.6</v>
      </c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N52" s="129">
        <v>6.6</v>
      </c>
    </row>
    <row r="53" spans="1:66">
      <c r="A53" s="243"/>
      <c r="B53" s="248">
        <v>6419</v>
      </c>
      <c r="C53" s="248" t="s">
        <v>41</v>
      </c>
      <c r="D53" s="241">
        <v>6500000</v>
      </c>
      <c r="E53" s="241">
        <v>3000000</v>
      </c>
      <c r="F53" s="241">
        <v>3500000</v>
      </c>
      <c r="G53" s="241">
        <v>3500000</v>
      </c>
      <c r="H53" s="241">
        <v>4000000</v>
      </c>
      <c r="I53" s="241">
        <v>5500000</v>
      </c>
      <c r="J53" s="241">
        <v>9500000</v>
      </c>
      <c r="K53" s="241">
        <v>6000000</v>
      </c>
      <c r="L53" s="241">
        <v>6000000</v>
      </c>
      <c r="M53" s="241">
        <v>6000000</v>
      </c>
      <c r="N53" s="337">
        <f t="shared" si="19"/>
        <v>6000000</v>
      </c>
      <c r="O53" s="241">
        <f t="shared" si="18"/>
        <v>6000000</v>
      </c>
      <c r="P53" s="331">
        <f t="shared" si="12"/>
        <v>65500000</v>
      </c>
      <c r="Q53" s="227"/>
      <c r="R53" s="227"/>
      <c r="S53" s="227"/>
      <c r="T53" s="227"/>
      <c r="U53" s="227"/>
      <c r="V53" s="227"/>
      <c r="W53" s="227"/>
      <c r="X53" s="227"/>
      <c r="Y53" s="227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80"/>
      <c r="AY53" s="80">
        <v>6</v>
      </c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N53" s="129">
        <v>6</v>
      </c>
    </row>
    <row r="54" spans="1:66">
      <c r="A54" s="243"/>
      <c r="B54" s="248">
        <v>6420</v>
      </c>
      <c r="C54" s="248" t="s">
        <v>42</v>
      </c>
      <c r="D54" s="241">
        <v>8299000</v>
      </c>
      <c r="E54" s="241">
        <v>8179900</v>
      </c>
      <c r="F54" s="241">
        <v>13200000</v>
      </c>
      <c r="G54" s="241">
        <v>9979650</v>
      </c>
      <c r="H54" s="241">
        <v>8151000</v>
      </c>
      <c r="I54" s="241">
        <v>20043300</v>
      </c>
      <c r="J54" s="241">
        <v>18273405</v>
      </c>
      <c r="K54" s="241">
        <v>2500000</v>
      </c>
      <c r="L54" s="241">
        <v>2500000</v>
      </c>
      <c r="M54" s="241">
        <v>2500000</v>
      </c>
      <c r="N54" s="337">
        <f t="shared" si="19"/>
        <v>2500000</v>
      </c>
      <c r="O54" s="241">
        <f t="shared" si="18"/>
        <v>2500000</v>
      </c>
      <c r="P54" s="331">
        <f t="shared" si="12"/>
        <v>98626255</v>
      </c>
      <c r="Q54" s="227"/>
      <c r="R54" s="227"/>
      <c r="S54" s="227"/>
      <c r="T54" s="227"/>
      <c r="U54" s="227"/>
      <c r="V54" s="227"/>
      <c r="W54" s="227"/>
      <c r="X54" s="227"/>
      <c r="Y54" s="227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80"/>
      <c r="AY54" s="80">
        <v>2.5</v>
      </c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N54" s="129">
        <v>2.5</v>
      </c>
    </row>
    <row r="55" spans="1:66">
      <c r="A55" s="243"/>
      <c r="B55" s="248">
        <v>6421</v>
      </c>
      <c r="C55" s="414" t="s">
        <v>570</v>
      </c>
      <c r="D55" s="241"/>
      <c r="E55" s="241"/>
      <c r="F55" s="241">
        <v>2595000</v>
      </c>
      <c r="G55" s="241">
        <v>3695000</v>
      </c>
      <c r="H55" s="241">
        <v>3695000</v>
      </c>
      <c r="I55" s="241">
        <v>32544987</v>
      </c>
      <c r="J55" s="241">
        <v>18212000</v>
      </c>
      <c r="K55" s="241">
        <v>3695000</v>
      </c>
      <c r="L55" s="241">
        <v>3845000</v>
      </c>
      <c r="M55" s="241">
        <v>21695000</v>
      </c>
      <c r="N55" s="337">
        <v>23695000</v>
      </c>
      <c r="O55" s="241">
        <v>3695000</v>
      </c>
      <c r="P55" s="331">
        <f t="shared" si="12"/>
        <v>117366987</v>
      </c>
      <c r="Q55" s="227"/>
      <c r="R55" s="227"/>
      <c r="S55" s="227"/>
      <c r="T55" s="227"/>
      <c r="U55" s="227"/>
      <c r="V55" s="227"/>
      <c r="W55" s="227"/>
      <c r="X55" s="227"/>
      <c r="Y55" s="227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N55" s="129"/>
    </row>
    <row r="56" spans="1:66">
      <c r="A56" s="243"/>
      <c r="B56" s="248">
        <v>6422</v>
      </c>
      <c r="C56" s="248" t="s">
        <v>44</v>
      </c>
      <c r="D56" s="241">
        <v>10581800</v>
      </c>
      <c r="E56" s="241">
        <v>10189857</v>
      </c>
      <c r="F56" s="241">
        <v>11114436</v>
      </c>
      <c r="G56" s="241">
        <v>11427799</v>
      </c>
      <c r="H56" s="241">
        <v>11814253</v>
      </c>
      <c r="I56" s="241">
        <v>13558903</v>
      </c>
      <c r="J56" s="241">
        <v>15072225</v>
      </c>
      <c r="K56" s="241">
        <v>15000000</v>
      </c>
      <c r="L56" s="241">
        <v>15000000</v>
      </c>
      <c r="M56" s="241">
        <f t="shared" ref="M56:M57" si="20">+L56</f>
        <v>15000000</v>
      </c>
      <c r="N56" s="337">
        <f t="shared" si="19"/>
        <v>15000000</v>
      </c>
      <c r="O56" s="241">
        <f t="shared" si="18"/>
        <v>15000000</v>
      </c>
      <c r="P56" s="331">
        <f t="shared" si="12"/>
        <v>158759273</v>
      </c>
      <c r="Q56" s="227"/>
      <c r="R56" s="227"/>
      <c r="S56" s="227"/>
      <c r="T56" s="227"/>
      <c r="U56" s="227"/>
      <c r="V56" s="227"/>
      <c r="W56" s="227"/>
      <c r="X56" s="227"/>
      <c r="Y56" s="227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80"/>
      <c r="AY56" s="80">
        <v>11</v>
      </c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N56" s="129">
        <v>11</v>
      </c>
    </row>
    <row r="57" spans="1:66">
      <c r="A57" s="243"/>
      <c r="B57" s="248">
        <v>6423</v>
      </c>
      <c r="C57" s="248" t="s">
        <v>45</v>
      </c>
      <c r="D57" s="241">
        <v>8874400</v>
      </c>
      <c r="E57" s="241">
        <v>8874400</v>
      </c>
      <c r="F57" s="241">
        <v>10015200</v>
      </c>
      <c r="G57" s="241">
        <v>9921600</v>
      </c>
      <c r="H57" s="241"/>
      <c r="I57" s="241">
        <v>9921600</v>
      </c>
      <c r="J57" s="241">
        <v>19843200</v>
      </c>
      <c r="K57" s="241">
        <v>13000000</v>
      </c>
      <c r="L57" s="241">
        <f>+K57</f>
        <v>13000000</v>
      </c>
      <c r="M57" s="241">
        <f t="shared" si="20"/>
        <v>13000000</v>
      </c>
      <c r="N57" s="337">
        <f t="shared" si="19"/>
        <v>13000000</v>
      </c>
      <c r="O57" s="241">
        <f t="shared" si="18"/>
        <v>13000000</v>
      </c>
      <c r="P57" s="331">
        <f t="shared" si="12"/>
        <v>132450400</v>
      </c>
      <c r="Q57" s="227"/>
      <c r="R57" s="227"/>
      <c r="S57" s="227"/>
      <c r="T57" s="227"/>
      <c r="U57" s="227"/>
      <c r="V57" s="227"/>
      <c r="W57" s="227"/>
      <c r="X57" s="227"/>
      <c r="Y57" s="227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80"/>
      <c r="AY57" s="80">
        <v>11</v>
      </c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N57" s="129">
        <v>11</v>
      </c>
    </row>
    <row r="58" spans="1:66">
      <c r="A58" s="417"/>
      <c r="B58" s="421">
        <v>6424</v>
      </c>
      <c r="C58" s="421" t="s">
        <v>46</v>
      </c>
      <c r="D58" s="418">
        <v>10900151</v>
      </c>
      <c r="E58" s="418">
        <v>44977451</v>
      </c>
      <c r="F58" s="418">
        <v>411000</v>
      </c>
      <c r="G58" s="418">
        <v>23000</v>
      </c>
      <c r="H58" s="418">
        <v>1750000</v>
      </c>
      <c r="I58" s="418"/>
      <c r="J58" s="418">
        <v>9000000</v>
      </c>
      <c r="K58" s="418">
        <v>30000000</v>
      </c>
      <c r="L58" s="418">
        <v>30000000</v>
      </c>
      <c r="M58" s="418">
        <v>70000000</v>
      </c>
      <c r="N58" s="419">
        <f t="shared" si="19"/>
        <v>70000000</v>
      </c>
      <c r="O58" s="418">
        <f t="shared" si="18"/>
        <v>70000000</v>
      </c>
      <c r="P58" s="420">
        <f t="shared" si="12"/>
        <v>337061602</v>
      </c>
      <c r="Q58" s="227"/>
      <c r="R58" s="227"/>
      <c r="S58" s="227"/>
      <c r="T58" s="227"/>
      <c r="U58" s="227"/>
      <c r="V58" s="227"/>
      <c r="W58" s="227"/>
      <c r="X58" s="227"/>
      <c r="Y58" s="227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N58" s="129"/>
    </row>
    <row r="59" spans="1:66">
      <c r="A59" s="243"/>
      <c r="B59" s="247" t="s">
        <v>47</v>
      </c>
      <c r="C59" s="248"/>
      <c r="D59" s="241"/>
      <c r="E59" s="241"/>
      <c r="F59" s="241"/>
      <c r="G59" s="241"/>
      <c r="H59" s="241"/>
      <c r="I59" s="241"/>
      <c r="J59" s="241"/>
      <c r="K59" s="241">
        <v>0</v>
      </c>
      <c r="L59" s="241">
        <v>0</v>
      </c>
      <c r="M59" s="241">
        <v>0</v>
      </c>
      <c r="N59" s="337">
        <f t="shared" si="19"/>
        <v>0</v>
      </c>
      <c r="O59" s="241">
        <f t="shared" si="18"/>
        <v>0</v>
      </c>
      <c r="P59" s="331">
        <f t="shared" si="12"/>
        <v>0</v>
      </c>
      <c r="Q59" s="227"/>
      <c r="R59" s="227"/>
      <c r="S59" s="227"/>
      <c r="T59" s="227"/>
      <c r="U59" s="227"/>
      <c r="V59" s="227"/>
      <c r="W59" s="227"/>
      <c r="X59" s="227"/>
      <c r="Y59" s="227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N59" s="129"/>
    </row>
    <row r="60" spans="1:66">
      <c r="A60" s="243"/>
      <c r="B60" s="248">
        <v>6300</v>
      </c>
      <c r="C60" s="248" t="s">
        <v>48</v>
      </c>
      <c r="D60" s="241">
        <v>17773550</v>
      </c>
      <c r="E60" s="241">
        <v>7067613</v>
      </c>
      <c r="F60" s="241">
        <v>3800000</v>
      </c>
      <c r="G60" s="241">
        <v>2095950</v>
      </c>
      <c r="H60" s="241"/>
      <c r="I60" s="241">
        <v>19121113</v>
      </c>
      <c r="J60" s="241">
        <v>13179263</v>
      </c>
      <c r="K60" s="241">
        <v>0</v>
      </c>
      <c r="L60" s="241">
        <v>0</v>
      </c>
      <c r="M60" s="241">
        <v>0</v>
      </c>
      <c r="N60" s="337">
        <f t="shared" si="19"/>
        <v>0</v>
      </c>
      <c r="O60" s="241">
        <f t="shared" si="18"/>
        <v>0</v>
      </c>
      <c r="P60" s="331">
        <f t="shared" si="12"/>
        <v>63037489</v>
      </c>
      <c r="Q60" s="227"/>
      <c r="R60" s="227"/>
      <c r="S60" s="227"/>
      <c r="T60" s="227"/>
      <c r="U60" s="227"/>
      <c r="V60" s="227"/>
      <c r="W60" s="227"/>
      <c r="X60" s="227"/>
      <c r="Y60" s="227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N60" s="129">
        <v>0</v>
      </c>
    </row>
    <row r="61" spans="1:66">
      <c r="A61" s="243"/>
      <c r="B61" s="248">
        <v>6301</v>
      </c>
      <c r="C61" s="248" t="s">
        <v>49</v>
      </c>
      <c r="D61" s="241">
        <v>247500</v>
      </c>
      <c r="E61" s="241"/>
      <c r="F61" s="241"/>
      <c r="G61" s="241"/>
      <c r="H61" s="241"/>
      <c r="I61" s="241"/>
      <c r="J61" s="241"/>
      <c r="K61" s="241">
        <v>0</v>
      </c>
      <c r="L61" s="241">
        <v>0</v>
      </c>
      <c r="M61" s="241">
        <v>0</v>
      </c>
      <c r="N61" s="337">
        <f t="shared" si="19"/>
        <v>0</v>
      </c>
      <c r="O61" s="241">
        <f t="shared" si="18"/>
        <v>0</v>
      </c>
      <c r="P61" s="331">
        <f t="shared" si="12"/>
        <v>247500</v>
      </c>
      <c r="Q61" s="227"/>
      <c r="R61" s="227"/>
      <c r="S61" s="227"/>
      <c r="T61" s="227"/>
      <c r="U61" s="227"/>
      <c r="V61" s="227"/>
      <c r="W61" s="227"/>
      <c r="X61" s="227"/>
      <c r="Y61" s="227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N61" s="129"/>
    </row>
    <row r="62" spans="1:66">
      <c r="A62" s="243"/>
      <c r="B62" s="248">
        <v>6302</v>
      </c>
      <c r="C62" s="248" t="s">
        <v>50</v>
      </c>
      <c r="D62" s="241">
        <v>41273889</v>
      </c>
      <c r="E62" s="241">
        <v>42099049</v>
      </c>
      <c r="F62" s="241">
        <v>51599763</v>
      </c>
      <c r="G62" s="241">
        <v>34464507</v>
      </c>
      <c r="H62" s="241">
        <v>72961702</v>
      </c>
      <c r="I62" s="241">
        <v>42190339</v>
      </c>
      <c r="J62" s="241">
        <v>27971000</v>
      </c>
      <c r="K62" s="241">
        <v>40000000</v>
      </c>
      <c r="L62" s="241">
        <f>+K62</f>
        <v>40000000</v>
      </c>
      <c r="M62" s="241">
        <f>+K62</f>
        <v>40000000</v>
      </c>
      <c r="N62" s="337">
        <f t="shared" si="19"/>
        <v>40000000</v>
      </c>
      <c r="O62" s="241">
        <f t="shared" si="18"/>
        <v>40000000</v>
      </c>
      <c r="P62" s="331">
        <f t="shared" si="12"/>
        <v>512560249</v>
      </c>
      <c r="Q62" s="227"/>
      <c r="R62" s="227"/>
      <c r="S62" s="227"/>
      <c r="T62" s="227"/>
      <c r="U62" s="227"/>
      <c r="V62" s="227"/>
      <c r="W62" s="227"/>
      <c r="X62" s="227"/>
      <c r="Y62" s="227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80"/>
      <c r="AY62" s="80">
        <v>17.661297916666669</v>
      </c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N62" s="129">
        <v>17.661297916666669</v>
      </c>
    </row>
    <row r="63" spans="1:66">
      <c r="A63" s="243"/>
      <c r="B63" s="248">
        <v>6303</v>
      </c>
      <c r="C63" s="248" t="s">
        <v>51</v>
      </c>
      <c r="D63" s="241">
        <v>11363500</v>
      </c>
      <c r="E63" s="241">
        <v>24404000</v>
      </c>
      <c r="F63" s="241">
        <v>12160000</v>
      </c>
      <c r="G63" s="241">
        <v>18676200</v>
      </c>
      <c r="H63" s="241">
        <v>6325000</v>
      </c>
      <c r="I63" s="241"/>
      <c r="J63" s="241">
        <v>2015000</v>
      </c>
      <c r="K63" s="241">
        <v>5000000</v>
      </c>
      <c r="L63" s="241">
        <v>5000000</v>
      </c>
      <c r="M63" s="241">
        <v>5000000</v>
      </c>
      <c r="N63" s="337">
        <f t="shared" si="19"/>
        <v>5000000</v>
      </c>
      <c r="O63" s="241">
        <f t="shared" si="18"/>
        <v>5000000</v>
      </c>
      <c r="P63" s="331">
        <f t="shared" si="12"/>
        <v>99943700</v>
      </c>
      <c r="Q63" s="227"/>
      <c r="R63" s="227"/>
      <c r="S63" s="227"/>
      <c r="T63" s="227"/>
      <c r="U63" s="227"/>
      <c r="V63" s="227"/>
      <c r="W63" s="227"/>
      <c r="X63" s="227"/>
      <c r="Y63" s="227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80"/>
      <c r="AY63" s="80">
        <v>5</v>
      </c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N63" s="129">
        <v>5</v>
      </c>
    </row>
    <row r="64" spans="1:66">
      <c r="A64" s="243"/>
      <c r="B64" s="248">
        <v>6304</v>
      </c>
      <c r="C64" s="248" t="s">
        <v>52</v>
      </c>
      <c r="D64" s="241"/>
      <c r="E64" s="241">
        <v>2280000</v>
      </c>
      <c r="F64" s="241"/>
      <c r="G64" s="241">
        <v>12880000</v>
      </c>
      <c r="H64" s="241"/>
      <c r="I64" s="241">
        <v>12192000</v>
      </c>
      <c r="J64" s="241"/>
      <c r="K64" s="241">
        <v>10000000</v>
      </c>
      <c r="L64" s="241">
        <v>10000000</v>
      </c>
      <c r="M64" s="241">
        <v>10000000</v>
      </c>
      <c r="N64" s="337">
        <f t="shared" si="19"/>
        <v>10000000</v>
      </c>
      <c r="O64" s="241">
        <f t="shared" si="18"/>
        <v>10000000</v>
      </c>
      <c r="P64" s="331">
        <f t="shared" si="12"/>
        <v>77352000</v>
      </c>
      <c r="Q64" s="227"/>
      <c r="R64" s="227"/>
      <c r="S64" s="227"/>
      <c r="T64" s="227"/>
      <c r="U64" s="227"/>
      <c r="V64" s="227"/>
      <c r="W64" s="227"/>
      <c r="X64" s="227"/>
      <c r="Y64" s="227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80"/>
      <c r="AY64" s="80">
        <v>10</v>
      </c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N64" s="129">
        <v>10</v>
      </c>
    </row>
    <row r="65" spans="1:66">
      <c r="A65" s="243"/>
      <c r="B65" s="248">
        <v>6306</v>
      </c>
      <c r="C65" s="248" t="s">
        <v>53</v>
      </c>
      <c r="D65" s="241"/>
      <c r="E65" s="241"/>
      <c r="F65" s="241"/>
      <c r="G65" s="241"/>
      <c r="H65" s="241"/>
      <c r="I65" s="241"/>
      <c r="J65" s="241"/>
      <c r="K65" s="241">
        <v>4270000</v>
      </c>
      <c r="L65" s="241">
        <v>4270000</v>
      </c>
      <c r="M65" s="241">
        <v>4270000</v>
      </c>
      <c r="N65" s="337">
        <f t="shared" si="19"/>
        <v>4270000</v>
      </c>
      <c r="O65" s="241">
        <f t="shared" si="18"/>
        <v>4270000</v>
      </c>
      <c r="P65" s="331">
        <f t="shared" si="12"/>
        <v>21350000</v>
      </c>
      <c r="Q65" s="227"/>
      <c r="R65" s="227"/>
      <c r="S65" s="227"/>
      <c r="T65" s="227"/>
      <c r="U65" s="227"/>
      <c r="V65" s="227"/>
      <c r="W65" s="227"/>
      <c r="X65" s="227"/>
      <c r="Y65" s="227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80"/>
      <c r="AY65" s="80">
        <v>4.2699999999999996</v>
      </c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N65" s="129">
        <v>4.2699999999999996</v>
      </c>
    </row>
    <row r="66" spans="1:66">
      <c r="A66" s="243"/>
      <c r="B66" s="248">
        <v>6307</v>
      </c>
      <c r="C66" s="248" t="s">
        <v>54</v>
      </c>
      <c r="D66" s="241">
        <v>51195135</v>
      </c>
      <c r="E66" s="241">
        <v>55979050</v>
      </c>
      <c r="F66" s="241">
        <v>29873772</v>
      </c>
      <c r="G66" s="241">
        <v>64919660</v>
      </c>
      <c r="H66" s="241">
        <v>45372089</v>
      </c>
      <c r="I66" s="241">
        <v>78421580</v>
      </c>
      <c r="J66" s="241">
        <v>60118490</v>
      </c>
      <c r="K66" s="241">
        <v>67000000</v>
      </c>
      <c r="L66" s="241">
        <v>67000000</v>
      </c>
      <c r="M66" s="241">
        <f>+K66</f>
        <v>67000000</v>
      </c>
      <c r="N66" s="337">
        <f t="shared" si="19"/>
        <v>67000000</v>
      </c>
      <c r="O66" s="241">
        <f t="shared" si="18"/>
        <v>67000000</v>
      </c>
      <c r="P66" s="331">
        <f t="shared" si="12"/>
        <v>720879776</v>
      </c>
      <c r="Q66" s="227"/>
      <c r="R66" s="227"/>
      <c r="S66" s="227"/>
      <c r="T66" s="227"/>
      <c r="U66" s="227"/>
      <c r="V66" s="227"/>
      <c r="W66" s="227"/>
      <c r="X66" s="227"/>
      <c r="Y66" s="227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80"/>
      <c r="AY66" s="80">
        <v>67.479608333333331</v>
      </c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N66" s="129">
        <v>67.479608333333331</v>
      </c>
    </row>
    <row r="67" spans="1:66">
      <c r="A67" s="243"/>
      <c r="B67" s="248"/>
      <c r="C67" s="248"/>
      <c r="D67" s="241"/>
      <c r="E67" s="241"/>
      <c r="F67" s="241"/>
      <c r="G67" s="241"/>
      <c r="H67" s="241"/>
      <c r="I67" s="241"/>
      <c r="J67" s="241"/>
      <c r="K67" s="241">
        <v>0</v>
      </c>
      <c r="L67" s="241">
        <v>0</v>
      </c>
      <c r="M67" s="241">
        <v>0</v>
      </c>
      <c r="N67" s="337">
        <f t="shared" si="19"/>
        <v>0</v>
      </c>
      <c r="O67" s="241">
        <f t="shared" si="18"/>
        <v>0</v>
      </c>
      <c r="P67" s="331">
        <f t="shared" si="12"/>
        <v>0</v>
      </c>
      <c r="Q67" s="227"/>
      <c r="R67" s="227"/>
      <c r="S67" s="227"/>
      <c r="T67" s="227"/>
      <c r="U67" s="227"/>
      <c r="V67" s="227"/>
      <c r="W67" s="227"/>
      <c r="X67" s="227"/>
      <c r="Y67" s="227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N67" s="129"/>
    </row>
    <row r="68" spans="1:66">
      <c r="A68" s="243"/>
      <c r="B68" s="247" t="s">
        <v>55</v>
      </c>
      <c r="C68" s="248"/>
      <c r="D68" s="241"/>
      <c r="E68" s="241"/>
      <c r="F68" s="241"/>
      <c r="G68" s="241"/>
      <c r="H68" s="241"/>
      <c r="I68" s="241"/>
      <c r="J68" s="241"/>
      <c r="K68" s="241">
        <v>0</v>
      </c>
      <c r="L68" s="241">
        <v>0</v>
      </c>
      <c r="M68" s="241">
        <v>0</v>
      </c>
      <c r="N68" s="337">
        <f t="shared" si="19"/>
        <v>0</v>
      </c>
      <c r="O68" s="241">
        <f t="shared" si="18"/>
        <v>0</v>
      </c>
      <c r="P68" s="331">
        <f t="shared" si="12"/>
        <v>0</v>
      </c>
      <c r="Q68" s="227"/>
      <c r="R68" s="227"/>
      <c r="S68" s="227"/>
      <c r="T68" s="227"/>
      <c r="U68" s="227"/>
      <c r="V68" s="227"/>
      <c r="W68" s="227"/>
      <c r="X68" s="227"/>
      <c r="Y68" s="227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N68" s="129"/>
    </row>
    <row r="69" spans="1:66">
      <c r="A69" s="243"/>
      <c r="B69" s="248">
        <v>6500</v>
      </c>
      <c r="C69" s="248" t="s">
        <v>56</v>
      </c>
      <c r="D69" s="241">
        <v>901601</v>
      </c>
      <c r="E69" s="241">
        <v>2246941</v>
      </c>
      <c r="F69" s="241">
        <v>617336.56999999995</v>
      </c>
      <c r="G69" s="241">
        <v>466639.56</v>
      </c>
      <c r="H69" s="241">
        <v>852646</v>
      </c>
      <c r="I69" s="241">
        <v>2334580.91</v>
      </c>
      <c r="J69" s="241">
        <v>84500</v>
      </c>
      <c r="K69" s="241">
        <v>1500000</v>
      </c>
      <c r="L69" s="241">
        <v>1500000</v>
      </c>
      <c r="M69" s="241">
        <v>1500000</v>
      </c>
      <c r="N69" s="337">
        <f t="shared" si="19"/>
        <v>1500000</v>
      </c>
      <c r="O69" s="241">
        <f t="shared" si="18"/>
        <v>1500000</v>
      </c>
      <c r="P69" s="331">
        <f t="shared" si="12"/>
        <v>15004245.039999999</v>
      </c>
      <c r="Q69" s="227"/>
      <c r="R69" s="227"/>
      <c r="S69" s="227"/>
      <c r="T69" s="227"/>
      <c r="U69" s="227"/>
      <c r="V69" s="227"/>
      <c r="W69" s="227"/>
      <c r="X69" s="227"/>
      <c r="Y69" s="227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80"/>
      <c r="AY69" s="80">
        <v>1.5</v>
      </c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N69" s="129">
        <v>1.5</v>
      </c>
    </row>
    <row r="70" spans="1:66">
      <c r="A70" s="243"/>
      <c r="B70" s="248">
        <v>6501</v>
      </c>
      <c r="C70" s="248" t="s">
        <v>57</v>
      </c>
      <c r="D70" s="241"/>
      <c r="E70" s="241"/>
      <c r="F70" s="241"/>
      <c r="G70" s="241"/>
      <c r="H70" s="241"/>
      <c r="I70" s="241"/>
      <c r="J70" s="241"/>
      <c r="K70" s="241">
        <v>0</v>
      </c>
      <c r="L70" s="241">
        <v>0</v>
      </c>
      <c r="M70" s="241">
        <v>0</v>
      </c>
      <c r="N70" s="337">
        <f t="shared" si="19"/>
        <v>0</v>
      </c>
      <c r="O70" s="241">
        <f t="shared" si="18"/>
        <v>0</v>
      </c>
      <c r="P70" s="331">
        <f t="shared" si="12"/>
        <v>0</v>
      </c>
      <c r="Q70" s="227"/>
      <c r="R70" s="227"/>
      <c r="S70" s="227"/>
      <c r="T70" s="227"/>
      <c r="U70" s="227"/>
      <c r="V70" s="227"/>
      <c r="W70" s="227"/>
      <c r="X70" s="227"/>
      <c r="Y70" s="227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N70" s="129"/>
    </row>
    <row r="71" spans="1:66">
      <c r="A71" s="243"/>
      <c r="B71" s="248"/>
      <c r="C71" s="248"/>
      <c r="D71" s="241"/>
      <c r="E71" s="241"/>
      <c r="F71" s="241"/>
      <c r="G71" s="241"/>
      <c r="H71" s="241"/>
      <c r="I71" s="241"/>
      <c r="J71" s="241"/>
      <c r="K71" s="241">
        <v>0</v>
      </c>
      <c r="L71" s="241">
        <v>0</v>
      </c>
      <c r="M71" s="241">
        <v>0</v>
      </c>
      <c r="N71" s="337">
        <f t="shared" si="19"/>
        <v>0</v>
      </c>
      <c r="O71" s="241">
        <f t="shared" si="18"/>
        <v>0</v>
      </c>
      <c r="P71" s="331">
        <f t="shared" si="12"/>
        <v>0</v>
      </c>
      <c r="Q71" s="227"/>
      <c r="R71" s="227"/>
      <c r="S71" s="227"/>
      <c r="T71" s="227"/>
      <c r="U71" s="227"/>
      <c r="V71" s="227"/>
      <c r="W71" s="227"/>
      <c r="X71" s="227"/>
      <c r="Y71" s="227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N71" s="129"/>
    </row>
    <row r="72" spans="1:66">
      <c r="A72" s="243"/>
      <c r="B72" s="247" t="s">
        <v>58</v>
      </c>
      <c r="C72" s="248"/>
      <c r="D72" s="241"/>
      <c r="E72" s="241"/>
      <c r="F72" s="241"/>
      <c r="G72" s="241"/>
      <c r="H72" s="241"/>
      <c r="I72" s="241"/>
      <c r="J72" s="241"/>
      <c r="K72" s="241">
        <v>0</v>
      </c>
      <c r="L72" s="241">
        <v>0</v>
      </c>
      <c r="M72" s="241">
        <v>0</v>
      </c>
      <c r="N72" s="337">
        <f t="shared" si="19"/>
        <v>0</v>
      </c>
      <c r="O72" s="241">
        <f t="shared" si="18"/>
        <v>0</v>
      </c>
      <c r="P72" s="331">
        <f t="shared" si="12"/>
        <v>0</v>
      </c>
      <c r="Q72" s="227"/>
      <c r="R72" s="227"/>
      <c r="S72" s="227"/>
      <c r="T72" s="227"/>
      <c r="U72" s="227"/>
      <c r="V72" s="227"/>
      <c r="W72" s="227"/>
      <c r="X72" s="227"/>
      <c r="Y72" s="227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N72" s="129"/>
    </row>
    <row r="73" spans="1:66">
      <c r="A73" s="243"/>
      <c r="B73" s="248">
        <v>6600</v>
      </c>
      <c r="C73" s="248" t="s">
        <v>59</v>
      </c>
      <c r="D73" s="241">
        <v>1503762</v>
      </c>
      <c r="E73" s="241">
        <v>6627864</v>
      </c>
      <c r="F73" s="241">
        <v>5278598</v>
      </c>
      <c r="G73" s="241">
        <v>4089354</v>
      </c>
      <c r="H73" s="241">
        <v>37700969</v>
      </c>
      <c r="I73" s="241">
        <v>7518240</v>
      </c>
      <c r="J73" s="241">
        <v>6355404</v>
      </c>
      <c r="K73" s="241">
        <v>4000000</v>
      </c>
      <c r="L73" s="241">
        <v>4000000</v>
      </c>
      <c r="M73" s="241">
        <v>4000000</v>
      </c>
      <c r="N73" s="337">
        <f t="shared" si="19"/>
        <v>4000000</v>
      </c>
      <c r="O73" s="241">
        <f t="shared" si="18"/>
        <v>4000000</v>
      </c>
      <c r="P73" s="331">
        <f t="shared" si="12"/>
        <v>89074191</v>
      </c>
      <c r="Q73" s="227"/>
      <c r="R73" s="227"/>
      <c r="S73" s="227"/>
      <c r="T73" s="227"/>
      <c r="U73" s="227"/>
      <c r="V73" s="227"/>
      <c r="W73" s="227"/>
      <c r="X73" s="227"/>
      <c r="Y73" s="227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80"/>
      <c r="AY73" s="80">
        <v>4</v>
      </c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N73" s="129">
        <v>4</v>
      </c>
    </row>
    <row r="74" spans="1:66">
      <c r="A74" s="243"/>
      <c r="B74" s="248">
        <v>6600</v>
      </c>
      <c r="C74" s="248" t="s">
        <v>60</v>
      </c>
      <c r="D74" s="241"/>
      <c r="E74" s="241"/>
      <c r="F74" s="241"/>
      <c r="G74" s="241">
        <v>15184112</v>
      </c>
      <c r="H74" s="241"/>
      <c r="I74" s="241"/>
      <c r="J74" s="241"/>
      <c r="K74" s="241">
        <v>0</v>
      </c>
      <c r="L74" s="241">
        <v>0</v>
      </c>
      <c r="M74" s="241"/>
      <c r="N74" s="337">
        <f t="shared" si="19"/>
        <v>0</v>
      </c>
      <c r="O74" s="241">
        <f t="shared" si="18"/>
        <v>0</v>
      </c>
      <c r="P74" s="331">
        <f t="shared" si="12"/>
        <v>15184112</v>
      </c>
      <c r="Q74" s="227"/>
      <c r="R74" s="227"/>
      <c r="S74" s="227"/>
      <c r="T74" s="227"/>
      <c r="U74" s="227"/>
      <c r="V74" s="227"/>
      <c r="W74" s="227"/>
      <c r="X74" s="227"/>
      <c r="Y74" s="227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N74" s="129"/>
    </row>
    <row r="75" spans="1:66">
      <c r="A75" s="243"/>
      <c r="B75" s="248"/>
      <c r="C75" s="248"/>
      <c r="D75" s="241"/>
      <c r="E75" s="241"/>
      <c r="F75" s="241"/>
      <c r="G75" s="241"/>
      <c r="H75" s="241"/>
      <c r="I75" s="241"/>
      <c r="J75" s="241"/>
      <c r="K75" s="241">
        <v>0</v>
      </c>
      <c r="L75" s="241">
        <v>0</v>
      </c>
      <c r="M75" s="241">
        <v>0</v>
      </c>
      <c r="N75" s="337">
        <f t="shared" si="19"/>
        <v>0</v>
      </c>
      <c r="O75" s="241">
        <f t="shared" si="18"/>
        <v>0</v>
      </c>
      <c r="P75" s="331">
        <f t="shared" si="12"/>
        <v>0</v>
      </c>
      <c r="Q75" s="227"/>
      <c r="R75" s="227"/>
      <c r="S75" s="227"/>
      <c r="T75" s="227"/>
      <c r="U75" s="227"/>
      <c r="V75" s="227"/>
      <c r="W75" s="227"/>
      <c r="X75" s="227"/>
      <c r="Y75" s="227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N75" s="129"/>
    </row>
    <row r="76" spans="1:66">
      <c r="A76" s="243"/>
      <c r="B76" s="247" t="s">
        <v>61</v>
      </c>
      <c r="C76" s="248"/>
      <c r="D76" s="241"/>
      <c r="E76" s="241"/>
      <c r="F76" s="241"/>
      <c r="G76" s="241"/>
      <c r="H76" s="241"/>
      <c r="I76" s="241"/>
      <c r="J76" s="241"/>
      <c r="K76" s="241">
        <v>0</v>
      </c>
      <c r="L76" s="241">
        <v>0</v>
      </c>
      <c r="M76" s="241">
        <v>0</v>
      </c>
      <c r="N76" s="337">
        <f t="shared" si="19"/>
        <v>0</v>
      </c>
      <c r="O76" s="241">
        <f t="shared" si="18"/>
        <v>0</v>
      </c>
      <c r="P76" s="331">
        <f t="shared" si="12"/>
        <v>0</v>
      </c>
      <c r="Q76" s="227"/>
      <c r="R76" s="227"/>
      <c r="S76" s="227"/>
      <c r="T76" s="227"/>
      <c r="U76" s="227"/>
      <c r="V76" s="227"/>
      <c r="W76" s="227"/>
      <c r="X76" s="227"/>
      <c r="Y76" s="227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N76" s="129"/>
    </row>
    <row r="77" spans="1:66">
      <c r="A77" s="243"/>
      <c r="B77" s="248">
        <v>6200</v>
      </c>
      <c r="C77" s="414" t="s">
        <v>543</v>
      </c>
      <c r="D77" s="241">
        <v>38412700</v>
      </c>
      <c r="E77" s="241">
        <v>30468050</v>
      </c>
      <c r="F77" s="241">
        <v>29160800</v>
      </c>
      <c r="G77" s="241">
        <v>10498400</v>
      </c>
      <c r="H77" s="241">
        <v>3254900</v>
      </c>
      <c r="I77" s="241">
        <v>24896900</v>
      </c>
      <c r="J77" s="241">
        <v>12482350</v>
      </c>
      <c r="K77" s="241">
        <v>9000000</v>
      </c>
      <c r="L77" s="241">
        <v>9000000</v>
      </c>
      <c r="M77" s="241">
        <v>9000000</v>
      </c>
      <c r="N77" s="337">
        <f t="shared" si="19"/>
        <v>9000000</v>
      </c>
      <c r="O77" s="241">
        <f t="shared" si="18"/>
        <v>9000000</v>
      </c>
      <c r="P77" s="331">
        <f t="shared" si="12"/>
        <v>194174100</v>
      </c>
      <c r="Q77" s="227"/>
      <c r="R77" s="227"/>
      <c r="S77" s="227"/>
      <c r="T77" s="227"/>
      <c r="U77" s="227"/>
      <c r="V77" s="227"/>
      <c r="W77" s="227"/>
      <c r="X77" s="227"/>
      <c r="Y77" s="227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80"/>
      <c r="AY77" s="80">
        <v>9</v>
      </c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N77" s="129">
        <v>9</v>
      </c>
    </row>
    <row r="78" spans="1:66">
      <c r="A78" s="243"/>
      <c r="B78" s="248">
        <v>6201</v>
      </c>
      <c r="C78" s="414" t="s">
        <v>544</v>
      </c>
      <c r="D78" s="241">
        <v>2260000</v>
      </c>
      <c r="E78" s="241">
        <v>3426000</v>
      </c>
      <c r="F78" s="241">
        <v>5530000</v>
      </c>
      <c r="G78" s="241">
        <v>5267500</v>
      </c>
      <c r="H78" s="241">
        <v>3120000</v>
      </c>
      <c r="I78" s="241">
        <v>4690000</v>
      </c>
      <c r="J78" s="241">
        <v>2255000</v>
      </c>
      <c r="K78" s="241">
        <v>4000000</v>
      </c>
      <c r="L78" s="241">
        <v>4000000</v>
      </c>
      <c r="M78" s="241">
        <v>4000000</v>
      </c>
      <c r="N78" s="337">
        <f t="shared" si="19"/>
        <v>4000000</v>
      </c>
      <c r="O78" s="241">
        <f t="shared" si="18"/>
        <v>4000000</v>
      </c>
      <c r="P78" s="331">
        <f t="shared" si="12"/>
        <v>46548500</v>
      </c>
      <c r="Q78" s="227"/>
      <c r="R78" s="227"/>
      <c r="S78" s="227"/>
      <c r="T78" s="227"/>
      <c r="U78" s="227"/>
      <c r="V78" s="227"/>
      <c r="W78" s="227"/>
      <c r="X78" s="227"/>
      <c r="Y78" s="227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80"/>
      <c r="AY78" s="80">
        <v>4</v>
      </c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N78" s="129">
        <v>4</v>
      </c>
    </row>
    <row r="79" spans="1:66">
      <c r="A79" s="243"/>
      <c r="B79" s="248">
        <v>6210</v>
      </c>
      <c r="C79" s="414" t="s">
        <v>545</v>
      </c>
      <c r="D79" s="241"/>
      <c r="E79" s="241"/>
      <c r="F79" s="241"/>
      <c r="G79" s="241"/>
      <c r="H79" s="241"/>
      <c r="I79" s="241"/>
      <c r="J79" s="241"/>
      <c r="K79" s="241">
        <v>1500000</v>
      </c>
      <c r="L79" s="241">
        <v>1500000</v>
      </c>
      <c r="M79" s="241">
        <v>1500000</v>
      </c>
      <c r="N79" s="337">
        <f t="shared" si="19"/>
        <v>1500000</v>
      </c>
      <c r="O79" s="241">
        <f t="shared" si="18"/>
        <v>1500000</v>
      </c>
      <c r="P79" s="331">
        <f t="shared" si="12"/>
        <v>7500000</v>
      </c>
      <c r="Q79" s="227"/>
      <c r="R79" s="227"/>
      <c r="S79" s="227"/>
      <c r="T79" s="227"/>
      <c r="U79" s="227"/>
      <c r="V79" s="227"/>
      <c r="W79" s="227"/>
      <c r="X79" s="227"/>
      <c r="Y79" s="227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80"/>
      <c r="AY79" s="80">
        <v>1.5</v>
      </c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N79" s="129">
        <v>1.5</v>
      </c>
    </row>
    <row r="80" spans="1:66">
      <c r="A80" s="243"/>
      <c r="B80" s="248">
        <v>6211</v>
      </c>
      <c r="C80" s="414" t="s">
        <v>546</v>
      </c>
      <c r="D80" s="241"/>
      <c r="E80" s="241"/>
      <c r="F80" s="241"/>
      <c r="G80" s="241"/>
      <c r="H80" s="241"/>
      <c r="I80" s="241"/>
      <c r="J80" s="241"/>
      <c r="K80" s="241">
        <v>500000</v>
      </c>
      <c r="L80" s="241">
        <v>500000</v>
      </c>
      <c r="M80" s="241">
        <v>500000</v>
      </c>
      <c r="N80" s="337">
        <f t="shared" si="19"/>
        <v>500000</v>
      </c>
      <c r="O80" s="241">
        <f t="shared" si="18"/>
        <v>500000</v>
      </c>
      <c r="P80" s="331">
        <f t="shared" si="12"/>
        <v>2500000</v>
      </c>
      <c r="Q80" s="227"/>
      <c r="R80" s="227"/>
      <c r="S80" s="227"/>
      <c r="T80" s="227"/>
      <c r="U80" s="227"/>
      <c r="V80" s="227"/>
      <c r="W80" s="227"/>
      <c r="X80" s="227"/>
      <c r="Y80" s="227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80"/>
      <c r="AY80" s="80">
        <v>0.5</v>
      </c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N80" s="129">
        <v>0.5</v>
      </c>
    </row>
    <row r="81" spans="1:66">
      <c r="A81" s="243"/>
      <c r="B81" s="248">
        <v>6220</v>
      </c>
      <c r="C81" s="414" t="s">
        <v>547</v>
      </c>
      <c r="D81" s="241"/>
      <c r="E81" s="241"/>
      <c r="F81" s="241"/>
      <c r="G81" s="241"/>
      <c r="H81" s="241"/>
      <c r="I81" s="241"/>
      <c r="J81" s="241"/>
      <c r="K81" s="241">
        <v>1000000</v>
      </c>
      <c r="L81" s="241">
        <v>1000000</v>
      </c>
      <c r="M81" s="241">
        <v>1000000</v>
      </c>
      <c r="N81" s="337">
        <f t="shared" si="19"/>
        <v>1000000</v>
      </c>
      <c r="O81" s="241">
        <f t="shared" si="18"/>
        <v>1000000</v>
      </c>
      <c r="P81" s="331">
        <f t="shared" ref="P81:P132" si="21">SUM(D81:O81)</f>
        <v>5000000</v>
      </c>
      <c r="Q81" s="227"/>
      <c r="R81" s="227"/>
      <c r="S81" s="227"/>
      <c r="T81" s="227"/>
      <c r="U81" s="227"/>
      <c r="V81" s="227"/>
      <c r="W81" s="227"/>
      <c r="X81" s="227"/>
      <c r="Y81" s="227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80"/>
      <c r="AY81" s="80">
        <v>1</v>
      </c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N81" s="129">
        <v>1</v>
      </c>
    </row>
    <row r="82" spans="1:66">
      <c r="A82" s="243"/>
      <c r="B82" s="248">
        <v>6221</v>
      </c>
      <c r="C82" s="414" t="s">
        <v>548</v>
      </c>
      <c r="D82" s="241"/>
      <c r="E82" s="241"/>
      <c r="F82" s="241"/>
      <c r="G82" s="241"/>
      <c r="H82" s="241"/>
      <c r="I82" s="241"/>
      <c r="J82" s="241"/>
      <c r="K82" s="241">
        <v>500000</v>
      </c>
      <c r="L82" s="241">
        <v>500000</v>
      </c>
      <c r="M82" s="241">
        <v>500000</v>
      </c>
      <c r="N82" s="337">
        <f t="shared" si="19"/>
        <v>500000</v>
      </c>
      <c r="O82" s="241">
        <f t="shared" si="18"/>
        <v>500000</v>
      </c>
      <c r="P82" s="331">
        <f t="shared" si="21"/>
        <v>2500000</v>
      </c>
      <c r="Q82" s="227"/>
      <c r="R82" s="227"/>
      <c r="S82" s="227"/>
      <c r="T82" s="227"/>
      <c r="U82" s="227"/>
      <c r="V82" s="227"/>
      <c r="W82" s="227"/>
      <c r="X82" s="227"/>
      <c r="Y82" s="227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80"/>
      <c r="AY82" s="80">
        <v>0.5</v>
      </c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N82" s="129">
        <v>0.5</v>
      </c>
    </row>
    <row r="83" spans="1:66">
      <c r="A83" s="243"/>
      <c r="B83" s="248">
        <v>6230</v>
      </c>
      <c r="C83" s="248" t="s">
        <v>68</v>
      </c>
      <c r="D83" s="241">
        <v>100000</v>
      </c>
      <c r="E83" s="241">
        <v>53000</v>
      </c>
      <c r="F83" s="241"/>
      <c r="G83" s="241">
        <v>190000</v>
      </c>
      <c r="H83" s="241">
        <v>4444000</v>
      </c>
      <c r="I83" s="241">
        <v>725000</v>
      </c>
      <c r="J83" s="241"/>
      <c r="K83" s="241">
        <v>99999.999999999985</v>
      </c>
      <c r="L83" s="241">
        <v>2762500</v>
      </c>
      <c r="M83" s="241">
        <v>3099999.9999999995</v>
      </c>
      <c r="N83" s="337">
        <f t="shared" si="19"/>
        <v>3099999.9999999995</v>
      </c>
      <c r="O83" s="241">
        <f t="shared" si="18"/>
        <v>3099999.9999999995</v>
      </c>
      <c r="P83" s="331">
        <f t="shared" si="21"/>
        <v>17674500</v>
      </c>
      <c r="Q83" s="227"/>
      <c r="R83" s="227"/>
      <c r="S83" s="227"/>
      <c r="T83" s="227"/>
      <c r="U83" s="227"/>
      <c r="V83" s="227"/>
      <c r="W83" s="227"/>
      <c r="X83" s="227"/>
      <c r="Y83" s="227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80"/>
      <c r="AY83" s="80">
        <v>32.255000000000003</v>
      </c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N83" s="129">
        <v>9.9999999999999992E-2</v>
      </c>
    </row>
    <row r="84" spans="1:66">
      <c r="A84" s="243"/>
      <c r="B84" s="248">
        <v>6231</v>
      </c>
      <c r="C84" s="248" t="s">
        <v>69</v>
      </c>
      <c r="D84" s="241">
        <v>5629293</v>
      </c>
      <c r="E84" s="241">
        <v>5523000</v>
      </c>
      <c r="F84" s="241">
        <v>2654000</v>
      </c>
      <c r="G84" s="241">
        <v>2062500</v>
      </c>
      <c r="H84" s="241">
        <v>4055000</v>
      </c>
      <c r="I84" s="241">
        <v>2766000</v>
      </c>
      <c r="J84" s="241">
        <v>703000</v>
      </c>
      <c r="K84" s="241">
        <v>2000000</v>
      </c>
      <c r="L84" s="241">
        <v>0</v>
      </c>
      <c r="M84" s="241">
        <v>2000000</v>
      </c>
      <c r="N84" s="337">
        <f t="shared" si="19"/>
        <v>2000000</v>
      </c>
      <c r="O84" s="241">
        <f t="shared" si="18"/>
        <v>2000000</v>
      </c>
      <c r="P84" s="331">
        <f t="shared" si="21"/>
        <v>31392793</v>
      </c>
      <c r="Q84" s="227"/>
      <c r="R84" s="227"/>
      <c r="S84" s="227"/>
      <c r="T84" s="227"/>
      <c r="U84" s="227"/>
      <c r="V84" s="227"/>
      <c r="W84" s="227"/>
      <c r="X84" s="227"/>
      <c r="Y84" s="227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80"/>
      <c r="AY84" s="80">
        <v>8</v>
      </c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N84" s="129">
        <v>0</v>
      </c>
    </row>
    <row r="85" spans="1:66">
      <c r="A85" s="243"/>
      <c r="B85" s="248">
        <v>6240</v>
      </c>
      <c r="C85" s="414" t="s">
        <v>549</v>
      </c>
      <c r="D85" s="241">
        <v>937950</v>
      </c>
      <c r="E85" s="241">
        <v>8589700</v>
      </c>
      <c r="F85" s="241">
        <v>46869000</v>
      </c>
      <c r="G85" s="241">
        <v>3783500</v>
      </c>
      <c r="H85" s="241">
        <v>4555000</v>
      </c>
      <c r="I85" s="241">
        <v>26555900</v>
      </c>
      <c r="J85" s="241">
        <v>1732500</v>
      </c>
      <c r="K85" s="241">
        <v>4500000</v>
      </c>
      <c r="L85" s="241">
        <v>4500000</v>
      </c>
      <c r="M85" s="241">
        <v>4500000</v>
      </c>
      <c r="N85" s="337">
        <f t="shared" si="19"/>
        <v>4500000</v>
      </c>
      <c r="O85" s="241">
        <f t="shared" si="18"/>
        <v>4500000</v>
      </c>
      <c r="P85" s="331">
        <f t="shared" si="21"/>
        <v>115523550</v>
      </c>
      <c r="Q85" s="227"/>
      <c r="R85" s="227"/>
      <c r="S85" s="227"/>
      <c r="T85" s="227"/>
      <c r="U85" s="227"/>
      <c r="V85" s="227"/>
      <c r="W85" s="227"/>
      <c r="X85" s="227"/>
      <c r="Y85" s="227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80"/>
      <c r="AY85" s="80">
        <v>4.5</v>
      </c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N85" s="129">
        <v>4.5</v>
      </c>
    </row>
    <row r="86" spans="1:66">
      <c r="A86" s="243"/>
      <c r="B86" s="248">
        <v>6241</v>
      </c>
      <c r="C86" s="414" t="s">
        <v>550</v>
      </c>
      <c r="D86" s="241">
        <v>6080000</v>
      </c>
      <c r="E86" s="241">
        <v>4037000</v>
      </c>
      <c r="F86" s="241">
        <v>15752000</v>
      </c>
      <c r="G86" s="241">
        <v>645000</v>
      </c>
      <c r="H86" s="241">
        <v>1110000</v>
      </c>
      <c r="I86" s="241">
        <v>2880000</v>
      </c>
      <c r="J86" s="241">
        <v>1430000</v>
      </c>
      <c r="K86" s="241">
        <v>2000000</v>
      </c>
      <c r="L86" s="241">
        <v>2000000</v>
      </c>
      <c r="M86" s="241">
        <v>2000000</v>
      </c>
      <c r="N86" s="337">
        <f t="shared" si="19"/>
        <v>2000000</v>
      </c>
      <c r="O86" s="241">
        <f t="shared" si="18"/>
        <v>2000000</v>
      </c>
      <c r="P86" s="331">
        <f t="shared" si="21"/>
        <v>41934000</v>
      </c>
      <c r="Q86" s="227"/>
      <c r="R86" s="227"/>
      <c r="S86" s="227"/>
      <c r="T86" s="227"/>
      <c r="U86" s="227"/>
      <c r="V86" s="227"/>
      <c r="W86" s="227"/>
      <c r="X86" s="227"/>
      <c r="Y86" s="227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80"/>
      <c r="AY86" s="80">
        <v>2</v>
      </c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N86" s="129">
        <v>2</v>
      </c>
    </row>
    <row r="87" spans="1:66">
      <c r="A87" s="243"/>
      <c r="B87" s="248">
        <v>6250</v>
      </c>
      <c r="C87" s="248" t="s">
        <v>72</v>
      </c>
      <c r="D87" s="241">
        <v>34200000</v>
      </c>
      <c r="E87" s="241">
        <v>34200000</v>
      </c>
      <c r="F87" s="241">
        <v>34200000</v>
      </c>
      <c r="G87" s="241">
        <v>34200000</v>
      </c>
      <c r="H87" s="241">
        <v>34200000</v>
      </c>
      <c r="I87" s="241">
        <v>68400000</v>
      </c>
      <c r="J87" s="241"/>
      <c r="K87" s="241">
        <v>34200000</v>
      </c>
      <c r="L87" s="241">
        <f>K87</f>
        <v>34200000</v>
      </c>
      <c r="M87" s="241">
        <f>K87</f>
        <v>34200000</v>
      </c>
      <c r="N87" s="337">
        <f t="shared" si="19"/>
        <v>34200000</v>
      </c>
      <c r="O87" s="241">
        <f t="shared" si="18"/>
        <v>34200000</v>
      </c>
      <c r="P87" s="331">
        <f t="shared" si="21"/>
        <v>410400000</v>
      </c>
      <c r="Q87" s="227"/>
      <c r="R87" s="227"/>
      <c r="S87" s="227"/>
      <c r="T87" s="227"/>
      <c r="U87" s="227"/>
      <c r="V87" s="227"/>
      <c r="W87" s="227"/>
      <c r="X87" s="227"/>
      <c r="Y87" s="227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80"/>
      <c r="AY87" s="80">
        <v>39</v>
      </c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N87" s="129">
        <v>39</v>
      </c>
    </row>
    <row r="88" spans="1:66">
      <c r="A88" s="243"/>
      <c r="B88" s="248"/>
      <c r="C88" s="248"/>
      <c r="D88" s="241"/>
      <c r="E88" s="241"/>
      <c r="F88" s="241"/>
      <c r="G88" s="241"/>
      <c r="H88" s="241"/>
      <c r="I88" s="241"/>
      <c r="J88" s="241"/>
      <c r="K88" s="241">
        <v>0</v>
      </c>
      <c r="L88" s="241">
        <v>0</v>
      </c>
      <c r="M88" s="241">
        <v>0</v>
      </c>
      <c r="N88" s="337">
        <f t="shared" si="19"/>
        <v>0</v>
      </c>
      <c r="O88" s="241">
        <f t="shared" si="18"/>
        <v>0</v>
      </c>
      <c r="P88" s="331">
        <f t="shared" si="21"/>
        <v>0</v>
      </c>
      <c r="Q88" s="227"/>
      <c r="R88" s="227"/>
      <c r="S88" s="227"/>
      <c r="T88" s="227"/>
      <c r="U88" s="227"/>
      <c r="V88" s="227"/>
      <c r="W88" s="227"/>
      <c r="X88" s="227"/>
      <c r="Y88" s="227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N88" s="129"/>
    </row>
    <row r="89" spans="1:66">
      <c r="A89" s="243"/>
      <c r="B89" s="247" t="s">
        <v>73</v>
      </c>
      <c r="C89" s="248"/>
      <c r="D89" s="241"/>
      <c r="E89" s="241"/>
      <c r="F89" s="241"/>
      <c r="G89" s="241"/>
      <c r="H89" s="241"/>
      <c r="I89" s="241"/>
      <c r="J89" s="241"/>
      <c r="K89" s="241">
        <v>0</v>
      </c>
      <c r="L89" s="241">
        <v>0</v>
      </c>
      <c r="M89" s="241">
        <v>0</v>
      </c>
      <c r="N89" s="337">
        <f t="shared" si="19"/>
        <v>0</v>
      </c>
      <c r="O89" s="241">
        <f t="shared" si="18"/>
        <v>0</v>
      </c>
      <c r="P89" s="331">
        <f t="shared" si="21"/>
        <v>0</v>
      </c>
      <c r="Q89" s="227"/>
      <c r="R89" s="227"/>
      <c r="S89" s="227"/>
      <c r="T89" s="227"/>
      <c r="U89" s="227"/>
      <c r="V89" s="227"/>
      <c r="W89" s="227"/>
      <c r="X89" s="227"/>
      <c r="Y89" s="227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N89" s="129"/>
    </row>
    <row r="90" spans="1:66">
      <c r="A90" s="243"/>
      <c r="B90" s="248">
        <v>6000</v>
      </c>
      <c r="C90" s="248" t="s">
        <v>74</v>
      </c>
      <c r="D90" s="241"/>
      <c r="E90" s="241"/>
      <c r="F90" s="241"/>
      <c r="G90" s="241"/>
      <c r="H90" s="241"/>
      <c r="I90" s="241"/>
      <c r="J90" s="241"/>
      <c r="K90" s="241">
        <v>0</v>
      </c>
      <c r="L90" s="241">
        <v>0</v>
      </c>
      <c r="M90" s="241">
        <v>0</v>
      </c>
      <c r="N90" s="337">
        <f t="shared" si="19"/>
        <v>0</v>
      </c>
      <c r="O90" s="241">
        <f t="shared" si="18"/>
        <v>0</v>
      </c>
      <c r="P90" s="331">
        <f t="shared" si="21"/>
        <v>0</v>
      </c>
      <c r="Q90" s="227"/>
      <c r="R90" s="227"/>
      <c r="S90" s="227"/>
      <c r="T90" s="227"/>
      <c r="U90" s="227"/>
      <c r="V90" s="227"/>
      <c r="W90" s="227"/>
      <c r="X90" s="227"/>
      <c r="Y90" s="227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N90" s="129"/>
    </row>
    <row r="91" spans="1:66">
      <c r="A91" s="451"/>
      <c r="B91" s="414">
        <v>6001</v>
      </c>
      <c r="C91" s="414" t="s">
        <v>568</v>
      </c>
      <c r="D91" s="438">
        <v>974192702</v>
      </c>
      <c r="E91" s="438">
        <v>946395189</v>
      </c>
      <c r="F91" s="438">
        <v>1150419296</v>
      </c>
      <c r="G91" s="438">
        <v>1269255474</v>
      </c>
      <c r="H91" s="438">
        <v>1159150729</v>
      </c>
      <c r="I91" s="438">
        <v>1224910450</v>
      </c>
      <c r="J91" s="438">
        <v>1190781971</v>
      </c>
      <c r="K91" s="438">
        <v>1100000000</v>
      </c>
      <c r="L91" s="438">
        <f>+K91</f>
        <v>1100000000</v>
      </c>
      <c r="M91" s="438">
        <f>+L91</f>
        <v>1100000000</v>
      </c>
      <c r="N91" s="453">
        <f t="shared" si="19"/>
        <v>1100000000</v>
      </c>
      <c r="O91" s="438">
        <f t="shared" si="18"/>
        <v>1100000000</v>
      </c>
      <c r="P91" s="454">
        <f t="shared" si="21"/>
        <v>13415105811</v>
      </c>
      <c r="Q91" s="227"/>
      <c r="R91" s="227"/>
      <c r="S91" s="227"/>
      <c r="T91" s="227"/>
      <c r="U91" s="227"/>
      <c r="V91" s="227"/>
      <c r="W91" s="227"/>
      <c r="X91" s="227"/>
      <c r="Y91" s="227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80"/>
      <c r="AY91" s="80">
        <v>1000</v>
      </c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N91" s="129">
        <v>1000</v>
      </c>
    </row>
    <row r="92" spans="1:66">
      <c r="A92" s="451"/>
      <c r="B92" s="414">
        <v>6002</v>
      </c>
      <c r="C92" s="414" t="s">
        <v>569</v>
      </c>
      <c r="D92" s="438">
        <v>78294378</v>
      </c>
      <c r="E92" s="438">
        <v>53037066</v>
      </c>
      <c r="F92" s="438">
        <v>87054467</v>
      </c>
      <c r="G92" s="438">
        <v>71033248</v>
      </c>
      <c r="H92" s="438">
        <v>51414277</v>
      </c>
      <c r="I92" s="438">
        <v>118735400</v>
      </c>
      <c r="J92" s="438">
        <v>68176812</v>
      </c>
      <c r="K92" s="438">
        <v>90000000</v>
      </c>
      <c r="L92" s="438">
        <v>90000000</v>
      </c>
      <c r="M92" s="438">
        <v>90000000</v>
      </c>
      <c r="N92" s="453">
        <f t="shared" si="19"/>
        <v>90000000</v>
      </c>
      <c r="O92" s="438">
        <f t="shared" si="18"/>
        <v>90000000</v>
      </c>
      <c r="P92" s="454">
        <f t="shared" si="21"/>
        <v>977745648</v>
      </c>
      <c r="Q92" s="227"/>
      <c r="R92" s="227"/>
      <c r="S92" s="227"/>
      <c r="T92" s="227"/>
      <c r="U92" s="227"/>
      <c r="V92" s="227"/>
      <c r="W92" s="227"/>
      <c r="X92" s="227"/>
      <c r="Y92" s="227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80"/>
      <c r="AY92" s="80">
        <v>90</v>
      </c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N92" s="129">
        <v>90</v>
      </c>
    </row>
    <row r="93" spans="1:66">
      <c r="A93" s="243"/>
      <c r="B93" s="248">
        <v>6020</v>
      </c>
      <c r="C93" s="248" t="s">
        <v>77</v>
      </c>
      <c r="D93" s="241">
        <v>914329604</v>
      </c>
      <c r="E93" s="241">
        <v>906969099</v>
      </c>
      <c r="F93" s="241">
        <v>1057968297</v>
      </c>
      <c r="G93" s="241">
        <v>1036388172</v>
      </c>
      <c r="H93" s="241">
        <v>1170486312</v>
      </c>
      <c r="I93" s="241">
        <v>1246079170</v>
      </c>
      <c r="J93" s="241">
        <v>1310180383</v>
      </c>
      <c r="K93" s="241">
        <v>1100000000</v>
      </c>
      <c r="L93" s="241">
        <v>1250000000</v>
      </c>
      <c r="M93" s="241">
        <f>+L93</f>
        <v>1250000000</v>
      </c>
      <c r="N93" s="337">
        <f t="shared" si="19"/>
        <v>1250000000</v>
      </c>
      <c r="O93" s="241">
        <f t="shared" si="18"/>
        <v>1250000000</v>
      </c>
      <c r="P93" s="331">
        <f t="shared" si="21"/>
        <v>13742401037</v>
      </c>
      <c r="Q93" s="227"/>
      <c r="R93" s="227"/>
      <c r="S93" s="227"/>
      <c r="T93" s="227"/>
      <c r="U93" s="227"/>
      <c r="V93" s="227"/>
      <c r="W93" s="227"/>
      <c r="X93" s="227"/>
      <c r="Y93" s="227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80"/>
      <c r="AY93" s="80">
        <v>1000</v>
      </c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N93" s="129">
        <v>1000</v>
      </c>
    </row>
    <row r="94" spans="1:66">
      <c r="A94" s="243"/>
      <c r="B94" s="248">
        <v>6021</v>
      </c>
      <c r="C94" s="248" t="s">
        <v>78</v>
      </c>
      <c r="D94" s="241">
        <v>149308473</v>
      </c>
      <c r="E94" s="241"/>
      <c r="F94" s="241">
        <v>160548858</v>
      </c>
      <c r="G94" s="241"/>
      <c r="H94" s="241">
        <v>190966215</v>
      </c>
      <c r="I94" s="241"/>
      <c r="J94" s="241">
        <v>185521682</v>
      </c>
      <c r="K94" s="241">
        <v>90000000</v>
      </c>
      <c r="L94" s="241">
        <v>90000000</v>
      </c>
      <c r="M94" s="241">
        <v>90000000</v>
      </c>
      <c r="N94" s="337">
        <f t="shared" si="19"/>
        <v>90000000</v>
      </c>
      <c r="O94" s="241">
        <f t="shared" si="18"/>
        <v>90000000</v>
      </c>
      <c r="P94" s="331">
        <f t="shared" si="21"/>
        <v>1136345228</v>
      </c>
      <c r="Q94" s="227"/>
      <c r="R94" s="227"/>
      <c r="S94" s="227"/>
      <c r="T94" s="227"/>
      <c r="U94" s="227"/>
      <c r="V94" s="227"/>
      <c r="W94" s="227"/>
      <c r="X94" s="227"/>
      <c r="Y94" s="227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80"/>
      <c r="AY94" s="80">
        <v>90</v>
      </c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N94" s="129">
        <v>90</v>
      </c>
    </row>
    <row r="95" spans="1:66" ht="16.5" customHeight="1">
      <c r="A95" s="243"/>
      <c r="B95" s="248">
        <v>6030</v>
      </c>
      <c r="C95" s="248" t="s">
        <v>79</v>
      </c>
      <c r="D95" s="241">
        <v>3012250</v>
      </c>
      <c r="E95" s="241">
        <v>2015000</v>
      </c>
      <c r="F95" s="241">
        <v>1566350</v>
      </c>
      <c r="G95" s="241">
        <v>2708750</v>
      </c>
      <c r="H95" s="241">
        <v>5272070</v>
      </c>
      <c r="I95" s="241">
        <v>5286050</v>
      </c>
      <c r="J95" s="241">
        <v>965200</v>
      </c>
      <c r="K95" s="241">
        <v>4000000</v>
      </c>
      <c r="L95" s="241">
        <v>4000000</v>
      </c>
      <c r="M95" s="241">
        <v>4000000</v>
      </c>
      <c r="N95" s="337">
        <f t="shared" si="19"/>
        <v>4000000</v>
      </c>
      <c r="O95" s="241">
        <f t="shared" si="18"/>
        <v>4000000</v>
      </c>
      <c r="P95" s="331">
        <f t="shared" si="21"/>
        <v>40825670</v>
      </c>
      <c r="Q95" s="227"/>
      <c r="R95" s="227"/>
      <c r="S95" s="227"/>
      <c r="T95" s="227"/>
      <c r="U95" s="227"/>
      <c r="V95" s="227"/>
      <c r="W95" s="227"/>
      <c r="X95" s="227"/>
      <c r="Y95" s="227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80"/>
      <c r="AY95" s="80">
        <v>4</v>
      </c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N95" s="129">
        <v>4</v>
      </c>
    </row>
    <row r="96" spans="1:66" ht="16.5" customHeight="1">
      <c r="A96" s="243"/>
      <c r="B96" s="248">
        <v>6040</v>
      </c>
      <c r="C96" s="248" t="s">
        <v>80</v>
      </c>
      <c r="D96" s="241"/>
      <c r="E96" s="241"/>
      <c r="F96" s="241"/>
      <c r="G96" s="241"/>
      <c r="H96" s="241"/>
      <c r="I96" s="241"/>
      <c r="J96" s="241"/>
      <c r="K96" s="241">
        <v>0</v>
      </c>
      <c r="L96" s="241">
        <v>0</v>
      </c>
      <c r="M96" s="241">
        <v>0</v>
      </c>
      <c r="N96" s="337">
        <f t="shared" si="19"/>
        <v>0</v>
      </c>
      <c r="O96" s="241">
        <f t="shared" si="18"/>
        <v>0</v>
      </c>
      <c r="P96" s="331">
        <f t="shared" si="21"/>
        <v>0</v>
      </c>
      <c r="Q96" s="227"/>
      <c r="R96" s="227"/>
      <c r="S96" s="227"/>
      <c r="T96" s="227"/>
      <c r="U96" s="227"/>
      <c r="V96" s="227"/>
      <c r="W96" s="227"/>
      <c r="X96" s="227"/>
      <c r="Y96" s="227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N96" s="129"/>
    </row>
    <row r="97" spans="1:66">
      <c r="A97" s="243"/>
      <c r="B97" s="248">
        <v>6041</v>
      </c>
      <c r="C97" s="248" t="s">
        <v>81</v>
      </c>
      <c r="D97" s="241"/>
      <c r="E97" s="241"/>
      <c r="F97" s="241"/>
      <c r="G97" s="241"/>
      <c r="H97" s="241"/>
      <c r="I97" s="241"/>
      <c r="J97" s="241"/>
      <c r="K97" s="241">
        <v>0</v>
      </c>
      <c r="L97" s="241">
        <v>0</v>
      </c>
      <c r="M97" s="241">
        <v>0</v>
      </c>
      <c r="N97" s="337">
        <f t="shared" si="19"/>
        <v>0</v>
      </c>
      <c r="O97" s="241">
        <f t="shared" si="18"/>
        <v>0</v>
      </c>
      <c r="P97" s="331">
        <f t="shared" si="21"/>
        <v>0</v>
      </c>
      <c r="Q97" s="227"/>
      <c r="R97" s="227"/>
      <c r="S97" s="227"/>
      <c r="T97" s="227"/>
      <c r="U97" s="227"/>
      <c r="V97" s="227"/>
      <c r="W97" s="227"/>
      <c r="X97" s="227"/>
      <c r="Y97" s="227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N97" s="129"/>
    </row>
    <row r="98" spans="1:66">
      <c r="A98" s="243"/>
      <c r="B98" s="248">
        <v>6050</v>
      </c>
      <c r="C98" s="248" t="s">
        <v>82</v>
      </c>
      <c r="D98" s="241">
        <v>135179900</v>
      </c>
      <c r="E98" s="241">
        <v>117806900</v>
      </c>
      <c r="F98" s="241">
        <v>127102800</v>
      </c>
      <c r="G98" s="241">
        <v>101722500</v>
      </c>
      <c r="H98" s="241">
        <v>125173300</v>
      </c>
      <c r="I98" s="241">
        <v>92339300</v>
      </c>
      <c r="J98" s="241">
        <v>78874100</v>
      </c>
      <c r="K98" s="241">
        <v>115000000</v>
      </c>
      <c r="L98" s="241">
        <v>115000000</v>
      </c>
      <c r="M98" s="241">
        <v>115000000</v>
      </c>
      <c r="N98" s="337">
        <f t="shared" si="19"/>
        <v>115000000</v>
      </c>
      <c r="O98" s="241">
        <f t="shared" si="18"/>
        <v>115000000</v>
      </c>
      <c r="P98" s="331">
        <f t="shared" si="21"/>
        <v>1353198800</v>
      </c>
      <c r="Q98" s="227"/>
      <c r="R98" s="227"/>
      <c r="S98" s="227"/>
      <c r="T98" s="227"/>
      <c r="U98" s="227"/>
      <c r="V98" s="227"/>
      <c r="W98" s="227"/>
      <c r="X98" s="227"/>
      <c r="Y98" s="227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80"/>
      <c r="AY98" s="80">
        <v>115</v>
      </c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N98" s="129">
        <v>115</v>
      </c>
    </row>
    <row r="99" spans="1:66">
      <c r="A99" s="243"/>
      <c r="B99" s="248">
        <v>6051</v>
      </c>
      <c r="C99" s="248" t="s">
        <v>83</v>
      </c>
      <c r="D99" s="241">
        <v>1763000</v>
      </c>
      <c r="E99" s="241">
        <v>532000</v>
      </c>
      <c r="F99" s="241">
        <v>532000</v>
      </c>
      <c r="G99" s="241">
        <v>665000</v>
      </c>
      <c r="H99" s="241"/>
      <c r="I99" s="241">
        <v>532000</v>
      </c>
      <c r="J99" s="241">
        <v>665000</v>
      </c>
      <c r="K99" s="241">
        <v>600000</v>
      </c>
      <c r="L99" s="241">
        <v>600000</v>
      </c>
      <c r="M99" s="241">
        <v>600000</v>
      </c>
      <c r="N99" s="337">
        <f t="shared" si="19"/>
        <v>600000</v>
      </c>
      <c r="O99" s="241">
        <f t="shared" si="18"/>
        <v>600000</v>
      </c>
      <c r="P99" s="331">
        <f t="shared" si="21"/>
        <v>7689000</v>
      </c>
      <c r="Q99" s="227"/>
      <c r="R99" s="227"/>
      <c r="S99" s="227"/>
      <c r="T99" s="227"/>
      <c r="U99" s="227"/>
      <c r="V99" s="227"/>
      <c r="W99" s="227"/>
      <c r="X99" s="227"/>
      <c r="Y99" s="227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80"/>
      <c r="AY99" s="80">
        <v>0.6</v>
      </c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N99" s="129">
        <v>0.6</v>
      </c>
    </row>
    <row r="100" spans="1:66">
      <c r="A100" s="243"/>
      <c r="B100" s="248">
        <v>6052</v>
      </c>
      <c r="C100" s="248" t="s">
        <v>84</v>
      </c>
      <c r="D100" s="241">
        <v>470000</v>
      </c>
      <c r="E100" s="241"/>
      <c r="F100" s="241"/>
      <c r="G100" s="241"/>
      <c r="H100" s="241"/>
      <c r="I100" s="241"/>
      <c r="J100" s="241"/>
      <c r="K100" s="241">
        <v>500000</v>
      </c>
      <c r="L100" s="241">
        <v>500000</v>
      </c>
      <c r="M100" s="241">
        <v>500000</v>
      </c>
      <c r="N100" s="337">
        <f t="shared" si="19"/>
        <v>500000</v>
      </c>
      <c r="O100" s="241">
        <f t="shared" ref="O100:O103" si="22">+N100+(N100*$O$9%)</f>
        <v>500000</v>
      </c>
      <c r="P100" s="331">
        <f t="shared" si="21"/>
        <v>2970000</v>
      </c>
      <c r="Q100" s="227"/>
      <c r="R100" s="227"/>
      <c r="S100" s="227"/>
      <c r="T100" s="227"/>
      <c r="U100" s="227"/>
      <c r="V100" s="227"/>
      <c r="W100" s="227"/>
      <c r="X100" s="227"/>
      <c r="Y100" s="227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80"/>
      <c r="AY100" s="80">
        <v>0.5</v>
      </c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N100" s="129">
        <v>0.5</v>
      </c>
    </row>
    <row r="101" spans="1:66">
      <c r="A101" s="243"/>
      <c r="B101" s="248">
        <v>6090</v>
      </c>
      <c r="C101" s="248" t="s">
        <v>85</v>
      </c>
      <c r="D101" s="241"/>
      <c r="E101" s="241"/>
      <c r="F101" s="241"/>
      <c r="G101" s="241"/>
      <c r="H101" s="241"/>
      <c r="I101" s="241"/>
      <c r="J101" s="241"/>
      <c r="K101" s="241">
        <v>1000000</v>
      </c>
      <c r="L101" s="241">
        <v>1000000</v>
      </c>
      <c r="M101" s="241">
        <v>1000000</v>
      </c>
      <c r="N101" s="337">
        <f t="shared" ref="N101:N102" si="23">+M101+(M101*$N$9%)</f>
        <v>1000000</v>
      </c>
      <c r="O101" s="241">
        <f t="shared" si="22"/>
        <v>1000000</v>
      </c>
      <c r="P101" s="331">
        <f t="shared" si="21"/>
        <v>5000000</v>
      </c>
      <c r="Q101" s="227"/>
      <c r="R101" s="227"/>
      <c r="S101" s="227"/>
      <c r="T101" s="227"/>
      <c r="U101" s="227"/>
      <c r="V101" s="227"/>
      <c r="W101" s="227"/>
      <c r="X101" s="227"/>
      <c r="Y101" s="227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80"/>
      <c r="AY101" s="80">
        <v>1</v>
      </c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N101" s="129">
        <v>1</v>
      </c>
    </row>
    <row r="102" spans="1:66">
      <c r="A102" s="243"/>
      <c r="B102" s="248"/>
      <c r="C102" s="248" t="s">
        <v>86</v>
      </c>
      <c r="D102" s="241"/>
      <c r="E102" s="241">
        <v>37880000</v>
      </c>
      <c r="F102" s="241">
        <v>28160000</v>
      </c>
      <c r="G102" s="241">
        <v>57600000</v>
      </c>
      <c r="H102" s="241">
        <v>63360000</v>
      </c>
      <c r="I102" s="241">
        <v>40320000</v>
      </c>
      <c r="J102" s="241">
        <v>62000000</v>
      </c>
      <c r="K102" s="241">
        <v>65000000</v>
      </c>
      <c r="L102" s="241">
        <v>65000000</v>
      </c>
      <c r="M102" s="241">
        <v>65000000</v>
      </c>
      <c r="N102" s="337">
        <f t="shared" si="23"/>
        <v>65000000</v>
      </c>
      <c r="O102" s="241">
        <f t="shared" si="22"/>
        <v>65000000</v>
      </c>
      <c r="P102" s="331">
        <f t="shared" si="21"/>
        <v>614320000</v>
      </c>
      <c r="Q102" s="227"/>
      <c r="R102" s="227"/>
      <c r="S102" s="227"/>
      <c r="T102" s="227"/>
      <c r="U102" s="227"/>
      <c r="V102" s="227"/>
      <c r="W102" s="227"/>
      <c r="X102" s="227"/>
      <c r="Y102" s="227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80"/>
      <c r="AY102" s="80">
        <v>65</v>
      </c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N102" s="129">
        <v>65</v>
      </c>
    </row>
    <row r="103" spans="1:66">
      <c r="A103" s="243"/>
      <c r="B103" s="248"/>
      <c r="C103" s="248" t="s">
        <v>87</v>
      </c>
      <c r="D103" s="241"/>
      <c r="E103" s="241"/>
      <c r="F103" s="241"/>
      <c r="G103" s="241"/>
      <c r="H103" s="241">
        <v>65910000</v>
      </c>
      <c r="I103" s="241"/>
      <c r="J103" s="241"/>
      <c r="K103" s="241"/>
      <c r="L103" s="241"/>
      <c r="M103" s="241">
        <f t="shared" ref="M103:M104" si="24">AY103*1000000</f>
        <v>0</v>
      </c>
      <c r="N103" s="337">
        <f t="shared" ref="N103" si="25">+M103+(M103*$N$9%)</f>
        <v>0</v>
      </c>
      <c r="O103" s="241">
        <f t="shared" si="22"/>
        <v>0</v>
      </c>
      <c r="P103" s="331">
        <f t="shared" si="21"/>
        <v>65910000</v>
      </c>
      <c r="Q103" s="227"/>
      <c r="R103" s="227"/>
      <c r="S103" s="227"/>
      <c r="T103" s="227"/>
      <c r="U103" s="227"/>
      <c r="V103" s="227"/>
      <c r="W103" s="227"/>
      <c r="X103" s="227"/>
      <c r="Y103" s="227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N103" s="129"/>
    </row>
    <row r="104" spans="1:66">
      <c r="A104" s="243"/>
      <c r="B104" s="248"/>
      <c r="C104" s="248" t="s">
        <v>88</v>
      </c>
      <c r="D104" s="241"/>
      <c r="E104" s="241"/>
      <c r="F104" s="241"/>
      <c r="G104" s="241"/>
      <c r="H104" s="241"/>
      <c r="I104" s="241"/>
      <c r="J104" s="241"/>
      <c r="K104" s="241"/>
      <c r="L104" s="241"/>
      <c r="M104" s="241">
        <f t="shared" si="24"/>
        <v>0</v>
      </c>
      <c r="N104" s="337"/>
      <c r="O104" s="241"/>
      <c r="P104" s="331">
        <f t="shared" si="21"/>
        <v>0</v>
      </c>
      <c r="Q104" s="227"/>
      <c r="R104" s="227"/>
      <c r="S104" s="227"/>
      <c r="T104" s="227"/>
      <c r="U104" s="227"/>
      <c r="V104" s="227"/>
      <c r="W104" s="227"/>
      <c r="X104" s="227"/>
      <c r="Y104" s="227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N104" s="129"/>
    </row>
    <row r="105" spans="1:66">
      <c r="A105" s="243"/>
      <c r="B105" s="248"/>
      <c r="C105" s="248" t="s">
        <v>89</v>
      </c>
      <c r="D105" s="241"/>
      <c r="E105" s="241"/>
      <c r="F105" s="241"/>
      <c r="G105" s="241"/>
      <c r="H105" s="241">
        <v>10927920</v>
      </c>
      <c r="I105" s="241"/>
      <c r="J105" s="241"/>
      <c r="K105" s="241"/>
      <c r="L105" s="241"/>
      <c r="M105" s="241"/>
      <c r="N105" s="337"/>
      <c r="O105" s="241">
        <f>54656000+46697616</f>
        <v>101353616</v>
      </c>
      <c r="P105" s="331">
        <f t="shared" si="21"/>
        <v>112281536</v>
      </c>
      <c r="Q105" s="227"/>
      <c r="R105" s="227"/>
      <c r="S105" s="227"/>
      <c r="T105" s="227"/>
      <c r="U105" s="227"/>
      <c r="V105" s="227"/>
      <c r="W105" s="227"/>
      <c r="X105" s="227"/>
      <c r="Y105" s="227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N105" s="129"/>
    </row>
    <row r="106" spans="1:66">
      <c r="A106" s="243"/>
      <c r="B106" s="548" t="s">
        <v>90</v>
      </c>
      <c r="C106" s="548"/>
      <c r="D106" s="245">
        <f>SUM(D32:D105)</f>
        <v>3134720472</v>
      </c>
      <c r="E106" s="245">
        <f t="shared" ref="E106:O106" si="26">SUM(E32:E105)</f>
        <v>2972186794</v>
      </c>
      <c r="F106" s="245">
        <f t="shared" si="26"/>
        <v>3501608066.5700002</v>
      </c>
      <c r="G106" s="245">
        <f t="shared" si="26"/>
        <v>3478865307.5599999</v>
      </c>
      <c r="H106" s="245">
        <f t="shared" si="26"/>
        <v>3827807531</v>
      </c>
      <c r="I106" s="245">
        <f t="shared" si="26"/>
        <v>4448705810.9099998</v>
      </c>
      <c r="J106" s="245">
        <f t="shared" si="26"/>
        <v>3845540581</v>
      </c>
      <c r="K106" s="245">
        <f t="shared" si="26"/>
        <v>3628815000</v>
      </c>
      <c r="L106" s="245">
        <f t="shared" si="26"/>
        <v>3851864266.5</v>
      </c>
      <c r="M106" s="245">
        <f t="shared" si="26"/>
        <v>3841815000</v>
      </c>
      <c r="N106" s="339">
        <f t="shared" si="26"/>
        <v>3843815000</v>
      </c>
      <c r="O106" s="245">
        <f t="shared" si="26"/>
        <v>3925168616</v>
      </c>
      <c r="P106" s="332">
        <f t="shared" si="21"/>
        <v>44300912445.540001</v>
      </c>
      <c r="Q106" s="333"/>
      <c r="R106" s="333"/>
      <c r="S106" s="333"/>
      <c r="T106" s="333"/>
      <c r="U106" s="333"/>
      <c r="V106" s="333"/>
      <c r="W106" s="333"/>
      <c r="X106" s="333"/>
      <c r="Y106" s="33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N106" s="129">
        <v>3363.3003004999996</v>
      </c>
    </row>
    <row r="107" spans="1:66">
      <c r="A107" s="417"/>
      <c r="B107" s="421"/>
      <c r="C107" s="421" t="str">
        <f>+[6]PENGELUARAN!$A$84</f>
        <v>Investasi</v>
      </c>
      <c r="D107" s="418"/>
      <c r="E107" s="418"/>
      <c r="F107" s="418"/>
      <c r="G107" s="418">
        <v>101000000</v>
      </c>
      <c r="H107" s="418"/>
      <c r="I107" s="418"/>
      <c r="J107" s="418">
        <v>150000000</v>
      </c>
      <c r="K107" s="418">
        <v>41000000</v>
      </c>
      <c r="L107" s="418">
        <v>30000000</v>
      </c>
      <c r="M107" s="418">
        <v>17000000</v>
      </c>
      <c r="N107" s="419">
        <f>590220000-350000000</f>
        <v>240220000</v>
      </c>
      <c r="O107" s="418">
        <f>617000000-500000000</f>
        <v>117000000</v>
      </c>
      <c r="P107" s="420">
        <f t="shared" si="21"/>
        <v>696220000</v>
      </c>
      <c r="Q107" s="227"/>
      <c r="R107" s="227"/>
      <c r="S107" s="227"/>
      <c r="T107" s="227"/>
      <c r="U107" s="227"/>
      <c r="V107" s="227"/>
      <c r="W107" s="227"/>
      <c r="X107" s="227"/>
      <c r="Y107" s="227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N107" s="129"/>
    </row>
    <row r="108" spans="1:66" ht="32.25" customHeight="1">
      <c r="A108" s="243"/>
      <c r="B108" s="248"/>
      <c r="C108" s="437" t="s">
        <v>585</v>
      </c>
      <c r="D108" s="241"/>
      <c r="E108" s="241"/>
      <c r="F108" s="241"/>
      <c r="G108" s="241"/>
      <c r="H108" s="241"/>
      <c r="I108" s="241"/>
      <c r="J108" s="241"/>
      <c r="K108" s="241">
        <v>50000000</v>
      </c>
      <c r="L108" s="241">
        <v>50000000</v>
      </c>
      <c r="M108" s="241">
        <v>25000000</v>
      </c>
      <c r="N108" s="337"/>
      <c r="O108" s="241">
        <f>N108</f>
        <v>0</v>
      </c>
      <c r="P108" s="331">
        <f t="shared" si="21"/>
        <v>125000000</v>
      </c>
      <c r="Q108" s="227"/>
      <c r="R108" s="227"/>
      <c r="S108" s="227"/>
      <c r="T108" s="227"/>
      <c r="U108" s="227"/>
      <c r="V108" s="227"/>
      <c r="W108" s="227"/>
      <c r="X108" s="227"/>
      <c r="Y108" s="227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N108" s="129">
        <v>30</v>
      </c>
    </row>
    <row r="109" spans="1:66">
      <c r="A109" s="243"/>
      <c r="B109" s="248"/>
      <c r="C109" s="414" t="s">
        <v>551</v>
      </c>
      <c r="D109" s="241"/>
      <c r="E109" s="241"/>
      <c r="F109" s="241"/>
      <c r="G109" s="241"/>
      <c r="H109" s="241"/>
      <c r="I109" s="241"/>
      <c r="J109" s="241"/>
      <c r="K109" s="241"/>
      <c r="L109" s="241">
        <v>40000000</v>
      </c>
      <c r="M109" s="241"/>
      <c r="N109" s="337"/>
      <c r="O109" s="241"/>
      <c r="P109" s="331">
        <f t="shared" si="21"/>
        <v>40000000</v>
      </c>
      <c r="Q109" s="227"/>
      <c r="R109" s="227"/>
      <c r="S109" s="227"/>
      <c r="T109" s="227"/>
      <c r="U109" s="227"/>
      <c r="V109" s="227"/>
      <c r="W109" s="227"/>
      <c r="X109" s="227"/>
      <c r="Y109" s="227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80"/>
      <c r="AY109" s="80"/>
      <c r="AZ109" s="80" t="s">
        <v>224</v>
      </c>
      <c r="BA109" s="80" t="s">
        <v>156</v>
      </c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N109" s="129"/>
    </row>
    <row r="110" spans="1:66">
      <c r="A110" s="243"/>
      <c r="B110" s="248"/>
      <c r="C110" s="248" t="s">
        <v>344</v>
      </c>
      <c r="D110" s="241"/>
      <c r="E110" s="241">
        <v>17208847</v>
      </c>
      <c r="F110" s="241"/>
      <c r="G110" s="241">
        <v>14275966</v>
      </c>
      <c r="H110" s="241">
        <v>25620648</v>
      </c>
      <c r="I110" s="241"/>
      <c r="J110" s="241">
        <v>40553429</v>
      </c>
      <c r="K110" s="241"/>
      <c r="L110" s="241"/>
      <c r="M110" s="241"/>
      <c r="N110" s="337"/>
      <c r="O110" s="241"/>
      <c r="P110" s="331">
        <f t="shared" si="21"/>
        <v>97658890</v>
      </c>
      <c r="Q110" s="227"/>
      <c r="R110" s="227"/>
      <c r="S110" s="227"/>
      <c r="T110" s="227"/>
      <c r="U110" s="227"/>
      <c r="V110" s="227"/>
      <c r="W110" s="227"/>
      <c r="X110" s="227"/>
      <c r="Y110" s="227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</row>
    <row r="111" spans="1:66">
      <c r="A111" s="243"/>
      <c r="B111" s="248"/>
      <c r="C111" s="248" t="s">
        <v>92</v>
      </c>
      <c r="D111" s="241">
        <v>50754500</v>
      </c>
      <c r="E111" s="241"/>
      <c r="F111" s="241">
        <v>33362275</v>
      </c>
      <c r="G111" s="241"/>
      <c r="H111" s="241"/>
      <c r="I111" s="241">
        <v>39932000</v>
      </c>
      <c r="J111" s="241"/>
      <c r="K111" s="241"/>
      <c r="L111" s="241"/>
      <c r="M111" s="241"/>
      <c r="N111" s="337"/>
      <c r="O111" s="241"/>
      <c r="P111" s="331">
        <f t="shared" si="21"/>
        <v>124048775</v>
      </c>
      <c r="Q111" s="227"/>
      <c r="R111" s="227"/>
      <c r="S111" s="227"/>
      <c r="T111" s="227"/>
      <c r="U111" s="227"/>
      <c r="V111" s="227"/>
      <c r="W111" s="227"/>
      <c r="X111" s="227"/>
      <c r="Y111" s="227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80">
        <f>+P120+P128+P114+P121+'CF 2017'!P109+'CF 2017'!P110</f>
        <v>9000000000</v>
      </c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N111" s="129"/>
    </row>
    <row r="112" spans="1:66">
      <c r="A112" s="243"/>
      <c r="B112" s="251"/>
      <c r="C112" s="415" t="s">
        <v>586</v>
      </c>
      <c r="D112" s="241">
        <v>100000000</v>
      </c>
      <c r="E112" s="241">
        <v>30746000</v>
      </c>
      <c r="F112" s="241"/>
      <c r="G112" s="241"/>
      <c r="H112" s="241"/>
      <c r="I112" s="241"/>
      <c r="J112" s="241"/>
      <c r="K112" s="241"/>
      <c r="L112" s="241"/>
      <c r="M112" s="241"/>
      <c r="N112" s="337"/>
      <c r="O112" s="241"/>
      <c r="P112" s="331">
        <f t="shared" si="21"/>
        <v>130746000</v>
      </c>
      <c r="Q112" s="227"/>
      <c r="R112" s="227"/>
      <c r="S112" s="227"/>
      <c r="T112" s="227"/>
      <c r="U112" s="227"/>
      <c r="V112" s="227"/>
      <c r="W112" s="227"/>
      <c r="X112" s="227"/>
      <c r="Y112" s="227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80"/>
      <c r="AY112" s="80">
        <v>148000000</v>
      </c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N112" s="129"/>
    </row>
    <row r="113" spans="1:87">
      <c r="A113" s="243"/>
      <c r="B113" s="251"/>
      <c r="C113" s="415" t="s">
        <v>552</v>
      </c>
      <c r="D113" s="241"/>
      <c r="E113" s="241">
        <v>51339000</v>
      </c>
      <c r="F113" s="241"/>
      <c r="G113" s="241"/>
      <c r="H113" s="241">
        <v>6775000</v>
      </c>
      <c r="I113" s="241"/>
      <c r="J113" s="241">
        <v>40675000</v>
      </c>
      <c r="K113" s="241"/>
      <c r="L113" s="241">
        <v>70467500</v>
      </c>
      <c r="M113" s="241"/>
      <c r="N113" s="337"/>
      <c r="O113" s="241"/>
      <c r="P113" s="331">
        <f t="shared" si="21"/>
        <v>169256500</v>
      </c>
      <c r="Q113" s="227"/>
      <c r="R113" s="227"/>
      <c r="S113" s="227"/>
      <c r="T113" s="227"/>
      <c r="U113" s="227"/>
      <c r="V113" s="227"/>
      <c r="W113" s="227"/>
      <c r="X113" s="227"/>
      <c r="Y113" s="227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</row>
    <row r="114" spans="1:87" s="182" customFormat="1">
      <c r="A114" s="243"/>
      <c r="B114" s="251"/>
      <c r="C114" s="415" t="s">
        <v>553</v>
      </c>
      <c r="D114" s="241"/>
      <c r="E114" s="241"/>
      <c r="F114" s="241"/>
      <c r="G114" s="241"/>
      <c r="H114" s="241"/>
      <c r="I114" s="241"/>
      <c r="J114" s="241"/>
      <c r="K114" s="241"/>
      <c r="L114" s="241"/>
      <c r="M114" s="241">
        <v>500000000</v>
      </c>
      <c r="N114" s="337">
        <v>500000000</v>
      </c>
      <c r="O114" s="241">
        <v>400000000</v>
      </c>
      <c r="P114" s="331">
        <f>SUM(D114:O114)</f>
        <v>1400000000</v>
      </c>
      <c r="Q114" s="227"/>
      <c r="R114" s="227"/>
      <c r="S114" s="227"/>
      <c r="T114" s="227"/>
      <c r="U114" s="227"/>
      <c r="V114" s="227"/>
      <c r="W114" s="227"/>
      <c r="X114" s="227"/>
      <c r="Y114" s="227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203"/>
      <c r="AY114" s="143">
        <v>1500000000</v>
      </c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124"/>
      <c r="BN114" s="129"/>
      <c r="BO114" s="124"/>
      <c r="BP114" s="124"/>
      <c r="BQ114" s="124"/>
      <c r="BR114" s="124"/>
      <c r="BS114" s="124"/>
      <c r="BT114" s="124"/>
      <c r="BU114" s="124"/>
      <c r="BV114" s="124"/>
      <c r="BW114" s="124"/>
      <c r="BX114" s="124"/>
      <c r="BY114" s="124"/>
      <c r="BZ114" s="124"/>
      <c r="CA114" s="124"/>
      <c r="CB114" s="124"/>
      <c r="CC114" s="124"/>
      <c r="CD114" s="124"/>
      <c r="CE114" s="124"/>
      <c r="CF114" s="124"/>
      <c r="CG114" s="124"/>
      <c r="CH114" s="124"/>
      <c r="CI114" s="124"/>
    </row>
    <row r="115" spans="1:87">
      <c r="A115" s="243"/>
      <c r="B115" s="251"/>
      <c r="C115" s="414" t="s">
        <v>591</v>
      </c>
      <c r="D115" s="241"/>
      <c r="E115" s="241"/>
      <c r="F115" s="241"/>
      <c r="G115" s="241">
        <v>10600000</v>
      </c>
      <c r="H115" s="241">
        <v>14000000</v>
      </c>
      <c r="I115" s="241">
        <v>14000000</v>
      </c>
      <c r="J115" s="241">
        <v>14400000</v>
      </c>
      <c r="K115" s="241"/>
      <c r="L115" s="241"/>
      <c r="M115" s="241"/>
      <c r="N115" s="337"/>
      <c r="O115" s="241"/>
      <c r="P115" s="331">
        <f t="shared" si="21"/>
        <v>53000000</v>
      </c>
      <c r="Q115" s="227"/>
      <c r="R115" s="227"/>
      <c r="S115" s="227"/>
      <c r="T115" s="227"/>
      <c r="U115" s="227"/>
      <c r="V115" s="227"/>
      <c r="W115" s="227"/>
      <c r="X115" s="227"/>
      <c r="Y115" s="227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80"/>
      <c r="AY115" s="80"/>
      <c r="AZ115" s="80"/>
      <c r="BA115" s="80"/>
      <c r="BB115" s="80"/>
      <c r="BC115" s="80"/>
      <c r="BD115" s="80"/>
      <c r="BE115" s="80">
        <v>25000000</v>
      </c>
      <c r="BF115" s="80"/>
      <c r="BG115" s="80"/>
      <c r="BH115" s="80"/>
      <c r="BI115" s="80"/>
      <c r="BJ115" s="80"/>
      <c r="BK115" s="80"/>
      <c r="BL115" s="80"/>
      <c r="BN115" s="129"/>
    </row>
    <row r="116" spans="1:87">
      <c r="A116" s="243"/>
      <c r="B116" s="251"/>
      <c r="C116" s="414" t="s">
        <v>587</v>
      </c>
      <c r="D116" s="241"/>
      <c r="E116" s="241"/>
      <c r="F116" s="241"/>
      <c r="G116" s="241"/>
      <c r="H116" s="241">
        <v>20528600</v>
      </c>
      <c r="I116" s="241"/>
      <c r="J116" s="241">
        <v>27561600</v>
      </c>
      <c r="K116" s="241">
        <f>35544800+19008000</f>
        <v>54552800</v>
      </c>
      <c r="L116" s="241"/>
      <c r="M116" s="241"/>
      <c r="N116" s="337"/>
      <c r="O116" s="241"/>
      <c r="P116" s="331">
        <f t="shared" si="21"/>
        <v>102643000</v>
      </c>
      <c r="Q116" s="227"/>
      <c r="R116" s="227"/>
      <c r="S116" s="227"/>
      <c r="T116" s="227"/>
      <c r="U116" s="227"/>
      <c r="V116" s="227"/>
      <c r="W116" s="227"/>
      <c r="X116" s="227"/>
      <c r="Y116" s="227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80"/>
      <c r="AY116" s="80"/>
      <c r="AZ116" s="80"/>
      <c r="BA116" s="80"/>
      <c r="BB116" s="80"/>
      <c r="BC116" s="80"/>
      <c r="BD116" s="80"/>
      <c r="BE116" s="80">
        <v>19000000</v>
      </c>
      <c r="BF116" s="80"/>
      <c r="BG116" s="80"/>
      <c r="BH116" s="80"/>
      <c r="BI116" s="80"/>
      <c r="BJ116" s="80"/>
      <c r="BK116" s="80"/>
      <c r="BL116" s="80"/>
      <c r="BN116" s="129"/>
    </row>
    <row r="117" spans="1:87" s="124" customFormat="1">
      <c r="A117" s="451"/>
      <c r="B117" s="452"/>
      <c r="C117" s="415" t="s">
        <v>582</v>
      </c>
      <c r="D117" s="438">
        <v>260000000</v>
      </c>
      <c r="E117" s="438"/>
      <c r="F117" s="438">
        <v>250000000</v>
      </c>
      <c r="G117" s="438">
        <f>250000000-101000000</f>
        <v>149000000</v>
      </c>
      <c r="H117" s="438"/>
      <c r="I117" s="438"/>
      <c r="J117" s="438">
        <f>75000000+75000000-150000000</f>
        <v>0</v>
      </c>
      <c r="K117" s="438"/>
      <c r="L117" s="438"/>
      <c r="M117" s="438"/>
      <c r="N117" s="453"/>
      <c r="O117" s="438"/>
      <c r="P117" s="454">
        <f>SUM(D117:O117)</f>
        <v>659000000</v>
      </c>
      <c r="Q117" s="227"/>
      <c r="R117" s="227"/>
      <c r="S117" s="227"/>
      <c r="T117" s="227"/>
      <c r="U117" s="227"/>
      <c r="V117" s="227"/>
      <c r="W117" s="227"/>
      <c r="X117" s="227"/>
      <c r="Y117" s="227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>
        <f>N128+N120</f>
        <v>350000000</v>
      </c>
      <c r="AQ117" s="163"/>
      <c r="AR117" s="163"/>
      <c r="AS117" s="163"/>
      <c r="AT117" s="163"/>
      <c r="AU117" s="163"/>
      <c r="AV117" s="163"/>
      <c r="AW117" s="163"/>
      <c r="AX117" s="82"/>
      <c r="AY117" s="82">
        <f>SUM(D117:O117)</f>
        <v>659000000</v>
      </c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N117" s="129">
        <v>250</v>
      </c>
    </row>
    <row r="118" spans="1:87" s="124" customFormat="1">
      <c r="A118" s="243"/>
      <c r="B118" s="251"/>
      <c r="C118" s="413" t="s">
        <v>554</v>
      </c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337"/>
      <c r="O118" s="241"/>
      <c r="P118" s="331">
        <f t="shared" si="21"/>
        <v>0</v>
      </c>
      <c r="Q118" s="227"/>
      <c r="R118" s="227"/>
      <c r="S118" s="227"/>
      <c r="T118" s="227"/>
      <c r="U118" s="227"/>
      <c r="V118" s="227"/>
      <c r="W118" s="227"/>
      <c r="X118" s="227"/>
      <c r="Y118" s="227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80">
        <f>+N121+N114+N128+N120</f>
        <v>2850000000</v>
      </c>
      <c r="AY118" s="80"/>
      <c r="AZ118" s="80">
        <f>AY126-650000000</f>
        <v>-130000000</v>
      </c>
      <c r="BA118" s="80"/>
      <c r="BB118" s="80"/>
      <c r="BC118" s="80"/>
      <c r="BD118" s="80"/>
      <c r="BE118" s="80">
        <f>SUM(BE114:BE116)</f>
        <v>44000000</v>
      </c>
      <c r="BF118" s="80"/>
      <c r="BG118" s="80"/>
      <c r="BH118" s="80"/>
      <c r="BI118" s="80"/>
      <c r="BJ118" s="80"/>
      <c r="BK118" s="80"/>
      <c r="BL118" s="80"/>
      <c r="BN118" s="129"/>
    </row>
    <row r="119" spans="1:87" s="124" customFormat="1">
      <c r="A119" s="243"/>
      <c r="B119" s="251"/>
      <c r="C119" s="413" t="s">
        <v>556</v>
      </c>
      <c r="D119" s="241"/>
      <c r="E119" s="241"/>
      <c r="F119" s="241"/>
      <c r="G119" s="241"/>
      <c r="H119" s="241"/>
      <c r="I119" s="241"/>
      <c r="J119" s="241"/>
      <c r="K119" s="241">
        <v>250000000</v>
      </c>
      <c r="L119" s="241">
        <v>250000000</v>
      </c>
      <c r="M119" s="241">
        <v>250000000</v>
      </c>
      <c r="N119" s="337">
        <v>250000000</v>
      </c>
      <c r="O119" s="241">
        <v>250000000</v>
      </c>
      <c r="P119" s="331">
        <f t="shared" si="21"/>
        <v>1250000000</v>
      </c>
      <c r="Q119" s="227"/>
      <c r="R119" s="227"/>
      <c r="S119" s="227"/>
      <c r="T119" s="227"/>
      <c r="U119" s="227"/>
      <c r="V119" s="227"/>
      <c r="W119" s="227"/>
      <c r="X119" s="227"/>
      <c r="Y119" s="227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N119" s="129"/>
    </row>
    <row r="120" spans="1:87" s="124" customFormat="1">
      <c r="A120" s="243"/>
      <c r="B120" s="248"/>
      <c r="C120" s="414" t="s">
        <v>588</v>
      </c>
      <c r="D120" s="241"/>
      <c r="E120" s="241"/>
      <c r="F120" s="241"/>
      <c r="G120" s="241"/>
      <c r="H120" s="241"/>
      <c r="I120" s="241"/>
      <c r="J120" s="241"/>
      <c r="K120" s="241"/>
      <c r="L120" s="241"/>
      <c r="M120" s="241">
        <v>200000000</v>
      </c>
      <c r="N120" s="337">
        <v>200000000</v>
      </c>
      <c r="O120" s="241"/>
      <c r="P120" s="331">
        <f>SUM(D120:O120)</f>
        <v>400000000</v>
      </c>
      <c r="Q120" s="227"/>
      <c r="R120" s="227"/>
      <c r="S120" s="227"/>
      <c r="T120" s="227"/>
      <c r="U120" s="227"/>
      <c r="V120" s="227"/>
      <c r="W120" s="227"/>
      <c r="X120" s="227"/>
      <c r="Y120" s="227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203"/>
      <c r="AY120" s="80">
        <v>400000000</v>
      </c>
      <c r="AZ120" s="80">
        <v>70</v>
      </c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N120" s="129"/>
    </row>
    <row r="121" spans="1:87" s="124" customFormat="1">
      <c r="A121" s="243"/>
      <c r="B121" s="251"/>
      <c r="C121" s="415" t="s">
        <v>589</v>
      </c>
      <c r="D121" s="241"/>
      <c r="E121" s="241"/>
      <c r="F121" s="241"/>
      <c r="G121" s="241"/>
      <c r="H121" s="241"/>
      <c r="I121" s="241"/>
      <c r="J121" s="241"/>
      <c r="K121" s="241"/>
      <c r="L121" s="241"/>
      <c r="M121" s="241">
        <v>2000000000</v>
      </c>
      <c r="N121" s="337">
        <v>2000000000</v>
      </c>
      <c r="O121" s="241">
        <v>1500000000</v>
      </c>
      <c r="P121" s="331">
        <f>SUM(D121:O121)</f>
        <v>5500000000</v>
      </c>
      <c r="Q121" s="227"/>
      <c r="R121" s="227"/>
      <c r="S121" s="227"/>
      <c r="T121" s="227"/>
      <c r="U121" s="227"/>
      <c r="V121" s="227"/>
      <c r="W121" s="227"/>
      <c r="X121" s="227"/>
      <c r="Y121" s="227"/>
      <c r="Z121" s="163">
        <f>+N121+N114+N128+N120</f>
        <v>2850000000</v>
      </c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>
        <f>SUM(N110:N121)</f>
        <v>2950000000</v>
      </c>
      <c r="AQ121" s="163"/>
      <c r="AR121" s="163"/>
      <c r="AS121" s="163"/>
      <c r="AT121" s="163"/>
      <c r="AU121" s="163"/>
      <c r="AV121" s="163"/>
      <c r="AW121" s="163"/>
      <c r="AX121" s="203"/>
      <c r="AY121" s="143">
        <v>5500000000</v>
      </c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N121" s="129"/>
    </row>
    <row r="122" spans="1:87" s="124" customFormat="1">
      <c r="A122" s="243"/>
      <c r="B122" s="251"/>
      <c r="C122" s="413" t="s">
        <v>559</v>
      </c>
      <c r="D122" s="241">
        <v>75000000</v>
      </c>
      <c r="E122" s="241">
        <v>75000000</v>
      </c>
      <c r="F122" s="241">
        <v>75000000</v>
      </c>
      <c r="G122" s="241">
        <v>75000000</v>
      </c>
      <c r="H122" s="241">
        <v>75000000</v>
      </c>
      <c r="I122" s="241">
        <v>75000000</v>
      </c>
      <c r="J122" s="241">
        <v>75000000</v>
      </c>
      <c r="K122" s="241">
        <v>87674503</v>
      </c>
      <c r="L122" s="241"/>
      <c r="M122" s="241"/>
      <c r="N122" s="337"/>
      <c r="O122" s="241"/>
      <c r="P122" s="331">
        <f t="shared" si="21"/>
        <v>612674503</v>
      </c>
      <c r="Q122" s="227"/>
      <c r="R122" s="227"/>
      <c r="S122" s="227"/>
      <c r="T122" s="227"/>
      <c r="U122" s="227"/>
      <c r="V122" s="227"/>
      <c r="W122" s="227"/>
      <c r="X122" s="227"/>
      <c r="Y122" s="227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N122" s="129">
        <v>75</v>
      </c>
    </row>
    <row r="123" spans="1:87" s="124" customFormat="1">
      <c r="A123" s="243"/>
      <c r="B123" s="248"/>
      <c r="C123" s="416" t="s">
        <v>560</v>
      </c>
      <c r="D123" s="241">
        <v>10500000</v>
      </c>
      <c r="E123" s="241">
        <v>10431659</v>
      </c>
      <c r="F123" s="241">
        <v>10431659</v>
      </c>
      <c r="G123" s="241">
        <v>10431660</v>
      </c>
      <c r="H123" s="241">
        <v>10431660</v>
      </c>
      <c r="I123" s="241">
        <v>10431660</v>
      </c>
      <c r="J123" s="241">
        <v>10431660</v>
      </c>
      <c r="K123" s="241">
        <v>10431660</v>
      </c>
      <c r="L123" s="241">
        <f>K123</f>
        <v>10431660</v>
      </c>
      <c r="M123" s="241">
        <f t="shared" ref="M123:M124" si="27">L123</f>
        <v>10431660</v>
      </c>
      <c r="N123" s="337">
        <f>M123</f>
        <v>10431660</v>
      </c>
      <c r="O123" s="241">
        <f>N123-4026297</f>
        <v>6405363</v>
      </c>
      <c r="P123" s="331">
        <f t="shared" si="21"/>
        <v>121221961</v>
      </c>
      <c r="Q123" s="227"/>
      <c r="R123" s="227"/>
      <c r="S123" s="227"/>
      <c r="T123" s="227"/>
      <c r="U123" s="227"/>
      <c r="V123" s="227"/>
      <c r="W123" s="227"/>
      <c r="X123" s="227"/>
      <c r="Y123" s="227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125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N123" s="129">
        <v>112.824</v>
      </c>
    </row>
    <row r="124" spans="1:87" s="124" customFormat="1">
      <c r="A124" s="243"/>
      <c r="B124" s="248"/>
      <c r="C124" s="416" t="s">
        <v>561</v>
      </c>
      <c r="D124" s="241">
        <v>112824344</v>
      </c>
      <c r="E124" s="241">
        <v>112824344</v>
      </c>
      <c r="F124" s="241">
        <v>112824344</v>
      </c>
      <c r="G124" s="241">
        <v>112824344</v>
      </c>
      <c r="H124" s="241">
        <v>112824344</v>
      </c>
      <c r="I124" s="241">
        <v>112824344</v>
      </c>
      <c r="J124" s="241">
        <v>112824344</v>
      </c>
      <c r="K124" s="241">
        <v>112824344</v>
      </c>
      <c r="L124" s="241">
        <f>K124</f>
        <v>112824344</v>
      </c>
      <c r="M124" s="241">
        <f t="shared" si="27"/>
        <v>112824344</v>
      </c>
      <c r="N124" s="337">
        <f>M124</f>
        <v>112824344</v>
      </c>
      <c r="O124" s="241">
        <f>N124</f>
        <v>112824344</v>
      </c>
      <c r="P124" s="331">
        <f t="shared" si="21"/>
        <v>1353892128</v>
      </c>
      <c r="Q124" s="227"/>
      <c r="R124" s="227"/>
      <c r="S124" s="227"/>
      <c r="T124" s="227"/>
      <c r="U124" s="227"/>
      <c r="V124" s="227"/>
      <c r="W124" s="227"/>
      <c r="X124" s="227"/>
      <c r="Y124" s="227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N124" s="129">
        <v>120</v>
      </c>
    </row>
    <row r="125" spans="1:87" s="124" customFormat="1">
      <c r="A125" s="243"/>
      <c r="B125" s="248"/>
      <c r="C125" s="416" t="s">
        <v>562</v>
      </c>
      <c r="D125" s="241">
        <v>38159520</v>
      </c>
      <c r="E125" s="241"/>
      <c r="F125" s="241"/>
      <c r="G125" s="241"/>
      <c r="H125" s="241"/>
      <c r="I125" s="241"/>
      <c r="J125" s="241"/>
      <c r="K125" s="241"/>
      <c r="L125" s="241"/>
      <c r="M125" s="241"/>
      <c r="N125" s="337"/>
      <c r="O125" s="241"/>
      <c r="P125" s="331">
        <f t="shared" si="21"/>
        <v>38159520</v>
      </c>
      <c r="Q125" s="227"/>
      <c r="R125" s="227"/>
      <c r="S125" s="227"/>
      <c r="T125" s="227"/>
      <c r="U125" s="227"/>
      <c r="V125" s="227"/>
      <c r="W125" s="227"/>
      <c r="X125" s="227"/>
      <c r="Y125" s="227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N125" s="129">
        <v>10.5</v>
      </c>
    </row>
    <row r="126" spans="1:87" s="124" customFormat="1" ht="16.5" customHeight="1">
      <c r="A126" s="243"/>
      <c r="B126" s="251"/>
      <c r="C126" s="415" t="s">
        <v>590</v>
      </c>
      <c r="D126" s="241"/>
      <c r="E126" s="241"/>
      <c r="F126" s="241">
        <v>195000000</v>
      </c>
      <c r="G126" s="241"/>
      <c r="H126" s="241">
        <v>195000000</v>
      </c>
      <c r="I126" s="241">
        <v>130000000</v>
      </c>
      <c r="J126" s="241"/>
      <c r="K126" s="241"/>
      <c r="L126" s="241"/>
      <c r="M126" s="241"/>
      <c r="N126" s="337"/>
      <c r="O126" s="241"/>
      <c r="P126" s="331">
        <f>SUM(D126:O126)</f>
        <v>520000000</v>
      </c>
      <c r="Q126" s="227"/>
      <c r="R126" s="227"/>
      <c r="S126" s="227"/>
      <c r="T126" s="227"/>
      <c r="U126" s="227"/>
      <c r="V126" s="227"/>
      <c r="W126" s="227"/>
      <c r="X126" s="227"/>
      <c r="Y126" s="227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80"/>
      <c r="AY126" s="82">
        <f>SUM(D126:L126)</f>
        <v>520000000</v>
      </c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N126" s="129"/>
    </row>
    <row r="127" spans="1:87" s="124" customFormat="1">
      <c r="A127" s="243"/>
      <c r="B127" s="251"/>
      <c r="C127" s="413" t="s">
        <v>581</v>
      </c>
      <c r="D127" s="241">
        <v>118000000</v>
      </c>
      <c r="E127" s="241">
        <v>125000000</v>
      </c>
      <c r="F127" s="241">
        <v>120000000</v>
      </c>
      <c r="G127" s="241">
        <v>90577387</v>
      </c>
      <c r="H127" s="241">
        <v>150000000</v>
      </c>
      <c r="I127" s="241"/>
      <c r="J127" s="241">
        <v>120000000</v>
      </c>
      <c r="K127" s="241">
        <f>120000000</f>
        <v>120000000</v>
      </c>
      <c r="L127" s="241">
        <v>120000000</v>
      </c>
      <c r="M127" s="241">
        <v>120000000</v>
      </c>
      <c r="N127" s="337">
        <f>M127</f>
        <v>120000000</v>
      </c>
      <c r="O127" s="241">
        <v>120000000</v>
      </c>
      <c r="P127" s="331">
        <f>SUM(D127:O127)</f>
        <v>1323577387</v>
      </c>
      <c r="Q127" s="227"/>
      <c r="R127" s="227"/>
      <c r="S127" s="227"/>
      <c r="T127" s="227"/>
      <c r="U127" s="227"/>
      <c r="V127" s="227"/>
      <c r="W127" s="227"/>
      <c r="X127" s="227"/>
      <c r="Y127" s="227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82"/>
      <c r="AY127" s="82">
        <f>SUM(D127:L127)</f>
        <v>963577387</v>
      </c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N127" s="129"/>
    </row>
    <row r="128" spans="1:87" s="124" customFormat="1">
      <c r="A128" s="243"/>
      <c r="B128" s="251"/>
      <c r="C128" s="415" t="s">
        <v>592</v>
      </c>
      <c r="D128" s="241"/>
      <c r="E128" s="241"/>
      <c r="F128" s="241"/>
      <c r="G128" s="241"/>
      <c r="H128" s="241"/>
      <c r="I128" s="241"/>
      <c r="J128" s="241"/>
      <c r="K128" s="241"/>
      <c r="L128" s="241"/>
      <c r="M128" s="241">
        <v>150000000</v>
      </c>
      <c r="N128" s="337">
        <v>150000000</v>
      </c>
      <c r="O128" s="241">
        <v>200000000</v>
      </c>
      <c r="P128" s="331">
        <f>SUM(D128:O128)</f>
        <v>500000000</v>
      </c>
      <c r="Q128" s="227"/>
      <c r="R128" s="227"/>
      <c r="S128" s="227"/>
      <c r="T128" s="227"/>
      <c r="U128" s="227"/>
      <c r="V128" s="227"/>
      <c r="W128" s="227"/>
      <c r="X128" s="227"/>
      <c r="Y128" s="227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  <c r="AU128" s="163"/>
      <c r="AV128" s="163"/>
      <c r="AW128" s="163"/>
      <c r="AX128" s="203"/>
      <c r="AY128" s="143">
        <v>729700000</v>
      </c>
      <c r="AZ128" s="80"/>
      <c r="BA128" s="80"/>
      <c r="BB128" s="80"/>
      <c r="BC128" s="80"/>
      <c r="BD128" s="80"/>
      <c r="BE128" s="80">
        <v>60358267</v>
      </c>
      <c r="BF128" s="80"/>
      <c r="BG128" s="80"/>
      <c r="BH128" s="80"/>
      <c r="BI128" s="80"/>
      <c r="BJ128" s="80"/>
      <c r="BK128" s="80"/>
      <c r="BL128" s="80"/>
      <c r="BN128" s="129">
        <v>466.66666666666669</v>
      </c>
    </row>
    <row r="129" spans="1:66" s="124" customFormat="1">
      <c r="A129" s="243"/>
      <c r="B129" s="251"/>
      <c r="C129" s="413"/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337"/>
      <c r="O129" s="241"/>
      <c r="P129" s="331"/>
      <c r="Q129" s="227"/>
      <c r="R129" s="227"/>
      <c r="S129" s="227"/>
      <c r="T129" s="227"/>
      <c r="U129" s="227"/>
      <c r="V129" s="227"/>
      <c r="W129" s="227"/>
      <c r="X129" s="227"/>
      <c r="Y129" s="227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N129" s="129"/>
    </row>
    <row r="130" spans="1:66">
      <c r="A130" s="243"/>
      <c r="B130" s="251"/>
      <c r="C130" s="413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337"/>
      <c r="O130" s="241"/>
      <c r="P130" s="331"/>
      <c r="Q130" s="227"/>
      <c r="R130" s="227"/>
      <c r="S130" s="227"/>
      <c r="T130" s="227"/>
      <c r="U130" s="227"/>
      <c r="V130" s="227"/>
      <c r="W130" s="227"/>
      <c r="X130" s="227"/>
      <c r="Y130" s="227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N130" s="129"/>
    </row>
    <row r="131" spans="1:66">
      <c r="A131" s="549" t="s">
        <v>433</v>
      </c>
      <c r="B131" s="550"/>
      <c r="C131" s="550"/>
      <c r="D131" s="245">
        <f>SUM(D106:D129)</f>
        <v>3899958836</v>
      </c>
      <c r="E131" s="245">
        <f t="shared" ref="E131:O131" si="28">SUM(E106:E129)</f>
        <v>3394736644</v>
      </c>
      <c r="F131" s="245">
        <f t="shared" si="28"/>
        <v>4298226344.5699997</v>
      </c>
      <c r="G131" s="245">
        <f t="shared" si="28"/>
        <v>4042574664.5599999</v>
      </c>
      <c r="H131" s="245">
        <f t="shared" si="28"/>
        <v>4437987783</v>
      </c>
      <c r="I131" s="245">
        <f t="shared" si="28"/>
        <v>4830893814.9099998</v>
      </c>
      <c r="J131" s="245">
        <f t="shared" si="28"/>
        <v>4436986614</v>
      </c>
      <c r="K131" s="245">
        <f t="shared" si="28"/>
        <v>4355298307</v>
      </c>
      <c r="L131" s="245">
        <f t="shared" si="28"/>
        <v>4535587770.5</v>
      </c>
      <c r="M131" s="245">
        <f t="shared" si="28"/>
        <v>7227071004</v>
      </c>
      <c r="N131" s="245">
        <f t="shared" si="28"/>
        <v>7427291004</v>
      </c>
      <c r="O131" s="245">
        <f t="shared" si="28"/>
        <v>6631398323</v>
      </c>
      <c r="P131" s="332">
        <f t="shared" si="21"/>
        <v>59518011109.539993</v>
      </c>
      <c r="Q131" s="333"/>
      <c r="R131" s="333"/>
      <c r="S131" s="333"/>
      <c r="T131" s="333"/>
      <c r="U131" s="333"/>
      <c r="V131" s="333"/>
      <c r="W131" s="333"/>
      <c r="X131" s="333"/>
      <c r="Y131" s="333"/>
      <c r="Z131" s="153"/>
      <c r="AA131" s="153"/>
      <c r="AB131" s="153"/>
      <c r="AC131" s="153"/>
      <c r="AD131" s="153"/>
      <c r="AE131" s="153"/>
      <c r="AF131" s="153"/>
      <c r="AG131" s="153"/>
      <c r="AH131" s="153"/>
      <c r="AI131" s="153"/>
      <c r="AJ131" s="153"/>
      <c r="AK131" s="153"/>
      <c r="AL131" s="153"/>
      <c r="AM131" s="153"/>
      <c r="AN131" s="153"/>
      <c r="AO131" s="153"/>
      <c r="AP131" s="153"/>
      <c r="AQ131" s="153"/>
      <c r="AR131" s="153"/>
      <c r="AS131" s="153"/>
      <c r="AT131" s="153"/>
      <c r="AU131" s="153"/>
      <c r="AV131" s="153"/>
      <c r="AW131" s="153"/>
      <c r="AX131" s="82"/>
      <c r="AY131" s="82">
        <v>729700000</v>
      </c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N131" s="129">
        <f>SUM(BN106:BN125)</f>
        <v>3961.6243004999997</v>
      </c>
    </row>
    <row r="132" spans="1:66">
      <c r="A132" s="243"/>
      <c r="B132" s="247"/>
      <c r="C132" s="248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337"/>
      <c r="O132" s="241"/>
      <c r="P132" s="331">
        <f t="shared" si="21"/>
        <v>0</v>
      </c>
      <c r="Q132" s="227"/>
      <c r="R132" s="227"/>
      <c r="S132" s="227"/>
      <c r="T132" s="227"/>
      <c r="U132" s="227"/>
      <c r="V132" s="227"/>
      <c r="W132" s="227"/>
      <c r="X132" s="227"/>
      <c r="Y132" s="227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  <c r="AU132" s="163"/>
      <c r="AV132" s="163"/>
      <c r="AW132" s="163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</row>
    <row r="133" spans="1:66">
      <c r="A133" s="551" t="s">
        <v>434</v>
      </c>
      <c r="B133" s="552"/>
      <c r="C133" s="552"/>
      <c r="D133" s="257">
        <f t="shared" ref="D133:P133" si="29">+D29-D131</f>
        <v>2295156009.4807243</v>
      </c>
      <c r="E133" s="257">
        <f t="shared" si="29"/>
        <v>989117143.42072487</v>
      </c>
      <c r="F133" s="257">
        <f t="shared" si="29"/>
        <v>852499989.90072536</v>
      </c>
      <c r="G133" s="257">
        <f t="shared" si="29"/>
        <v>1021078314.5707259</v>
      </c>
      <c r="H133" s="257">
        <f t="shared" si="29"/>
        <v>1052833937.2507267</v>
      </c>
      <c r="I133" s="257">
        <f t="shared" si="29"/>
        <v>558040010.34072685</v>
      </c>
      <c r="J133" s="257">
        <f t="shared" si="29"/>
        <v>703371846.34072685</v>
      </c>
      <c r="K133" s="257">
        <f t="shared" si="29"/>
        <v>494023502.40032673</v>
      </c>
      <c r="L133" s="257">
        <f t="shared" si="29"/>
        <v>1254418576.6793394</v>
      </c>
      <c r="M133" s="257">
        <f t="shared" si="29"/>
        <v>1382442602.2761555</v>
      </c>
      <c r="N133" s="340">
        <f t="shared" si="29"/>
        <v>2359253736.1188927</v>
      </c>
      <c r="O133" s="257">
        <f t="shared" si="29"/>
        <v>158455851.49250126</v>
      </c>
      <c r="P133" s="284">
        <f t="shared" si="29"/>
        <v>158455851.49250793</v>
      </c>
      <c r="Q133" s="334"/>
      <c r="R133" s="334"/>
      <c r="S133" s="334"/>
      <c r="T133" s="334"/>
      <c r="U133" s="334"/>
      <c r="V133" s="334"/>
      <c r="W133" s="334"/>
      <c r="X133" s="334"/>
      <c r="Y133" s="334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22"/>
      <c r="AY133" s="83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>
        <f>+BM29-BM131</f>
        <v>0</v>
      </c>
      <c r="BN133" s="76">
        <f>+BN29-BN131</f>
        <v>-3961.6243004999997</v>
      </c>
    </row>
    <row r="134" spans="1:66">
      <c r="A134" s="279"/>
      <c r="B134" s="279"/>
      <c r="C134" s="279"/>
      <c r="D134" s="324"/>
      <c r="E134" s="324"/>
      <c r="F134" s="324"/>
      <c r="G134" s="324"/>
      <c r="H134" s="324"/>
      <c r="I134" s="324"/>
      <c r="J134" s="324"/>
      <c r="K134" s="324"/>
      <c r="L134" s="324"/>
      <c r="M134" s="324"/>
      <c r="N134" s="324"/>
      <c r="O134" s="324"/>
      <c r="P134" s="324"/>
      <c r="Q134" s="333"/>
      <c r="R134" s="333"/>
      <c r="S134" s="333"/>
      <c r="T134" s="333"/>
      <c r="U134" s="333"/>
      <c r="V134" s="333"/>
      <c r="W134" s="333"/>
      <c r="X134" s="333"/>
      <c r="Y134" s="33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</row>
    <row r="135" spans="1:66">
      <c r="A135" s="279"/>
      <c r="B135" s="279"/>
      <c r="C135" s="279"/>
      <c r="D135" s="324"/>
      <c r="E135" s="324"/>
      <c r="F135" s="324"/>
      <c r="G135" s="324"/>
      <c r="H135" s="324"/>
      <c r="I135" s="324"/>
      <c r="J135" s="324"/>
      <c r="K135" s="324"/>
      <c r="L135" s="324"/>
      <c r="M135" s="324"/>
      <c r="N135" s="324"/>
      <c r="O135" s="324"/>
      <c r="P135" s="324">
        <v>158455851.49250793</v>
      </c>
      <c r="Q135" s="333"/>
      <c r="R135" s="333"/>
      <c r="S135" s="333"/>
      <c r="T135" s="333"/>
      <c r="U135" s="333"/>
      <c r="V135" s="333"/>
      <c r="W135" s="333"/>
      <c r="X135" s="333"/>
      <c r="Y135" s="33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</row>
    <row r="136" spans="1:66">
      <c r="A136" s="279"/>
      <c r="B136" s="279"/>
      <c r="C136" s="279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33"/>
      <c r="R136" s="333"/>
      <c r="S136" s="333"/>
      <c r="T136" s="333"/>
      <c r="U136" s="333"/>
      <c r="V136" s="333"/>
      <c r="W136" s="333"/>
      <c r="X136" s="333"/>
      <c r="Y136" s="33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</row>
    <row r="137" spans="1:66">
      <c r="A137" s="279"/>
      <c r="B137" s="279"/>
      <c r="C137" s="279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33"/>
      <c r="R137" s="333"/>
      <c r="S137" s="333"/>
      <c r="T137" s="333"/>
      <c r="U137" s="333"/>
      <c r="V137" s="333"/>
      <c r="W137" s="333"/>
      <c r="X137" s="333"/>
      <c r="Y137" s="33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</row>
    <row r="138" spans="1:66">
      <c r="A138" s="279"/>
      <c r="B138" s="279"/>
      <c r="C138" s="422" t="s">
        <v>556</v>
      </c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33"/>
      <c r="R138" s="333"/>
      <c r="S138" s="333"/>
      <c r="T138" s="333"/>
      <c r="U138" s="333"/>
      <c r="V138" s="333"/>
      <c r="W138" s="333"/>
      <c r="X138" s="333"/>
      <c r="Y138" s="33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</row>
    <row r="139" spans="1:66">
      <c r="A139" s="279"/>
      <c r="B139" s="279"/>
      <c r="C139" s="422" t="s">
        <v>557</v>
      </c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33"/>
      <c r="R139" s="333"/>
      <c r="S139" s="333"/>
      <c r="T139" s="333"/>
      <c r="U139" s="333"/>
      <c r="V139" s="333"/>
      <c r="W139" s="333"/>
      <c r="X139" s="333"/>
      <c r="Y139" s="33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</row>
    <row r="140" spans="1:66">
      <c r="A140" s="279"/>
      <c r="B140" s="279"/>
      <c r="C140" s="422" t="s">
        <v>558</v>
      </c>
      <c r="D140" s="324"/>
      <c r="E140" s="324"/>
      <c r="F140" s="324"/>
      <c r="G140" s="324"/>
      <c r="H140" s="324"/>
      <c r="I140" s="324"/>
      <c r="J140" s="324"/>
      <c r="K140" s="324"/>
      <c r="L140" s="324"/>
      <c r="M140" s="324"/>
      <c r="N140" s="324"/>
      <c r="O140" s="324"/>
      <c r="P140" s="324"/>
      <c r="Q140" s="333"/>
      <c r="R140" s="333"/>
      <c r="S140" s="333"/>
      <c r="T140" s="333"/>
      <c r="U140" s="333"/>
      <c r="V140" s="333"/>
      <c r="W140" s="333"/>
      <c r="X140" s="333"/>
      <c r="Y140" s="33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</row>
    <row r="141" spans="1:66">
      <c r="A141" s="279"/>
      <c r="B141" s="279"/>
      <c r="C141" s="422" t="s">
        <v>559</v>
      </c>
      <c r="D141" s="324"/>
      <c r="E141" s="324"/>
      <c r="F141" s="324"/>
      <c r="G141" s="324"/>
      <c r="H141" s="324"/>
      <c r="I141" s="324"/>
      <c r="J141" s="324"/>
      <c r="K141" s="324"/>
      <c r="L141" s="324"/>
      <c r="M141" s="324"/>
      <c r="N141" s="324"/>
      <c r="O141" s="324"/>
      <c r="P141" s="324"/>
      <c r="Q141" s="333"/>
      <c r="R141" s="333"/>
      <c r="S141" s="333"/>
      <c r="T141" s="333"/>
      <c r="U141" s="333"/>
      <c r="V141" s="333"/>
      <c r="W141" s="333"/>
      <c r="X141" s="333"/>
      <c r="Y141" s="33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</row>
    <row r="142" spans="1:66">
      <c r="A142" s="279"/>
      <c r="B142" s="279"/>
      <c r="C142" s="422" t="s">
        <v>560</v>
      </c>
      <c r="D142" s="324"/>
      <c r="E142" s="324"/>
      <c r="F142" s="324"/>
      <c r="G142" s="324"/>
      <c r="H142" s="324"/>
      <c r="I142" s="324"/>
      <c r="J142" s="324"/>
      <c r="K142" s="324"/>
      <c r="L142" s="324"/>
      <c r="M142" s="324"/>
      <c r="N142" s="324"/>
      <c r="O142" s="324"/>
      <c r="P142" s="324"/>
      <c r="Q142" s="333"/>
      <c r="R142" s="333"/>
      <c r="S142" s="333"/>
      <c r="T142" s="333"/>
      <c r="U142" s="333"/>
      <c r="V142" s="333"/>
      <c r="W142" s="333"/>
      <c r="X142" s="333"/>
      <c r="Y142" s="333"/>
      <c r="Z142" s="153"/>
      <c r="AA142" s="153"/>
      <c r="AB142" s="153"/>
      <c r="AC142" s="153"/>
      <c r="AD142" s="153"/>
      <c r="AE142" s="153"/>
      <c r="AF142" s="153"/>
      <c r="AG142" s="153"/>
      <c r="AH142" s="153"/>
      <c r="AI142" s="153"/>
      <c r="AJ142" s="153"/>
      <c r="AK142" s="153"/>
      <c r="AL142" s="153"/>
      <c r="AM142" s="153"/>
      <c r="AN142" s="153"/>
      <c r="AO142" s="153"/>
      <c r="AP142" s="153"/>
      <c r="AQ142" s="153"/>
      <c r="AR142" s="153"/>
      <c r="AS142" s="153"/>
      <c r="AT142" s="153"/>
      <c r="AU142" s="153"/>
      <c r="AV142" s="153"/>
      <c r="AW142" s="153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</row>
    <row r="143" spans="1:66">
      <c r="A143" s="279"/>
      <c r="B143" s="279"/>
      <c r="C143" s="422" t="s">
        <v>561</v>
      </c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33"/>
      <c r="R143" s="333"/>
      <c r="S143" s="333"/>
      <c r="T143" s="333"/>
      <c r="U143" s="333"/>
      <c r="V143" s="333"/>
      <c r="W143" s="333"/>
      <c r="X143" s="333"/>
      <c r="Y143" s="333"/>
      <c r="Z143" s="153"/>
      <c r="AA143" s="153"/>
      <c r="AB143" s="153"/>
      <c r="AC143" s="153"/>
      <c r="AD143" s="153"/>
      <c r="AE143" s="153"/>
      <c r="AF143" s="153"/>
      <c r="AG143" s="153"/>
      <c r="AH143" s="153"/>
      <c r="AI143" s="153"/>
      <c r="AJ143" s="153"/>
      <c r="AK143" s="153"/>
      <c r="AL143" s="153"/>
      <c r="AM143" s="153"/>
      <c r="AN143" s="153"/>
      <c r="AO143" s="153"/>
      <c r="AP143" s="153"/>
      <c r="AQ143" s="153"/>
      <c r="AR143" s="153"/>
      <c r="AS143" s="153"/>
      <c r="AT143" s="153"/>
      <c r="AU143" s="153"/>
      <c r="AV143" s="153"/>
      <c r="AW143" s="153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</row>
    <row r="144" spans="1:66">
      <c r="A144" s="279"/>
      <c r="B144" s="279"/>
      <c r="C144" s="422" t="s">
        <v>562</v>
      </c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33"/>
      <c r="R144" s="333"/>
      <c r="S144" s="333"/>
      <c r="T144" s="333"/>
      <c r="U144" s="333"/>
      <c r="V144" s="333"/>
      <c r="W144" s="333"/>
      <c r="X144" s="333"/>
      <c r="Y144" s="333"/>
      <c r="Z144" s="153"/>
      <c r="AA144" s="153"/>
      <c r="AB144" s="153"/>
      <c r="AC144" s="153"/>
      <c r="AD144" s="153"/>
      <c r="AE144" s="153"/>
      <c r="AF144" s="153"/>
      <c r="AG144" s="153"/>
      <c r="AH144" s="153"/>
      <c r="AI144" s="153"/>
      <c r="AJ144" s="153"/>
      <c r="AK144" s="153"/>
      <c r="AL144" s="153"/>
      <c r="AM144" s="153"/>
      <c r="AN144" s="153"/>
      <c r="AO144" s="153"/>
      <c r="AP144" s="153"/>
      <c r="AQ144" s="153"/>
      <c r="AR144" s="153"/>
      <c r="AS144" s="153"/>
      <c r="AT144" s="153"/>
      <c r="AU144" s="153"/>
      <c r="AV144" s="153"/>
      <c r="AW144" s="153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</row>
    <row r="145" spans="1:66">
      <c r="A145" s="279"/>
      <c r="B145" s="279"/>
      <c r="C145" s="422" t="s">
        <v>563</v>
      </c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33"/>
      <c r="R145" s="333"/>
      <c r="S145" s="333"/>
      <c r="T145" s="333"/>
      <c r="U145" s="333"/>
      <c r="V145" s="333"/>
      <c r="W145" s="333"/>
      <c r="X145" s="333"/>
      <c r="Y145" s="333"/>
      <c r="Z145" s="153"/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</row>
    <row r="146" spans="1:66">
      <c r="A146" s="279"/>
      <c r="B146" s="279"/>
      <c r="C146" s="279" t="s">
        <v>564</v>
      </c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33"/>
      <c r="R146" s="333"/>
      <c r="S146" s="333"/>
      <c r="T146" s="333"/>
      <c r="U146" s="333"/>
      <c r="V146" s="333"/>
      <c r="W146" s="333"/>
      <c r="X146" s="333"/>
      <c r="Y146" s="333"/>
      <c r="Z146" s="153"/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</row>
    <row r="147" spans="1:66">
      <c r="A147" s="279"/>
      <c r="B147" s="279"/>
      <c r="C147" s="279" t="s">
        <v>565</v>
      </c>
      <c r="D147" s="324"/>
      <c r="E147" s="324"/>
      <c r="F147" s="324"/>
      <c r="G147" s="324"/>
      <c r="H147" s="324"/>
      <c r="I147" s="324"/>
      <c r="J147" s="324"/>
      <c r="K147" s="324"/>
      <c r="L147" s="324"/>
      <c r="M147" s="324"/>
      <c r="N147" s="324"/>
      <c r="O147" s="324"/>
      <c r="P147" s="324"/>
      <c r="Q147" s="333"/>
      <c r="R147" s="333"/>
      <c r="S147" s="333"/>
      <c r="T147" s="333"/>
      <c r="U147" s="333"/>
      <c r="V147" s="333"/>
      <c r="W147" s="333"/>
      <c r="X147" s="333"/>
      <c r="Y147" s="333"/>
      <c r="Z147" s="153"/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</row>
    <row r="148" spans="1:66">
      <c r="A148" s="279"/>
      <c r="B148" s="279"/>
      <c r="C148" s="279" t="s">
        <v>566</v>
      </c>
      <c r="D148" s="324"/>
      <c r="E148" s="324"/>
      <c r="F148" s="324"/>
      <c r="G148" s="324"/>
      <c r="H148" s="324"/>
      <c r="I148" s="324"/>
      <c r="J148" s="324"/>
      <c r="K148" s="324"/>
      <c r="L148" s="324"/>
      <c r="M148" s="324"/>
      <c r="N148" s="324"/>
      <c r="O148" s="324"/>
      <c r="P148" s="324"/>
      <c r="Q148" s="333"/>
      <c r="R148" s="333"/>
      <c r="S148" s="333"/>
      <c r="T148" s="333"/>
      <c r="U148" s="333"/>
      <c r="V148" s="333"/>
      <c r="W148" s="333"/>
      <c r="X148" s="333"/>
      <c r="Y148" s="333"/>
      <c r="Z148" s="153"/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</row>
    <row r="149" spans="1:66">
      <c r="A149" s="279"/>
      <c r="B149" s="279"/>
      <c r="C149" s="279" t="s">
        <v>567</v>
      </c>
      <c r="D149" s="324"/>
      <c r="E149" s="324"/>
      <c r="F149" s="324"/>
      <c r="G149" s="324"/>
      <c r="H149" s="324"/>
      <c r="I149" s="324"/>
      <c r="J149" s="324"/>
      <c r="K149" s="324"/>
      <c r="L149" s="324"/>
      <c r="M149" s="324"/>
      <c r="N149" s="324"/>
      <c r="O149" s="324"/>
      <c r="P149" s="324"/>
      <c r="Q149" s="333"/>
      <c r="R149" s="333"/>
      <c r="S149" s="333"/>
      <c r="T149" s="333"/>
      <c r="U149" s="333"/>
      <c r="V149" s="333"/>
      <c r="W149" s="333"/>
      <c r="X149" s="333"/>
      <c r="Y149" s="333"/>
      <c r="Z149" s="153"/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</row>
    <row r="150" spans="1:66">
      <c r="A150" s="279"/>
      <c r="B150" s="279"/>
      <c r="C150" s="279"/>
      <c r="D150" s="324"/>
      <c r="E150" s="324"/>
      <c r="F150" s="324"/>
      <c r="G150" s="324"/>
      <c r="H150" s="324"/>
      <c r="I150" s="324"/>
      <c r="J150" s="324"/>
      <c r="K150" s="324"/>
      <c r="L150" s="324"/>
      <c r="M150" s="324"/>
      <c r="N150" s="324"/>
      <c r="O150" s="324"/>
      <c r="P150" s="324"/>
      <c r="Q150" s="333"/>
      <c r="R150" s="333"/>
      <c r="S150" s="333"/>
      <c r="T150" s="333"/>
      <c r="U150" s="333"/>
      <c r="V150" s="333"/>
      <c r="W150" s="333"/>
      <c r="X150" s="333"/>
      <c r="Y150" s="33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</row>
    <row r="151" spans="1:66">
      <c r="A151" s="279"/>
      <c r="B151" s="279"/>
      <c r="C151" s="279"/>
      <c r="D151" s="324"/>
      <c r="E151" s="324"/>
      <c r="F151" s="324"/>
      <c r="G151" s="324"/>
      <c r="H151" s="324"/>
      <c r="I151" s="324"/>
      <c r="J151" s="324"/>
      <c r="K151" s="324"/>
      <c r="L151" s="324"/>
      <c r="M151" s="324"/>
      <c r="N151" s="324"/>
      <c r="O151" s="324"/>
      <c r="P151" s="324"/>
      <c r="Q151" s="333"/>
      <c r="R151" s="333"/>
      <c r="S151" s="333"/>
      <c r="T151" s="333"/>
      <c r="U151" s="333"/>
      <c r="V151" s="333"/>
      <c r="W151" s="333"/>
      <c r="X151" s="333"/>
      <c r="Y151" s="333"/>
      <c r="Z151" s="153"/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</row>
    <row r="152" spans="1:66">
      <c r="A152" s="279"/>
      <c r="B152" s="279"/>
      <c r="C152" s="279"/>
      <c r="D152" s="324"/>
      <c r="E152" s="324"/>
      <c r="F152" s="324"/>
      <c r="G152" s="324"/>
      <c r="H152" s="324"/>
      <c r="I152" s="324"/>
      <c r="J152" s="324"/>
      <c r="K152" s="324"/>
      <c r="L152" s="324"/>
      <c r="M152" s="324"/>
      <c r="N152" s="324"/>
      <c r="O152" s="324"/>
      <c r="P152" s="324"/>
      <c r="Q152" s="333"/>
      <c r="R152" s="333"/>
      <c r="S152" s="333"/>
      <c r="T152" s="333"/>
      <c r="U152" s="333"/>
      <c r="V152" s="333"/>
      <c r="W152" s="333"/>
      <c r="X152" s="333"/>
      <c r="Y152" s="333"/>
      <c r="Z152" s="153"/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</row>
    <row r="153" spans="1:66">
      <c r="A153" s="279"/>
      <c r="B153" s="279"/>
      <c r="C153" s="279"/>
      <c r="D153" s="324"/>
      <c r="E153" s="324"/>
      <c r="F153" s="324"/>
      <c r="G153" s="324"/>
      <c r="H153" s="324"/>
      <c r="I153" s="324"/>
      <c r="J153" s="324"/>
      <c r="K153" s="324"/>
      <c r="L153" s="324"/>
      <c r="M153" s="324"/>
      <c r="N153" s="324"/>
      <c r="O153" s="324"/>
      <c r="P153" s="324"/>
      <c r="Q153" s="333"/>
      <c r="R153" s="333"/>
      <c r="S153" s="333"/>
      <c r="T153" s="333"/>
      <c r="U153" s="333"/>
      <c r="V153" s="333"/>
      <c r="W153" s="333"/>
      <c r="X153" s="333"/>
      <c r="Y153" s="333"/>
      <c r="Z153" s="153"/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</row>
    <row r="154" spans="1:66">
      <c r="A154" s="279"/>
      <c r="B154" s="279"/>
      <c r="C154" s="279"/>
      <c r="D154" s="324"/>
      <c r="E154" s="324"/>
      <c r="F154" s="324"/>
      <c r="G154" s="324"/>
      <c r="H154" s="324"/>
      <c r="I154" s="324"/>
      <c r="J154" s="324"/>
      <c r="K154" s="324"/>
      <c r="L154" s="324"/>
      <c r="M154" s="324"/>
      <c r="N154" s="324"/>
      <c r="O154" s="324"/>
      <c r="P154" s="324"/>
      <c r="Q154" s="333"/>
      <c r="R154" s="333"/>
      <c r="S154" s="333"/>
      <c r="T154" s="333"/>
      <c r="U154" s="333"/>
      <c r="V154" s="333"/>
      <c r="W154" s="333"/>
      <c r="X154" s="333"/>
      <c r="Y154" s="333"/>
      <c r="Z154" s="153"/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</row>
    <row r="155" spans="1:66">
      <c r="A155" s="279"/>
      <c r="B155" s="279"/>
      <c r="C155" s="279"/>
      <c r="D155" s="324"/>
      <c r="E155" s="324"/>
      <c r="F155" s="324"/>
      <c r="G155" s="324"/>
      <c r="H155" s="324"/>
      <c r="I155" s="324"/>
      <c r="J155" s="324"/>
      <c r="K155" s="324"/>
      <c r="L155" s="324"/>
      <c r="M155" s="324"/>
      <c r="N155" s="324"/>
      <c r="O155" s="324"/>
      <c r="P155" s="324"/>
      <c r="Q155" s="333"/>
      <c r="R155" s="333"/>
      <c r="S155" s="333"/>
      <c r="T155" s="333"/>
      <c r="U155" s="333"/>
      <c r="V155" s="333"/>
      <c r="W155" s="333"/>
      <c r="X155" s="333"/>
      <c r="Y155" s="333"/>
      <c r="Z155" s="153"/>
      <c r="AA155" s="153"/>
      <c r="AB155" s="153"/>
      <c r="AC155" s="153"/>
      <c r="AD155" s="153"/>
      <c r="AE155" s="153"/>
      <c r="AF155" s="153"/>
      <c r="AG155" s="153"/>
      <c r="AH155" s="153"/>
      <c r="AI155" s="153"/>
      <c r="AJ155" s="153"/>
      <c r="AK155" s="153"/>
      <c r="AL155" s="153"/>
      <c r="AM155" s="153"/>
      <c r="AN155" s="153"/>
      <c r="AO155" s="153"/>
      <c r="AP155" s="153"/>
      <c r="AQ155" s="153"/>
      <c r="AR155" s="153"/>
      <c r="AS155" s="153"/>
      <c r="AT155" s="153"/>
      <c r="AU155" s="153"/>
      <c r="AV155" s="153"/>
      <c r="AW155" s="153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</row>
    <row r="156" spans="1:66">
      <c r="A156" s="279"/>
      <c r="B156" s="279"/>
      <c r="C156" s="279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33"/>
      <c r="R156" s="333"/>
      <c r="S156" s="333"/>
      <c r="T156" s="333"/>
      <c r="U156" s="333"/>
      <c r="V156" s="333"/>
      <c r="W156" s="333"/>
      <c r="X156" s="333"/>
      <c r="Y156" s="333"/>
      <c r="Z156" s="153"/>
      <c r="AA156" s="153"/>
      <c r="AB156" s="153"/>
      <c r="AC156" s="153"/>
      <c r="AD156" s="153"/>
      <c r="AE156" s="153"/>
      <c r="AF156" s="153"/>
      <c r="AG156" s="153"/>
      <c r="AH156" s="153"/>
      <c r="AI156" s="153"/>
      <c r="AJ156" s="153"/>
      <c r="AK156" s="153"/>
      <c r="AL156" s="153"/>
      <c r="AM156" s="153"/>
      <c r="AN156" s="153"/>
      <c r="AO156" s="153"/>
      <c r="AP156" s="153"/>
      <c r="AQ156" s="153"/>
      <c r="AR156" s="153"/>
      <c r="AS156" s="153"/>
      <c r="AT156" s="153"/>
      <c r="AU156" s="153"/>
      <c r="AV156" s="153"/>
      <c r="AW156" s="153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</row>
    <row r="157" spans="1:66">
      <c r="A157" s="279"/>
      <c r="B157" s="279"/>
      <c r="C157" s="279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33"/>
      <c r="R157" s="333"/>
      <c r="S157" s="333"/>
      <c r="T157" s="333"/>
      <c r="U157" s="333"/>
      <c r="V157" s="333"/>
      <c r="W157" s="333"/>
      <c r="X157" s="333"/>
      <c r="Y157" s="333"/>
      <c r="Z157" s="153"/>
      <c r="AA157" s="153"/>
      <c r="AB157" s="153"/>
      <c r="AC157" s="153"/>
      <c r="AD157" s="153"/>
      <c r="AE157" s="153"/>
      <c r="AF157" s="153"/>
      <c r="AG157" s="153"/>
      <c r="AH157" s="153"/>
      <c r="AI157" s="153"/>
      <c r="AJ157" s="153"/>
      <c r="AK157" s="153"/>
      <c r="AL157" s="153"/>
      <c r="AM157" s="153"/>
      <c r="AN157" s="153"/>
      <c r="AO157" s="153"/>
      <c r="AP157" s="153"/>
      <c r="AQ157" s="153"/>
      <c r="AR157" s="153"/>
      <c r="AS157" s="153"/>
      <c r="AT157" s="153"/>
      <c r="AU157" s="153"/>
      <c r="AV157" s="153"/>
      <c r="AW157" s="153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</row>
    <row r="158" spans="1:66">
      <c r="A158" s="279"/>
      <c r="B158" s="279"/>
      <c r="C158" s="279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33"/>
      <c r="R158" s="333"/>
      <c r="S158" s="333"/>
      <c r="T158" s="333"/>
      <c r="U158" s="333"/>
      <c r="V158" s="333"/>
      <c r="W158" s="333"/>
      <c r="X158" s="333"/>
      <c r="Y158" s="333"/>
      <c r="Z158" s="153"/>
      <c r="AA158" s="153"/>
      <c r="AB158" s="153"/>
      <c r="AC158" s="153"/>
      <c r="AD158" s="153"/>
      <c r="AE158" s="153"/>
      <c r="AF158" s="153"/>
      <c r="AG158" s="153"/>
      <c r="AH158" s="153"/>
      <c r="AI158" s="153"/>
      <c r="AJ158" s="153"/>
      <c r="AK158" s="153"/>
      <c r="AL158" s="153"/>
      <c r="AM158" s="153"/>
      <c r="AN158" s="153"/>
      <c r="AO158" s="153"/>
      <c r="AP158" s="153"/>
      <c r="AQ158" s="153"/>
      <c r="AR158" s="153"/>
      <c r="AS158" s="153"/>
      <c r="AT158" s="153"/>
      <c r="AU158" s="153"/>
      <c r="AV158" s="153"/>
      <c r="AW158" s="153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</row>
    <row r="159" spans="1:66">
      <c r="A159" s="279"/>
      <c r="B159" s="279"/>
      <c r="C159" s="279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33"/>
      <c r="R159" s="333"/>
      <c r="S159" s="333"/>
      <c r="T159" s="333"/>
      <c r="U159" s="333"/>
      <c r="V159" s="333"/>
      <c r="W159" s="333"/>
      <c r="X159" s="333"/>
      <c r="Y159" s="333"/>
      <c r="Z159" s="153"/>
      <c r="AA159" s="153"/>
      <c r="AB159" s="153"/>
      <c r="AC159" s="153"/>
      <c r="AD159" s="153"/>
      <c r="AE159" s="153"/>
      <c r="AF159" s="153"/>
      <c r="AG159" s="153"/>
      <c r="AH159" s="153"/>
      <c r="AI159" s="153"/>
      <c r="AJ159" s="153"/>
      <c r="AK159" s="153"/>
      <c r="AL159" s="153"/>
      <c r="AM159" s="153"/>
      <c r="AN159" s="153"/>
      <c r="AO159" s="153"/>
      <c r="AP159" s="153"/>
      <c r="AQ159" s="153"/>
      <c r="AR159" s="153"/>
      <c r="AS159" s="153"/>
      <c r="AT159" s="153"/>
      <c r="AU159" s="153"/>
      <c r="AV159" s="153"/>
      <c r="AW159" s="153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</row>
    <row r="160" spans="1:66">
      <c r="A160" s="279"/>
      <c r="B160" s="279"/>
      <c r="C160" s="279"/>
      <c r="D160" s="324"/>
      <c r="E160" s="324"/>
      <c r="F160" s="324"/>
      <c r="G160" s="324"/>
      <c r="H160" s="324"/>
      <c r="I160" s="324"/>
      <c r="J160" s="324"/>
      <c r="K160" s="324"/>
      <c r="L160" s="324"/>
      <c r="M160" s="324"/>
      <c r="N160" s="324"/>
      <c r="O160" s="324"/>
      <c r="P160" s="324"/>
      <c r="Q160" s="333"/>
      <c r="R160" s="333"/>
      <c r="S160" s="333"/>
      <c r="T160" s="333"/>
      <c r="U160" s="333"/>
      <c r="V160" s="333"/>
      <c r="W160" s="333"/>
      <c r="X160" s="333"/>
      <c r="Y160" s="33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</row>
    <row r="161" spans="1:66">
      <c r="A161" s="279"/>
      <c r="B161" s="279"/>
      <c r="C161" s="279"/>
      <c r="D161" s="324"/>
      <c r="E161" s="324"/>
      <c r="F161" s="324"/>
      <c r="G161" s="324"/>
      <c r="H161" s="324"/>
      <c r="I161" s="324"/>
      <c r="J161" s="324"/>
      <c r="K161" s="324"/>
      <c r="L161" s="324"/>
      <c r="M161" s="324"/>
      <c r="N161" s="324"/>
      <c r="O161" s="324"/>
      <c r="P161" s="324"/>
      <c r="Q161" s="333"/>
      <c r="R161" s="333"/>
      <c r="S161" s="333"/>
      <c r="T161" s="333"/>
      <c r="U161" s="333"/>
      <c r="V161" s="333"/>
      <c r="W161" s="333"/>
      <c r="X161" s="333"/>
      <c r="Y161" s="333"/>
      <c r="Z161" s="153"/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</row>
    <row r="162" spans="1:66">
      <c r="A162" s="279"/>
      <c r="B162" s="279"/>
      <c r="C162" s="279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33"/>
      <c r="R162" s="333"/>
      <c r="S162" s="333"/>
      <c r="T162" s="333"/>
      <c r="U162" s="333"/>
      <c r="V162" s="333"/>
      <c r="W162" s="333"/>
      <c r="X162" s="333"/>
      <c r="Y162" s="333"/>
      <c r="Z162" s="153"/>
      <c r="AA162" s="153"/>
      <c r="AB162" s="153"/>
      <c r="AC162" s="153"/>
      <c r="AD162" s="153"/>
      <c r="AE162" s="153"/>
      <c r="AF162" s="153"/>
      <c r="AG162" s="153"/>
      <c r="AH162" s="153"/>
      <c r="AI162" s="153"/>
      <c r="AJ162" s="153"/>
      <c r="AK162" s="153"/>
      <c r="AL162" s="153"/>
      <c r="AM162" s="153"/>
      <c r="AN162" s="153"/>
      <c r="AO162" s="153"/>
      <c r="AP162" s="153"/>
      <c r="AQ162" s="153"/>
      <c r="AR162" s="153"/>
      <c r="AS162" s="153"/>
      <c r="AT162" s="153"/>
      <c r="AU162" s="153"/>
      <c r="AV162" s="153"/>
      <c r="AW162" s="153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</row>
    <row r="163" spans="1:66">
      <c r="A163" s="279"/>
      <c r="B163" s="279"/>
      <c r="C163" s="279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33"/>
      <c r="R163" s="333"/>
      <c r="S163" s="333"/>
      <c r="T163" s="333"/>
      <c r="U163" s="333"/>
      <c r="V163" s="333"/>
      <c r="W163" s="333"/>
      <c r="X163" s="333"/>
      <c r="Y163" s="333"/>
      <c r="Z163" s="153"/>
      <c r="AA163" s="153"/>
      <c r="AB163" s="153"/>
      <c r="AC163" s="153"/>
      <c r="AD163" s="153"/>
      <c r="AE163" s="153"/>
      <c r="AF163" s="153"/>
      <c r="AG163" s="153"/>
      <c r="AH163" s="153"/>
      <c r="AI163" s="153"/>
      <c r="AJ163" s="153"/>
      <c r="AK163" s="153"/>
      <c r="AL163" s="153"/>
      <c r="AM163" s="153"/>
      <c r="AN163" s="153"/>
      <c r="AO163" s="153"/>
      <c r="AP163" s="153"/>
      <c r="AQ163" s="153"/>
      <c r="AR163" s="153"/>
      <c r="AS163" s="153"/>
      <c r="AT163" s="153"/>
      <c r="AU163" s="153"/>
      <c r="AV163" s="153"/>
      <c r="AW163" s="153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</row>
    <row r="164" spans="1:66">
      <c r="A164" s="279"/>
      <c r="B164" s="279"/>
      <c r="C164" s="279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33"/>
      <c r="R164" s="333"/>
      <c r="S164" s="333"/>
      <c r="T164" s="333"/>
      <c r="U164" s="333"/>
      <c r="V164" s="333"/>
      <c r="W164" s="333"/>
      <c r="X164" s="333"/>
      <c r="Y164" s="33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</row>
    <row r="165" spans="1:66">
      <c r="A165" s="279"/>
      <c r="B165" s="279"/>
      <c r="C165" s="279"/>
      <c r="D165" s="324"/>
      <c r="E165" s="324"/>
      <c r="F165" s="324"/>
      <c r="G165" s="324"/>
      <c r="H165" s="324"/>
      <c r="I165" s="324"/>
      <c r="J165" s="324"/>
      <c r="K165" s="324"/>
      <c r="L165" s="324"/>
      <c r="M165" s="324"/>
      <c r="N165" s="324"/>
      <c r="O165" s="324"/>
      <c r="P165" s="324"/>
      <c r="Q165" s="333"/>
      <c r="R165" s="333"/>
      <c r="S165" s="333"/>
      <c r="T165" s="333"/>
      <c r="U165" s="333"/>
      <c r="V165" s="333"/>
      <c r="W165" s="333"/>
      <c r="X165" s="333"/>
      <c r="Y165" s="333"/>
      <c r="Z165" s="153"/>
      <c r="AA165" s="153"/>
      <c r="AB165" s="153"/>
      <c r="AC165" s="153"/>
      <c r="AD165" s="153"/>
      <c r="AE165" s="153"/>
      <c r="AF165" s="153"/>
      <c r="AG165" s="153"/>
      <c r="AH165" s="153"/>
      <c r="AI165" s="153"/>
      <c r="AJ165" s="153"/>
      <c r="AK165" s="153"/>
      <c r="AL165" s="153"/>
      <c r="AM165" s="153"/>
      <c r="AN165" s="153"/>
      <c r="AO165" s="153"/>
      <c r="AP165" s="153"/>
      <c r="AQ165" s="153"/>
      <c r="AR165" s="153"/>
      <c r="AS165" s="153"/>
      <c r="AT165" s="153"/>
      <c r="AU165" s="153"/>
      <c r="AV165" s="153"/>
      <c r="AW165" s="153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</row>
    <row r="166" spans="1:66">
      <c r="A166" s="279"/>
      <c r="B166" s="279"/>
      <c r="C166" s="279"/>
      <c r="D166" s="324"/>
      <c r="E166" s="324"/>
      <c r="F166" s="324"/>
      <c r="G166" s="324"/>
      <c r="H166" s="324"/>
      <c r="I166" s="324"/>
      <c r="J166" s="324"/>
      <c r="K166" s="324"/>
      <c r="L166" s="324"/>
      <c r="M166" s="324"/>
      <c r="N166" s="324"/>
      <c r="O166" s="324"/>
      <c r="P166" s="324"/>
      <c r="Q166" s="333"/>
      <c r="R166" s="333"/>
      <c r="S166" s="333"/>
      <c r="T166" s="333"/>
      <c r="U166" s="333"/>
      <c r="V166" s="333"/>
      <c r="W166" s="333"/>
      <c r="X166" s="333"/>
      <c r="Y166" s="333"/>
      <c r="Z166" s="153"/>
      <c r="AA166" s="153"/>
      <c r="AB166" s="153"/>
      <c r="AC166" s="153"/>
      <c r="AD166" s="153"/>
      <c r="AE166" s="153"/>
      <c r="AF166" s="153"/>
      <c r="AG166" s="153"/>
      <c r="AH166" s="153"/>
      <c r="AI166" s="153"/>
      <c r="AJ166" s="153"/>
      <c r="AK166" s="153"/>
      <c r="AL166" s="153"/>
      <c r="AM166" s="153"/>
      <c r="AN166" s="153"/>
      <c r="AO166" s="153"/>
      <c r="AP166" s="153"/>
      <c r="AQ166" s="153"/>
      <c r="AR166" s="153"/>
      <c r="AS166" s="153"/>
      <c r="AT166" s="153"/>
      <c r="AU166" s="153"/>
      <c r="AV166" s="153"/>
      <c r="AW166" s="153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</row>
    <row r="167" spans="1:66">
      <c r="A167" s="279"/>
      <c r="B167" s="279"/>
      <c r="C167" s="279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33"/>
      <c r="R167" s="333"/>
      <c r="S167" s="333"/>
      <c r="T167" s="333"/>
      <c r="U167" s="333"/>
      <c r="V167" s="333"/>
      <c r="W167" s="333"/>
      <c r="X167" s="333"/>
      <c r="Y167" s="333"/>
      <c r="Z167" s="153"/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</row>
    <row r="168" spans="1:66">
      <c r="A168" s="279"/>
      <c r="B168" s="279"/>
      <c r="C168" s="279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33"/>
      <c r="R168" s="333"/>
      <c r="S168" s="333"/>
      <c r="T168" s="333"/>
      <c r="U168" s="333"/>
      <c r="V168" s="333"/>
      <c r="W168" s="333"/>
      <c r="X168" s="333"/>
      <c r="Y168" s="333"/>
      <c r="Z168" s="153"/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</row>
    <row r="169" spans="1:66">
      <c r="A169" s="279"/>
      <c r="B169" s="279" t="s">
        <v>340</v>
      </c>
      <c r="C169" s="279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>
        <v>232455851.49250793</v>
      </c>
      <c r="Q169" s="333"/>
      <c r="R169" s="333"/>
      <c r="S169" s="333"/>
      <c r="T169" s="333"/>
      <c r="U169" s="333"/>
      <c r="V169" s="333"/>
      <c r="W169" s="333"/>
      <c r="X169" s="333"/>
      <c r="Y169" s="333"/>
      <c r="Z169" s="153"/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</row>
    <row r="170" spans="1:66">
      <c r="A170" s="279"/>
      <c r="B170" s="279" t="s">
        <v>342</v>
      </c>
      <c r="C170" s="326" t="s">
        <v>341</v>
      </c>
      <c r="D170" s="327"/>
      <c r="E170" s="327"/>
      <c r="F170" s="327"/>
      <c r="G170" s="327"/>
      <c r="H170" s="327"/>
      <c r="I170" s="327"/>
      <c r="J170" s="327"/>
      <c r="K170" s="324"/>
      <c r="L170" s="324"/>
      <c r="M170" s="324"/>
      <c r="N170" s="324"/>
      <c r="O170" s="324"/>
      <c r="P170" s="324"/>
      <c r="Q170" s="333"/>
      <c r="R170" s="333"/>
      <c r="S170" s="333"/>
      <c r="T170" s="333"/>
      <c r="U170" s="333"/>
      <c r="V170" s="333"/>
      <c r="W170" s="333"/>
      <c r="X170" s="333"/>
      <c r="Y170" s="333"/>
      <c r="Z170" s="153"/>
      <c r="AA170" s="153"/>
      <c r="AB170" s="153"/>
      <c r="AC170" s="153"/>
      <c r="AD170" s="153"/>
      <c r="AE170" s="153"/>
      <c r="AF170" s="153"/>
      <c r="AG170" s="153"/>
      <c r="AH170" s="153"/>
      <c r="AI170" s="153"/>
      <c r="AJ170" s="153"/>
      <c r="AK170" s="153"/>
      <c r="AL170" s="153"/>
      <c r="AM170" s="153"/>
      <c r="AN170" s="153"/>
      <c r="AO170" s="153"/>
      <c r="AP170" s="153"/>
      <c r="AQ170" s="153"/>
      <c r="AR170" s="153"/>
      <c r="AS170" s="153"/>
      <c r="AT170" s="153"/>
      <c r="AU170" s="153"/>
      <c r="AV170" s="153"/>
      <c r="AW170" s="153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</row>
    <row r="171" spans="1:66">
      <c r="A171" s="279"/>
      <c r="B171" s="279" t="s">
        <v>342</v>
      </c>
      <c r="C171" s="280" t="s">
        <v>339</v>
      </c>
      <c r="D171" s="324"/>
      <c r="E171" s="324"/>
      <c r="F171" s="324"/>
      <c r="G171" s="324"/>
      <c r="H171" s="324"/>
      <c r="I171" s="324"/>
      <c r="J171" s="324"/>
      <c r="K171" s="324"/>
      <c r="L171" s="324"/>
      <c r="M171" s="324"/>
      <c r="N171" s="324"/>
      <c r="O171" s="324"/>
      <c r="P171" s="324"/>
      <c r="Q171" s="333"/>
      <c r="R171" s="333"/>
      <c r="S171" s="333"/>
      <c r="T171" s="333"/>
      <c r="U171" s="333"/>
      <c r="V171" s="333"/>
      <c r="W171" s="333"/>
      <c r="X171" s="333"/>
      <c r="Y171" s="333"/>
      <c r="Z171" s="153"/>
      <c r="AA171" s="153"/>
      <c r="AB171" s="153"/>
      <c r="AC171" s="153"/>
      <c r="AD171" s="153"/>
      <c r="AE171" s="153"/>
      <c r="AF171" s="153"/>
      <c r="AG171" s="153"/>
      <c r="AH171" s="153"/>
      <c r="AI171" s="153"/>
      <c r="AJ171" s="153"/>
      <c r="AK171" s="153"/>
      <c r="AL171" s="153"/>
      <c r="AM171" s="153"/>
      <c r="AN171" s="153"/>
      <c r="AO171" s="153"/>
      <c r="AP171" s="153"/>
      <c r="AQ171" s="153"/>
      <c r="AR171" s="153"/>
      <c r="AS171" s="153"/>
      <c r="AT171" s="153"/>
      <c r="AU171" s="153"/>
      <c r="AV171" s="153"/>
      <c r="AW171" s="153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</row>
    <row r="172" spans="1:66">
      <c r="A172" s="279"/>
      <c r="B172" s="279" t="s">
        <v>342</v>
      </c>
      <c r="C172" s="280" t="s">
        <v>383</v>
      </c>
      <c r="D172" s="324"/>
      <c r="E172" s="324"/>
      <c r="F172" s="324"/>
      <c r="G172" s="324"/>
      <c r="H172" s="324"/>
      <c r="I172" s="324"/>
      <c r="J172" s="324"/>
      <c r="K172" s="324"/>
      <c r="L172" s="324"/>
      <c r="M172" s="324"/>
      <c r="N172" s="324"/>
      <c r="O172" s="324"/>
      <c r="P172" s="324"/>
      <c r="Q172" s="333"/>
      <c r="R172" s="333"/>
      <c r="S172" s="333"/>
      <c r="T172" s="333"/>
      <c r="U172" s="333"/>
      <c r="V172" s="333"/>
      <c r="W172" s="333"/>
      <c r="X172" s="333"/>
      <c r="Y172" s="333"/>
      <c r="Z172" s="153"/>
      <c r="AA172" s="153"/>
      <c r="AB172" s="153"/>
      <c r="AC172" s="153"/>
      <c r="AD172" s="153"/>
      <c r="AE172" s="153"/>
      <c r="AF172" s="153"/>
      <c r="AG172" s="153"/>
      <c r="AH172" s="153"/>
      <c r="AI172" s="153"/>
      <c r="AJ172" s="153"/>
      <c r="AK172" s="153"/>
      <c r="AL172" s="153"/>
      <c r="AM172" s="153"/>
      <c r="AN172" s="153"/>
      <c r="AO172" s="153"/>
      <c r="AP172" s="153"/>
      <c r="AQ172" s="153"/>
      <c r="AR172" s="153"/>
      <c r="AS172" s="153"/>
      <c r="AT172" s="153"/>
      <c r="AU172" s="153"/>
      <c r="AV172" s="153"/>
      <c r="AW172" s="153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</row>
    <row r="173" spans="1:66">
      <c r="A173" s="279"/>
      <c r="B173" s="279" t="s">
        <v>342</v>
      </c>
      <c r="C173" s="280" t="s">
        <v>382</v>
      </c>
      <c r="D173" s="324"/>
      <c r="E173" s="324"/>
      <c r="F173" s="324"/>
      <c r="G173" s="324"/>
      <c r="H173" s="324"/>
      <c r="I173" s="324"/>
      <c r="J173" s="324"/>
      <c r="K173" s="324"/>
      <c r="L173" s="324"/>
      <c r="M173" s="324"/>
      <c r="N173" s="324"/>
      <c r="O173" s="324"/>
      <c r="P173" s="324"/>
      <c r="Q173" s="333"/>
      <c r="R173" s="333"/>
      <c r="S173" s="333"/>
      <c r="T173" s="333"/>
      <c r="U173" s="333"/>
      <c r="V173" s="333"/>
      <c r="W173" s="333"/>
      <c r="X173" s="333"/>
      <c r="Y173" s="333"/>
      <c r="Z173" s="153"/>
      <c r="AA173" s="153"/>
      <c r="AB173" s="153"/>
      <c r="AC173" s="153"/>
      <c r="AD173" s="153"/>
      <c r="AE173" s="153"/>
      <c r="AF173" s="153"/>
      <c r="AG173" s="153"/>
      <c r="AH173" s="153"/>
      <c r="AI173" s="153"/>
      <c r="AJ173" s="153"/>
      <c r="AK173" s="153"/>
      <c r="AL173" s="153"/>
      <c r="AM173" s="153"/>
      <c r="AN173" s="153"/>
      <c r="AO173" s="153"/>
      <c r="AP173" s="153"/>
      <c r="AQ173" s="153"/>
      <c r="AR173" s="153"/>
      <c r="AS173" s="153"/>
      <c r="AT173" s="153"/>
      <c r="AU173" s="153"/>
      <c r="AV173" s="153"/>
      <c r="AW173" s="153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</row>
    <row r="174" spans="1:66">
      <c r="A174" s="279"/>
      <c r="B174" s="279"/>
      <c r="C174" s="279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33"/>
      <c r="R174" s="333"/>
      <c r="S174" s="333"/>
      <c r="T174" s="333"/>
      <c r="U174" s="333"/>
      <c r="V174" s="333"/>
      <c r="W174" s="333"/>
      <c r="X174" s="333"/>
      <c r="Y174" s="333"/>
      <c r="Z174" s="153"/>
      <c r="AA174" s="153"/>
      <c r="AB174" s="153"/>
      <c r="AC174" s="153"/>
      <c r="AD174" s="153"/>
      <c r="AE174" s="153"/>
      <c r="AF174" s="153"/>
      <c r="AG174" s="153"/>
      <c r="AH174" s="153"/>
      <c r="AI174" s="153"/>
      <c r="AJ174" s="153"/>
      <c r="AK174" s="153"/>
      <c r="AL174" s="153"/>
      <c r="AM174" s="153"/>
      <c r="AN174" s="153"/>
      <c r="AO174" s="153"/>
      <c r="AP174" s="153"/>
      <c r="AQ174" s="153"/>
      <c r="AR174" s="153"/>
      <c r="AS174" s="153"/>
      <c r="AT174" s="153"/>
      <c r="AU174" s="153"/>
      <c r="AV174" s="153"/>
      <c r="AW174" s="153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</row>
    <row r="175" spans="1:66">
      <c r="A175" s="279"/>
      <c r="B175" s="279"/>
      <c r="C175" s="279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33"/>
      <c r="R175" s="333"/>
      <c r="S175" s="333"/>
      <c r="T175" s="333"/>
      <c r="U175" s="333"/>
      <c r="V175" s="333"/>
      <c r="W175" s="333"/>
      <c r="X175" s="333"/>
      <c r="Y175" s="33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</row>
    <row r="176" spans="1:66">
      <c r="A176" s="279"/>
      <c r="B176" s="279"/>
      <c r="C176" s="279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33"/>
      <c r="R176" s="333"/>
      <c r="S176" s="333"/>
      <c r="T176" s="333"/>
      <c r="U176" s="333"/>
      <c r="V176" s="333"/>
      <c r="W176" s="333"/>
      <c r="X176" s="333"/>
      <c r="Y176" s="333"/>
      <c r="Z176" s="153"/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</row>
    <row r="177" spans="1:66">
      <c r="A177" s="279"/>
      <c r="B177" s="279"/>
      <c r="C177" s="279"/>
      <c r="D177" s="324"/>
      <c r="E177" s="324"/>
      <c r="F177" s="324"/>
      <c r="G177" s="324"/>
      <c r="H177" s="324"/>
      <c r="I177" s="324"/>
      <c r="J177" s="324"/>
      <c r="K177" s="324"/>
      <c r="L177" s="324"/>
      <c r="M177" s="324"/>
      <c r="N177" s="324"/>
      <c r="O177" s="324"/>
      <c r="P177" s="324"/>
      <c r="Q177" s="333"/>
      <c r="R177" s="333"/>
      <c r="S177" s="333"/>
      <c r="T177" s="333"/>
      <c r="U177" s="333"/>
      <c r="V177" s="333"/>
      <c r="W177" s="333"/>
      <c r="X177" s="333"/>
      <c r="Y177" s="333"/>
      <c r="Z177" s="153"/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</row>
    <row r="178" spans="1:66">
      <c r="A178" s="279"/>
      <c r="B178" s="279"/>
      <c r="C178" s="279"/>
      <c r="D178" s="324"/>
      <c r="E178" s="324"/>
      <c r="F178" s="324"/>
      <c r="G178" s="324"/>
      <c r="H178" s="324"/>
      <c r="I178" s="324"/>
      <c r="J178" s="324"/>
      <c r="K178" s="324"/>
      <c r="L178" s="324"/>
      <c r="M178" s="324"/>
      <c r="N178" s="324"/>
      <c r="O178" s="324"/>
      <c r="P178" s="324"/>
      <c r="Q178" s="333"/>
      <c r="R178" s="333"/>
      <c r="S178" s="333"/>
      <c r="T178" s="333"/>
      <c r="U178" s="333"/>
      <c r="V178" s="333"/>
      <c r="W178" s="333"/>
      <c r="X178" s="333"/>
      <c r="Y178" s="333"/>
      <c r="Z178" s="153"/>
      <c r="AA178" s="153"/>
      <c r="AB178" s="153"/>
      <c r="AC178" s="153"/>
      <c r="AD178" s="153"/>
      <c r="AE178" s="153"/>
      <c r="AF178" s="153"/>
      <c r="AG178" s="153"/>
      <c r="AH178" s="153"/>
      <c r="AI178" s="153"/>
      <c r="AJ178" s="153"/>
      <c r="AK178" s="153"/>
      <c r="AL178" s="153"/>
      <c r="AM178" s="153"/>
      <c r="AN178" s="153"/>
      <c r="AO178" s="153"/>
      <c r="AP178" s="153"/>
      <c r="AQ178" s="153"/>
      <c r="AR178" s="153"/>
      <c r="AS178" s="153"/>
      <c r="AT178" s="153"/>
      <c r="AU178" s="153"/>
      <c r="AV178" s="153"/>
      <c r="AW178" s="153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</row>
    <row r="179" spans="1:66">
      <c r="A179" s="279"/>
      <c r="B179" s="279"/>
      <c r="C179" s="279"/>
      <c r="D179" s="324"/>
      <c r="E179" s="324"/>
      <c r="F179" s="324"/>
      <c r="G179" s="324"/>
      <c r="H179" s="324"/>
      <c r="I179" s="324"/>
      <c r="J179" s="324"/>
      <c r="K179" s="324"/>
      <c r="L179" s="324"/>
      <c r="M179" s="324"/>
      <c r="N179" s="324"/>
      <c r="O179" s="324"/>
      <c r="P179" s="324"/>
      <c r="Q179" s="333"/>
      <c r="R179" s="333"/>
      <c r="S179" s="333"/>
      <c r="T179" s="333"/>
      <c r="U179" s="333"/>
      <c r="V179" s="333"/>
      <c r="W179" s="333"/>
      <c r="X179" s="333"/>
      <c r="Y179" s="333"/>
      <c r="Z179" s="153"/>
      <c r="AA179" s="153"/>
      <c r="AB179" s="153"/>
      <c r="AC179" s="153"/>
      <c r="AD179" s="153"/>
      <c r="AE179" s="153"/>
      <c r="AF179" s="153"/>
      <c r="AG179" s="153"/>
      <c r="AH179" s="153"/>
      <c r="AI179" s="153"/>
      <c r="AJ179" s="153"/>
      <c r="AK179" s="153"/>
      <c r="AL179" s="153"/>
      <c r="AM179" s="153"/>
      <c r="AN179" s="153"/>
      <c r="AO179" s="153"/>
      <c r="AP179" s="153"/>
      <c r="AQ179" s="153"/>
      <c r="AR179" s="153"/>
      <c r="AS179" s="153"/>
      <c r="AT179" s="153"/>
      <c r="AU179" s="153"/>
      <c r="AV179" s="153"/>
      <c r="AW179" s="153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</row>
    <row r="180" spans="1:66">
      <c r="A180" s="279"/>
      <c r="B180" s="279"/>
      <c r="C180" s="279"/>
      <c r="D180" s="324"/>
      <c r="E180" s="324"/>
      <c r="F180" s="324"/>
      <c r="G180" s="324"/>
      <c r="H180" s="324"/>
      <c r="I180" s="324"/>
      <c r="J180" s="324"/>
      <c r="K180" s="324"/>
      <c r="L180" s="324"/>
      <c r="M180" s="324"/>
      <c r="N180" s="324"/>
      <c r="O180" s="324"/>
      <c r="P180" s="324"/>
      <c r="Q180" s="333"/>
      <c r="R180" s="333"/>
      <c r="S180" s="333"/>
      <c r="T180" s="333"/>
      <c r="U180" s="333"/>
      <c r="V180" s="333"/>
      <c r="W180" s="333"/>
      <c r="X180" s="333"/>
      <c r="Y180" s="333"/>
      <c r="Z180" s="153"/>
      <c r="AA180" s="153"/>
      <c r="AB180" s="153"/>
      <c r="AC180" s="153"/>
      <c r="AD180" s="153"/>
      <c r="AE180" s="153"/>
      <c r="AF180" s="153"/>
      <c r="AG180" s="153"/>
      <c r="AH180" s="153"/>
      <c r="AI180" s="153"/>
      <c r="AJ180" s="153"/>
      <c r="AK180" s="153"/>
      <c r="AL180" s="153"/>
      <c r="AM180" s="153"/>
      <c r="AN180" s="153"/>
      <c r="AO180" s="153"/>
      <c r="AP180" s="153"/>
      <c r="AQ180" s="153"/>
      <c r="AR180" s="153"/>
      <c r="AS180" s="153"/>
      <c r="AT180" s="153"/>
      <c r="AU180" s="153"/>
      <c r="AV180" s="153"/>
      <c r="AW180" s="153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</row>
    <row r="181" spans="1:66">
      <c r="A181" s="279"/>
      <c r="B181" s="279"/>
      <c r="C181" s="279"/>
      <c r="D181" s="324"/>
      <c r="E181" s="324"/>
      <c r="F181" s="324"/>
      <c r="G181" s="324"/>
      <c r="H181" s="324"/>
      <c r="I181" s="324"/>
      <c r="J181" s="324"/>
      <c r="K181" s="324"/>
      <c r="L181" s="324"/>
      <c r="M181" s="324"/>
      <c r="N181" s="324"/>
      <c r="O181" s="324"/>
      <c r="P181" s="324"/>
      <c r="Q181" s="333"/>
      <c r="R181" s="333"/>
      <c r="S181" s="333"/>
      <c r="T181" s="333"/>
      <c r="U181" s="333"/>
      <c r="V181" s="333"/>
      <c r="W181" s="333"/>
      <c r="X181" s="333"/>
      <c r="Y181" s="333"/>
      <c r="Z181" s="153"/>
      <c r="AA181" s="153"/>
      <c r="AB181" s="153"/>
      <c r="AC181" s="153"/>
      <c r="AD181" s="153"/>
      <c r="AE181" s="153"/>
      <c r="AF181" s="153"/>
      <c r="AG181" s="153"/>
      <c r="AH181" s="153"/>
      <c r="AI181" s="153"/>
      <c r="AJ181" s="153"/>
      <c r="AK181" s="153"/>
      <c r="AL181" s="153"/>
      <c r="AM181" s="153"/>
      <c r="AN181" s="153"/>
      <c r="AO181" s="153"/>
      <c r="AP181" s="153"/>
      <c r="AQ181" s="153"/>
      <c r="AR181" s="153"/>
      <c r="AS181" s="153"/>
      <c r="AT181" s="153"/>
      <c r="AU181" s="153"/>
      <c r="AV181" s="153"/>
      <c r="AW181" s="153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</row>
    <row r="182" spans="1:66">
      <c r="A182" s="279"/>
      <c r="B182" s="279"/>
      <c r="C182" s="279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33"/>
      <c r="R182" s="333"/>
      <c r="S182" s="333"/>
      <c r="T182" s="333"/>
      <c r="U182" s="333"/>
      <c r="V182" s="333"/>
      <c r="W182" s="333"/>
      <c r="X182" s="333"/>
      <c r="Y182" s="333"/>
      <c r="Z182" s="153"/>
      <c r="AA182" s="153"/>
      <c r="AB182" s="153"/>
      <c r="AC182" s="153"/>
      <c r="AD182" s="153"/>
      <c r="AE182" s="153"/>
      <c r="AF182" s="153"/>
      <c r="AG182" s="153"/>
      <c r="AH182" s="153"/>
      <c r="AI182" s="153"/>
      <c r="AJ182" s="153"/>
      <c r="AK182" s="153"/>
      <c r="AL182" s="153"/>
      <c r="AM182" s="153"/>
      <c r="AN182" s="153"/>
      <c r="AO182" s="153"/>
      <c r="AP182" s="153"/>
      <c r="AQ182" s="153"/>
      <c r="AR182" s="153"/>
      <c r="AS182" s="153"/>
      <c r="AT182" s="153"/>
      <c r="AU182" s="153"/>
      <c r="AV182" s="153"/>
      <c r="AW182" s="153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</row>
    <row r="183" spans="1:66">
      <c r="A183" s="279"/>
      <c r="B183" s="279"/>
      <c r="C183" s="279"/>
      <c r="D183" s="324"/>
      <c r="E183" s="324"/>
      <c r="F183" s="324"/>
      <c r="G183" s="324"/>
      <c r="H183" s="324"/>
      <c r="I183" s="324"/>
      <c r="J183" s="324"/>
      <c r="K183" s="324"/>
      <c r="L183" s="324"/>
      <c r="M183" s="324"/>
      <c r="N183" s="324"/>
      <c r="O183" s="324"/>
      <c r="P183" s="324"/>
      <c r="Q183" s="333"/>
      <c r="R183" s="333"/>
      <c r="S183" s="333"/>
      <c r="T183" s="333"/>
      <c r="U183" s="333"/>
      <c r="V183" s="333"/>
      <c r="W183" s="333"/>
      <c r="X183" s="333"/>
      <c r="Y183" s="333"/>
      <c r="Z183" s="153"/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</row>
    <row r="184" spans="1:66">
      <c r="A184" s="279"/>
      <c r="B184" s="279"/>
      <c r="C184" s="279"/>
      <c r="D184" s="324"/>
      <c r="E184" s="324"/>
      <c r="F184" s="324"/>
      <c r="G184" s="324"/>
      <c r="H184" s="324"/>
      <c r="I184" s="324"/>
      <c r="J184" s="324"/>
      <c r="K184" s="324"/>
      <c r="L184" s="324"/>
      <c r="M184" s="324"/>
      <c r="N184" s="324"/>
      <c r="O184" s="324"/>
      <c r="P184" s="324"/>
      <c r="Q184" s="333"/>
      <c r="R184" s="333"/>
      <c r="S184" s="333"/>
      <c r="T184" s="333"/>
      <c r="U184" s="333"/>
      <c r="V184" s="333"/>
      <c r="W184" s="333"/>
      <c r="X184" s="333"/>
      <c r="Y184" s="333"/>
      <c r="Z184" s="153"/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</row>
    <row r="185" spans="1:66">
      <c r="A185" s="279"/>
      <c r="B185" s="279"/>
      <c r="C185" s="279"/>
      <c r="D185" s="324"/>
      <c r="E185" s="324"/>
      <c r="F185" s="324"/>
      <c r="G185" s="324"/>
      <c r="H185" s="324"/>
      <c r="I185" s="324"/>
      <c r="J185" s="324"/>
      <c r="K185" s="324"/>
      <c r="L185" s="324"/>
      <c r="M185" s="324"/>
      <c r="N185" s="324"/>
      <c r="O185" s="324"/>
      <c r="P185" s="324"/>
      <c r="Q185" s="333"/>
      <c r="R185" s="333"/>
      <c r="S185" s="333"/>
      <c r="T185" s="333"/>
      <c r="U185" s="333"/>
      <c r="V185" s="333"/>
      <c r="W185" s="333"/>
      <c r="X185" s="333"/>
      <c r="Y185" s="33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</row>
    <row r="186" spans="1:66">
      <c r="A186" s="279"/>
      <c r="B186" s="279"/>
      <c r="C186" s="279"/>
      <c r="D186" s="324"/>
      <c r="E186" s="324"/>
      <c r="F186" s="324"/>
      <c r="G186" s="324"/>
      <c r="H186" s="324"/>
      <c r="I186" s="324"/>
      <c r="J186" s="324"/>
      <c r="K186" s="324"/>
      <c r="L186" s="324"/>
      <c r="M186" s="324"/>
      <c r="N186" s="324"/>
      <c r="O186" s="324"/>
      <c r="P186" s="324"/>
      <c r="Q186" s="333"/>
      <c r="R186" s="333"/>
      <c r="S186" s="333"/>
      <c r="T186" s="333"/>
      <c r="U186" s="333"/>
      <c r="V186" s="333"/>
      <c r="W186" s="333"/>
      <c r="X186" s="333"/>
      <c r="Y186" s="333"/>
      <c r="Z186" s="153"/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</row>
    <row r="187" spans="1:66">
      <c r="A187" s="279"/>
      <c r="B187" s="279"/>
      <c r="C187" s="279"/>
      <c r="D187" s="324"/>
      <c r="E187" s="324"/>
      <c r="F187" s="324"/>
      <c r="G187" s="324"/>
      <c r="H187" s="324"/>
      <c r="I187" s="324"/>
      <c r="J187" s="324"/>
      <c r="K187" s="324"/>
      <c r="L187" s="324"/>
      <c r="M187" s="324"/>
      <c r="N187" s="324"/>
      <c r="O187" s="324"/>
      <c r="P187" s="324"/>
      <c r="Q187" s="333"/>
      <c r="R187" s="333"/>
      <c r="S187" s="333"/>
      <c r="T187" s="333"/>
      <c r="U187" s="333"/>
      <c r="V187" s="333"/>
      <c r="W187" s="333"/>
      <c r="X187" s="333"/>
      <c r="Y187" s="333"/>
      <c r="Z187" s="153"/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</row>
    <row r="188" spans="1:66">
      <c r="A188" s="279"/>
      <c r="B188" s="279"/>
      <c r="C188" s="279"/>
      <c r="D188" s="324"/>
      <c r="E188" s="324"/>
      <c r="F188" s="324"/>
      <c r="G188" s="324"/>
      <c r="H188" s="324"/>
      <c r="I188" s="324"/>
      <c r="J188" s="324"/>
      <c r="K188" s="324"/>
      <c r="L188" s="324"/>
      <c r="M188" s="324"/>
      <c r="N188" s="324"/>
      <c r="O188" s="324"/>
      <c r="P188" s="324"/>
      <c r="Q188" s="333"/>
      <c r="R188" s="333"/>
      <c r="S188" s="333"/>
      <c r="T188" s="333"/>
      <c r="U188" s="333"/>
      <c r="V188" s="333"/>
      <c r="W188" s="333"/>
      <c r="X188" s="333"/>
      <c r="Y188" s="333"/>
      <c r="Z188" s="153"/>
      <c r="AA188" s="153"/>
      <c r="AB188" s="153"/>
      <c r="AC188" s="153"/>
      <c r="AD188" s="153"/>
      <c r="AE188" s="153"/>
      <c r="AF188" s="153"/>
      <c r="AG188" s="153"/>
      <c r="AH188" s="153"/>
      <c r="AI188" s="153"/>
      <c r="AJ188" s="153"/>
      <c r="AK188" s="153"/>
      <c r="AL188" s="153"/>
      <c r="AM188" s="153"/>
      <c r="AN188" s="153"/>
      <c r="AO188" s="153"/>
      <c r="AP188" s="153"/>
      <c r="AQ188" s="153"/>
      <c r="AR188" s="153"/>
      <c r="AS188" s="153"/>
      <c r="AT188" s="153"/>
      <c r="AU188" s="153"/>
      <c r="AV188" s="153"/>
      <c r="AW188" s="153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</row>
    <row r="189" spans="1:66">
      <c r="A189" s="279"/>
      <c r="B189" s="279"/>
      <c r="C189" s="279"/>
      <c r="D189" s="324"/>
      <c r="E189" s="324"/>
      <c r="F189" s="324"/>
      <c r="G189" s="324"/>
      <c r="H189" s="324"/>
      <c r="I189" s="324"/>
      <c r="J189" s="324"/>
      <c r="K189" s="324"/>
      <c r="L189" s="324"/>
      <c r="M189" s="324"/>
      <c r="N189" s="324"/>
      <c r="O189" s="324"/>
      <c r="P189" s="324"/>
      <c r="Q189" s="333"/>
      <c r="R189" s="333"/>
      <c r="S189" s="333"/>
      <c r="T189" s="333"/>
      <c r="U189" s="333"/>
      <c r="V189" s="333"/>
      <c r="W189" s="333"/>
      <c r="X189" s="333"/>
      <c r="Y189" s="333"/>
      <c r="Z189" s="153"/>
      <c r="AA189" s="153"/>
      <c r="AB189" s="153"/>
      <c r="AC189" s="153"/>
      <c r="AD189" s="153"/>
      <c r="AE189" s="153"/>
      <c r="AF189" s="153"/>
      <c r="AG189" s="153"/>
      <c r="AH189" s="153"/>
      <c r="AI189" s="153"/>
      <c r="AJ189" s="153"/>
      <c r="AK189" s="153"/>
      <c r="AL189" s="153"/>
      <c r="AM189" s="153"/>
      <c r="AN189" s="153"/>
      <c r="AO189" s="153"/>
      <c r="AP189" s="153"/>
      <c r="AQ189" s="153"/>
      <c r="AR189" s="153"/>
      <c r="AS189" s="153"/>
      <c r="AT189" s="153"/>
      <c r="AU189" s="153"/>
      <c r="AV189" s="153"/>
      <c r="AW189" s="153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</row>
    <row r="190" spans="1:66">
      <c r="A190" s="279"/>
      <c r="B190" s="279"/>
      <c r="C190" s="279"/>
      <c r="D190" s="324"/>
      <c r="E190" s="324"/>
      <c r="F190" s="324"/>
      <c r="G190" s="324"/>
      <c r="H190" s="324"/>
      <c r="I190" s="324"/>
      <c r="J190" s="324"/>
      <c r="K190" s="324"/>
      <c r="L190" s="324"/>
      <c r="M190" s="324"/>
      <c r="N190" s="324"/>
      <c r="O190" s="324"/>
      <c r="P190" s="324"/>
      <c r="Q190" s="333"/>
      <c r="R190" s="333"/>
      <c r="S190" s="333"/>
      <c r="T190" s="333"/>
      <c r="U190" s="333"/>
      <c r="V190" s="333"/>
      <c r="W190" s="333"/>
      <c r="X190" s="333"/>
      <c r="Y190" s="333"/>
      <c r="Z190" s="153"/>
      <c r="AA190" s="153"/>
      <c r="AB190" s="153"/>
      <c r="AC190" s="153"/>
      <c r="AD190" s="153"/>
      <c r="AE190" s="153"/>
      <c r="AF190" s="153"/>
      <c r="AG190" s="153"/>
      <c r="AH190" s="153"/>
      <c r="AI190" s="153"/>
      <c r="AJ190" s="153"/>
      <c r="AK190" s="153"/>
      <c r="AL190" s="153"/>
      <c r="AM190" s="153"/>
      <c r="AN190" s="153"/>
      <c r="AO190" s="153"/>
      <c r="AP190" s="153"/>
      <c r="AQ190" s="153"/>
      <c r="AR190" s="153"/>
      <c r="AS190" s="153"/>
      <c r="AT190" s="153"/>
      <c r="AU190" s="153"/>
      <c r="AV190" s="153"/>
      <c r="AW190" s="153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</row>
    <row r="191" spans="1:66">
      <c r="A191" s="279"/>
      <c r="B191" s="279"/>
      <c r="C191" s="279"/>
      <c r="D191" s="324"/>
      <c r="E191" s="324"/>
      <c r="F191" s="324"/>
      <c r="G191" s="324"/>
      <c r="H191" s="324"/>
      <c r="I191" s="324"/>
      <c r="J191" s="324"/>
      <c r="K191" s="324"/>
      <c r="L191" s="324"/>
      <c r="M191" s="324"/>
      <c r="N191" s="324"/>
      <c r="O191" s="324"/>
      <c r="P191" s="324"/>
      <c r="Q191" s="333"/>
      <c r="R191" s="333"/>
      <c r="S191" s="333"/>
      <c r="T191" s="333"/>
      <c r="U191" s="333"/>
      <c r="V191" s="333"/>
      <c r="W191" s="333"/>
      <c r="X191" s="333"/>
      <c r="Y191" s="333"/>
      <c r="Z191" s="153"/>
      <c r="AA191" s="153"/>
      <c r="AB191" s="153"/>
      <c r="AC191" s="153"/>
      <c r="AD191" s="153"/>
      <c r="AE191" s="153"/>
      <c r="AF191" s="153"/>
      <c r="AG191" s="153"/>
      <c r="AH191" s="153"/>
      <c r="AI191" s="153"/>
      <c r="AJ191" s="153"/>
      <c r="AK191" s="153"/>
      <c r="AL191" s="153"/>
      <c r="AM191" s="153"/>
      <c r="AN191" s="153"/>
      <c r="AO191" s="153"/>
      <c r="AP191" s="153"/>
      <c r="AQ191" s="153"/>
      <c r="AR191" s="153"/>
      <c r="AS191" s="153"/>
      <c r="AT191" s="153"/>
      <c r="AU191" s="153"/>
      <c r="AV191" s="153"/>
      <c r="AW191" s="153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</row>
    <row r="192" spans="1:66">
      <c r="A192" s="279"/>
      <c r="B192" s="279"/>
      <c r="C192" s="279"/>
      <c r="D192" s="324"/>
      <c r="E192" s="324"/>
      <c r="F192" s="324"/>
      <c r="G192" s="324"/>
      <c r="H192" s="324"/>
      <c r="I192" s="324"/>
      <c r="J192" s="324"/>
      <c r="K192" s="324"/>
      <c r="L192" s="324"/>
      <c r="M192" s="324"/>
      <c r="N192" s="324"/>
      <c r="O192" s="324"/>
      <c r="P192" s="324"/>
      <c r="Q192" s="333"/>
      <c r="R192" s="333"/>
      <c r="S192" s="333"/>
      <c r="T192" s="333"/>
      <c r="U192" s="333"/>
      <c r="V192" s="333"/>
      <c r="W192" s="333"/>
      <c r="X192" s="333"/>
      <c r="Y192" s="333"/>
      <c r="Z192" s="153"/>
      <c r="AA192" s="153"/>
      <c r="AB192" s="153"/>
      <c r="AC192" s="153"/>
      <c r="AD192" s="153"/>
      <c r="AE192" s="153"/>
      <c r="AF192" s="153"/>
      <c r="AG192" s="153"/>
      <c r="AH192" s="153"/>
      <c r="AI192" s="153"/>
      <c r="AJ192" s="153"/>
      <c r="AK192" s="153"/>
      <c r="AL192" s="153"/>
      <c r="AM192" s="153"/>
      <c r="AN192" s="153"/>
      <c r="AO192" s="153"/>
      <c r="AP192" s="153"/>
      <c r="AQ192" s="153"/>
      <c r="AR192" s="153"/>
      <c r="AS192" s="153"/>
      <c r="AT192" s="153"/>
      <c r="AU192" s="153"/>
      <c r="AV192" s="153"/>
      <c r="AW192" s="153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</row>
    <row r="193" spans="1:66">
      <c r="A193" s="279"/>
      <c r="B193" s="279"/>
      <c r="C193" s="279"/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33"/>
      <c r="R193" s="333"/>
      <c r="S193" s="333"/>
      <c r="T193" s="333"/>
      <c r="U193" s="333"/>
      <c r="V193" s="333"/>
      <c r="W193" s="333"/>
      <c r="X193" s="333"/>
      <c r="Y193" s="333"/>
      <c r="Z193" s="153"/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</row>
    <row r="194" spans="1:66">
      <c r="A194" s="279"/>
      <c r="B194" s="279"/>
      <c r="C194" s="279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33"/>
      <c r="R194" s="333"/>
      <c r="S194" s="333"/>
      <c r="T194" s="333"/>
      <c r="U194" s="333"/>
      <c r="V194" s="333"/>
      <c r="W194" s="333"/>
      <c r="X194" s="333"/>
      <c r="Y194" s="333"/>
      <c r="Z194" s="153"/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</row>
    <row r="195" spans="1:66">
      <c r="A195" s="279"/>
      <c r="B195" s="279"/>
      <c r="C195" s="279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33"/>
      <c r="R195" s="333"/>
      <c r="S195" s="333"/>
      <c r="T195" s="333"/>
      <c r="U195" s="333"/>
      <c r="V195" s="333"/>
      <c r="W195" s="333"/>
      <c r="X195" s="333"/>
      <c r="Y195" s="333"/>
      <c r="Z195" s="153"/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</row>
    <row r="196" spans="1:66">
      <c r="A196" s="279"/>
      <c r="B196" s="279"/>
      <c r="C196" s="279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33"/>
      <c r="R196" s="333"/>
      <c r="S196" s="333"/>
      <c r="T196" s="333"/>
      <c r="U196" s="333"/>
      <c r="V196" s="333"/>
      <c r="W196" s="333"/>
      <c r="X196" s="333"/>
      <c r="Y196" s="333"/>
      <c r="Z196" s="153"/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</row>
    <row r="197" spans="1:66">
      <c r="A197" s="279"/>
      <c r="B197" s="279"/>
      <c r="C197" s="279"/>
      <c r="D197" s="324"/>
      <c r="E197" s="324"/>
      <c r="F197" s="324"/>
      <c r="G197" s="324"/>
      <c r="H197" s="324"/>
      <c r="I197" s="324"/>
      <c r="J197" s="324"/>
      <c r="K197" s="324"/>
      <c r="L197" s="324"/>
      <c r="M197" s="324"/>
      <c r="N197" s="324"/>
      <c r="O197" s="324"/>
      <c r="P197" s="324"/>
      <c r="Q197" s="333"/>
      <c r="R197" s="333"/>
      <c r="S197" s="333"/>
      <c r="T197" s="333"/>
      <c r="U197" s="333"/>
      <c r="V197" s="333"/>
      <c r="W197" s="333"/>
      <c r="X197" s="333"/>
      <c r="Y197" s="333"/>
      <c r="Z197" s="153"/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</row>
    <row r="198" spans="1:66">
      <c r="A198" s="279"/>
      <c r="B198" s="279"/>
      <c r="C198" s="279"/>
      <c r="D198" s="324"/>
      <c r="E198" s="324"/>
      <c r="F198" s="324"/>
      <c r="G198" s="324"/>
      <c r="H198" s="324"/>
      <c r="I198" s="324"/>
      <c r="J198" s="324"/>
      <c r="K198" s="324"/>
      <c r="L198" s="324"/>
      <c r="M198" s="324"/>
      <c r="N198" s="324"/>
      <c r="O198" s="324"/>
      <c r="P198" s="324"/>
      <c r="Q198" s="333"/>
      <c r="R198" s="333"/>
      <c r="S198" s="333"/>
      <c r="T198" s="333"/>
      <c r="U198" s="333"/>
      <c r="V198" s="333"/>
      <c r="W198" s="333"/>
      <c r="X198" s="333"/>
      <c r="Y198" s="333"/>
      <c r="Z198" s="153"/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</row>
    <row r="199" spans="1:66">
      <c r="A199" s="279"/>
      <c r="B199" s="279"/>
      <c r="C199" s="279"/>
      <c r="D199" s="324"/>
      <c r="E199" s="324"/>
      <c r="F199" s="324"/>
      <c r="G199" s="324"/>
      <c r="H199" s="324"/>
      <c r="I199" s="324"/>
      <c r="J199" s="324"/>
      <c r="K199" s="324"/>
      <c r="L199" s="324"/>
      <c r="M199" s="324"/>
      <c r="N199" s="324"/>
      <c r="O199" s="324"/>
      <c r="P199" s="324"/>
      <c r="Q199" s="333"/>
      <c r="R199" s="333"/>
      <c r="S199" s="333"/>
      <c r="T199" s="333"/>
      <c r="U199" s="333"/>
      <c r="V199" s="333"/>
      <c r="W199" s="333"/>
      <c r="X199" s="333"/>
      <c r="Y199" s="333"/>
      <c r="Z199" s="153"/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</row>
    <row r="200" spans="1:66">
      <c r="A200" s="279"/>
      <c r="B200" s="279"/>
      <c r="C200" s="279"/>
      <c r="D200" s="324"/>
      <c r="E200" s="324"/>
      <c r="F200" s="324"/>
      <c r="G200" s="324"/>
      <c r="H200" s="324"/>
      <c r="I200" s="324"/>
      <c r="J200" s="324"/>
      <c r="K200" s="324"/>
      <c r="L200" s="324"/>
      <c r="M200" s="324"/>
      <c r="N200" s="324"/>
      <c r="O200" s="324"/>
      <c r="P200" s="324"/>
      <c r="Q200" s="333"/>
      <c r="R200" s="333"/>
      <c r="S200" s="333"/>
      <c r="T200" s="333"/>
      <c r="U200" s="333"/>
      <c r="V200" s="333"/>
      <c r="W200" s="333"/>
      <c r="X200" s="333"/>
      <c r="Y200" s="333"/>
      <c r="Z200" s="153"/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</row>
    <row r="201" spans="1:66">
      <c r="A201" s="279"/>
      <c r="B201" s="279"/>
      <c r="C201" s="279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33"/>
      <c r="R201" s="333"/>
      <c r="S201" s="333"/>
      <c r="T201" s="333"/>
      <c r="U201" s="333"/>
      <c r="V201" s="333"/>
      <c r="W201" s="333"/>
      <c r="X201" s="333"/>
      <c r="Y201" s="333"/>
      <c r="Z201" s="153"/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</row>
    <row r="202" spans="1:66">
      <c r="A202" s="279"/>
      <c r="B202" s="279"/>
      <c r="C202" s="279"/>
      <c r="D202" s="324">
        <f>D29-D106</f>
        <v>3060394373.4807243</v>
      </c>
      <c r="E202" s="324">
        <f t="shared" ref="E202:O202" si="30">E29-E106</f>
        <v>1411666993.4207249</v>
      </c>
      <c r="F202" s="324">
        <f t="shared" si="30"/>
        <v>1649118267.9007249</v>
      </c>
      <c r="G202" s="324">
        <f t="shared" si="30"/>
        <v>1584787671.5707259</v>
      </c>
      <c r="H202" s="324">
        <f t="shared" si="30"/>
        <v>1663014189.2507267</v>
      </c>
      <c r="I202" s="324">
        <f t="shared" si="30"/>
        <v>940228014.34072685</v>
      </c>
      <c r="J202" s="324">
        <f t="shared" si="30"/>
        <v>1294817879.3407269</v>
      </c>
      <c r="K202" s="324">
        <f t="shared" si="30"/>
        <v>1220506809.4003267</v>
      </c>
      <c r="L202" s="324">
        <f t="shared" si="30"/>
        <v>1938142080.6793394</v>
      </c>
      <c r="M202" s="324">
        <f t="shared" si="30"/>
        <v>4767698606.2761555</v>
      </c>
      <c r="N202" s="324">
        <f t="shared" si="30"/>
        <v>5942729740.1188927</v>
      </c>
      <c r="O202" s="324">
        <f t="shared" si="30"/>
        <v>2864685558.4925013</v>
      </c>
      <c r="P202" s="324"/>
      <c r="Q202" s="333"/>
      <c r="R202" s="333"/>
      <c r="S202" s="333"/>
      <c r="T202" s="333"/>
      <c r="U202" s="333"/>
      <c r="V202" s="333"/>
      <c r="W202" s="333"/>
      <c r="X202" s="333"/>
      <c r="Y202" s="333"/>
      <c r="Z202" s="153"/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</row>
    <row r="203" spans="1:66">
      <c r="A203" s="279"/>
      <c r="B203" s="279"/>
      <c r="C203" s="279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33"/>
      <c r="R203" s="333"/>
      <c r="S203" s="333"/>
      <c r="T203" s="333"/>
      <c r="U203" s="333"/>
      <c r="V203" s="333"/>
      <c r="W203" s="333"/>
      <c r="X203" s="333"/>
      <c r="Y203" s="333"/>
      <c r="Z203" s="153"/>
      <c r="AA203" s="153"/>
      <c r="AB203" s="153"/>
      <c r="AC203" s="153"/>
      <c r="AD203" s="153"/>
      <c r="AE203" s="153"/>
      <c r="AF203" s="153"/>
      <c r="AG203" s="153"/>
      <c r="AH203" s="153"/>
      <c r="AI203" s="153"/>
      <c r="AJ203" s="153"/>
      <c r="AK203" s="153"/>
      <c r="AL203" s="153"/>
      <c r="AM203" s="153"/>
      <c r="AN203" s="153"/>
      <c r="AO203" s="153"/>
      <c r="AP203" s="153"/>
      <c r="AQ203" s="153"/>
      <c r="AR203" s="153"/>
      <c r="AS203" s="153"/>
      <c r="AT203" s="153"/>
      <c r="AU203" s="153"/>
      <c r="AV203" s="153"/>
      <c r="AW203" s="153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</row>
    <row r="204" spans="1:66">
      <c r="A204" s="279"/>
      <c r="B204" s="279"/>
      <c r="C204" s="279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33"/>
      <c r="R204" s="333"/>
      <c r="S204" s="333"/>
      <c r="T204" s="333"/>
      <c r="U204" s="333"/>
      <c r="V204" s="333"/>
      <c r="W204" s="333"/>
      <c r="X204" s="333"/>
      <c r="Y204" s="333"/>
      <c r="Z204" s="153"/>
      <c r="AA204" s="153"/>
      <c r="AB204" s="153"/>
      <c r="AC204" s="153"/>
      <c r="AD204" s="153"/>
      <c r="AE204" s="153"/>
      <c r="AF204" s="153"/>
      <c r="AG204" s="153"/>
      <c r="AH204" s="153"/>
      <c r="AI204" s="153"/>
      <c r="AJ204" s="153"/>
      <c r="AK204" s="153"/>
      <c r="AL204" s="153"/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</row>
    <row r="205" spans="1:66">
      <c r="K205" s="283" t="s">
        <v>126</v>
      </c>
    </row>
    <row r="206" spans="1:66">
      <c r="K206" s="283" t="s">
        <v>129</v>
      </c>
      <c r="L206" s="283" t="s">
        <v>142</v>
      </c>
      <c r="M206" s="283" t="s">
        <v>131</v>
      </c>
      <c r="N206" s="283" t="s">
        <v>132</v>
      </c>
      <c r="O206" s="283" t="s">
        <v>133</v>
      </c>
    </row>
    <row r="209" spans="8:15">
      <c r="H209" s="283" t="s">
        <v>13</v>
      </c>
      <c r="K209" s="283">
        <v>1117617929.4244001</v>
      </c>
      <c r="L209" s="283">
        <v>1117841453.0102849</v>
      </c>
      <c r="M209" s="283">
        <v>1129019867.5403876</v>
      </c>
      <c r="N209" s="283">
        <v>1140310066.2157915</v>
      </c>
      <c r="O209" s="283">
        <v>1140310066.2157915</v>
      </c>
    </row>
    <row r="210" spans="8:15">
      <c r="H210" s="283" t="s">
        <v>14</v>
      </c>
      <c r="K210" s="283">
        <v>305728561.52759999</v>
      </c>
      <c r="L210" s="283">
        <v>305789707.23990554</v>
      </c>
      <c r="M210" s="283">
        <v>308847604.31230462</v>
      </c>
      <c r="N210" s="283">
        <v>311936080.35542768</v>
      </c>
      <c r="O210" s="283">
        <v>311936080.35542768</v>
      </c>
    </row>
    <row r="211" spans="8:15">
      <c r="H211" s="283" t="s">
        <v>233</v>
      </c>
      <c r="K211" s="283">
        <v>2305416497.8800001</v>
      </c>
      <c r="L211" s="283">
        <v>2305877581.1795759</v>
      </c>
      <c r="M211" s="283">
        <v>2328936356.9913716</v>
      </c>
      <c r="N211" s="283">
        <v>2352225720.5612855</v>
      </c>
      <c r="O211" s="283">
        <v>2352225720.5612855</v>
      </c>
    </row>
    <row r="212" spans="8:15">
      <c r="H212" s="283" t="s">
        <v>234</v>
      </c>
      <c r="K212" s="283">
        <v>340478906.10759997</v>
      </c>
      <c r="L212" s="283">
        <v>340547001.88882148</v>
      </c>
      <c r="M212" s="283">
        <v>343952471.90770972</v>
      </c>
      <c r="N212" s="283">
        <v>347391996.62678683</v>
      </c>
      <c r="O212" s="283">
        <v>347391996.62678683</v>
      </c>
    </row>
    <row r="281" spans="3:66">
      <c r="I281" s="283">
        <v>560792090.34072685</v>
      </c>
    </row>
    <row r="282" spans="3:66">
      <c r="I282" s="283">
        <f>+'[7]CASH  FLOW (3)'!$P$181</f>
        <v>571720010.48000002</v>
      </c>
      <c r="BN282" s="204">
        <f>SUM(J119:J124)</f>
        <v>198256004</v>
      </c>
    </row>
    <row r="283" spans="3:66">
      <c r="I283" s="283">
        <f>+I133-I282</f>
        <v>-13680000.139273167</v>
      </c>
      <c r="L283" s="283">
        <f>L106-[6]PENGELUARAN!$J$83</f>
        <v>3851860872.1988935</v>
      </c>
    </row>
    <row r="284" spans="3:66">
      <c r="L284" s="283">
        <f>[6]PENGELUARAN!$M$83*1000000</f>
        <v>3408616672.75</v>
      </c>
    </row>
    <row r="285" spans="3:66">
      <c r="L285" s="283">
        <f>L283-L284</f>
        <v>443244199.44889355</v>
      </c>
    </row>
    <row r="286" spans="3:66">
      <c r="I286" s="283" t="s">
        <v>128</v>
      </c>
    </row>
    <row r="287" spans="3:66">
      <c r="C287" s="262" t="s">
        <v>135</v>
      </c>
      <c r="J287" s="283">
        <v>95488400</v>
      </c>
    </row>
    <row r="288" spans="3:66">
      <c r="C288" s="262" t="s">
        <v>136</v>
      </c>
      <c r="J288" s="283">
        <f>[3]JULI!$H$112</f>
        <v>136328714</v>
      </c>
    </row>
    <row r="289" spans="3:15">
      <c r="C289" s="262" t="s">
        <v>137</v>
      </c>
      <c r="J289" s="283">
        <f>[8]JULI!$G$312</f>
        <v>156009</v>
      </c>
    </row>
    <row r="290" spans="3:15">
      <c r="C290" s="262" t="s">
        <v>138</v>
      </c>
      <c r="J290" s="283">
        <v>22746010</v>
      </c>
    </row>
    <row r="291" spans="3:15">
      <c r="C291" s="262" t="s">
        <v>139</v>
      </c>
      <c r="J291" s="283">
        <v>53472958.619999997</v>
      </c>
    </row>
    <row r="292" spans="3:15">
      <c r="C292" s="262" t="s">
        <v>140</v>
      </c>
      <c r="J292" s="283">
        <v>101000000</v>
      </c>
    </row>
    <row r="293" spans="3:15">
      <c r="C293" s="262" t="s">
        <v>141</v>
      </c>
      <c r="J293" s="283">
        <v>204641444</v>
      </c>
    </row>
    <row r="294" spans="3:15">
      <c r="C294" s="262" t="s">
        <v>146</v>
      </c>
      <c r="J294" s="283">
        <v>11091584</v>
      </c>
    </row>
    <row r="295" spans="3:15">
      <c r="J295" s="283">
        <f>SUM(J287:J294)</f>
        <v>624925119.62</v>
      </c>
    </row>
    <row r="297" spans="3:15">
      <c r="J297" s="283">
        <f>J133-J295</f>
        <v>78446726.720726848</v>
      </c>
    </row>
    <row r="299" spans="3:15">
      <c r="M299" s="283">
        <v>1</v>
      </c>
      <c r="N299" s="283">
        <v>75000000</v>
      </c>
      <c r="O299" s="283" t="s">
        <v>147</v>
      </c>
    </row>
    <row r="300" spans="3:15">
      <c r="M300" s="283">
        <v>2</v>
      </c>
      <c r="N300" s="283">
        <v>75000000</v>
      </c>
      <c r="O300" s="283" t="s">
        <v>148</v>
      </c>
    </row>
    <row r="301" spans="3:15">
      <c r="M301" s="283">
        <v>3</v>
      </c>
      <c r="N301" s="283">
        <v>75000000</v>
      </c>
      <c r="O301" s="283" t="s">
        <v>149</v>
      </c>
    </row>
    <row r="302" spans="3:15">
      <c r="M302" s="283">
        <v>4</v>
      </c>
      <c r="N302" s="283">
        <v>75000000</v>
      </c>
      <c r="O302" s="283" t="s">
        <v>150</v>
      </c>
    </row>
    <row r="303" spans="3:15">
      <c r="M303" s="283">
        <v>5</v>
      </c>
      <c r="N303" s="283">
        <v>75000000</v>
      </c>
      <c r="O303" s="283" t="s">
        <v>151</v>
      </c>
    </row>
    <row r="304" spans="3:15">
      <c r="M304" s="283">
        <v>6</v>
      </c>
      <c r="N304" s="283">
        <v>75000000</v>
      </c>
      <c r="O304" s="283" t="s">
        <v>152</v>
      </c>
    </row>
    <row r="305" spans="13:15">
      <c r="M305" s="283">
        <v>7</v>
      </c>
      <c r="N305" s="283">
        <v>75000000</v>
      </c>
      <c r="O305" s="283" t="s">
        <v>153</v>
      </c>
    </row>
    <row r="306" spans="13:15">
      <c r="M306" s="283">
        <v>8</v>
      </c>
      <c r="N306" s="283">
        <v>75000000</v>
      </c>
      <c r="O306" s="283" t="s">
        <v>154</v>
      </c>
    </row>
    <row r="307" spans="13:15">
      <c r="M307" s="283">
        <v>9</v>
      </c>
      <c r="N307" s="283">
        <v>75000000</v>
      </c>
      <c r="O307" s="283" t="s">
        <v>155</v>
      </c>
    </row>
    <row r="308" spans="13:15">
      <c r="M308" s="283">
        <v>10</v>
      </c>
      <c r="N308" s="283">
        <v>75000000</v>
      </c>
      <c r="O308" s="283" t="s">
        <v>156</v>
      </c>
    </row>
    <row r="309" spans="13:15">
      <c r="M309" s="283">
        <v>11</v>
      </c>
      <c r="N309" s="283">
        <v>75000000</v>
      </c>
      <c r="O309" s="283" t="s">
        <v>157</v>
      </c>
    </row>
    <row r="310" spans="13:15">
      <c r="M310" s="283">
        <v>12</v>
      </c>
      <c r="N310" s="283">
        <v>75000000</v>
      </c>
      <c r="O310" s="283" t="s">
        <v>158</v>
      </c>
    </row>
    <row r="311" spans="13:15">
      <c r="M311" s="283">
        <v>13</v>
      </c>
      <c r="N311" s="283">
        <v>75000000</v>
      </c>
      <c r="O311" s="283" t="s">
        <v>147</v>
      </c>
    </row>
    <row r="312" spans="13:15">
      <c r="M312" s="283">
        <v>14</v>
      </c>
      <c r="N312" s="283">
        <v>75000000</v>
      </c>
      <c r="O312" s="283" t="s">
        <v>148</v>
      </c>
    </row>
    <row r="313" spans="13:15">
      <c r="M313" s="283">
        <v>15</v>
      </c>
      <c r="N313" s="283">
        <v>75000000</v>
      </c>
      <c r="O313" s="283" t="s">
        <v>149</v>
      </c>
    </row>
    <row r="314" spans="13:15">
      <c r="M314" s="283">
        <v>16</v>
      </c>
      <c r="N314" s="283">
        <v>75000000</v>
      </c>
      <c r="O314" s="283" t="s">
        <v>150</v>
      </c>
    </row>
    <row r="315" spans="13:15">
      <c r="M315" s="283">
        <v>17</v>
      </c>
      <c r="N315" s="283">
        <v>75000000</v>
      </c>
      <c r="O315" s="283" t="s">
        <v>151</v>
      </c>
    </row>
    <row r="316" spans="13:15">
      <c r="M316" s="283">
        <v>18</v>
      </c>
      <c r="N316" s="283">
        <v>75000000</v>
      </c>
      <c r="O316" s="283" t="s">
        <v>152</v>
      </c>
    </row>
    <row r="317" spans="13:15">
      <c r="M317" s="283">
        <v>19</v>
      </c>
      <c r="N317" s="283">
        <v>75000000</v>
      </c>
      <c r="O317" s="283" t="s">
        <v>153</v>
      </c>
    </row>
    <row r="318" spans="13:15">
      <c r="M318" s="283">
        <v>20</v>
      </c>
      <c r="N318" s="283">
        <v>75000000</v>
      </c>
      <c r="O318" s="283" t="s">
        <v>154</v>
      </c>
    </row>
    <row r="319" spans="13:15">
      <c r="M319" s="283">
        <v>21</v>
      </c>
      <c r="N319" s="283">
        <v>75000000</v>
      </c>
      <c r="O319" s="283" t="s">
        <v>155</v>
      </c>
    </row>
    <row r="320" spans="13:15">
      <c r="M320" s="283">
        <v>22</v>
      </c>
      <c r="N320" s="283">
        <v>75000000</v>
      </c>
      <c r="O320" s="283" t="s">
        <v>156</v>
      </c>
    </row>
    <row r="321" spans="13:15">
      <c r="M321" s="283">
        <v>23</v>
      </c>
      <c r="N321" s="283">
        <v>75000000</v>
      </c>
      <c r="O321" s="283" t="s">
        <v>157</v>
      </c>
    </row>
    <row r="322" spans="13:15">
      <c r="M322" s="283">
        <v>24</v>
      </c>
      <c r="N322" s="283">
        <v>75000000</v>
      </c>
      <c r="O322" s="283" t="s">
        <v>147</v>
      </c>
    </row>
    <row r="323" spans="13:15">
      <c r="M323" s="283">
        <v>25</v>
      </c>
      <c r="N323" s="283">
        <v>75000000</v>
      </c>
      <c r="O323" s="283" t="s">
        <v>148</v>
      </c>
    </row>
    <row r="324" spans="13:15">
      <c r="M324" s="283">
        <v>26</v>
      </c>
      <c r="N324" s="283">
        <v>75000000</v>
      </c>
      <c r="O324" s="283" t="s">
        <v>149</v>
      </c>
    </row>
    <row r="325" spans="13:15">
      <c r="M325" s="283">
        <v>27</v>
      </c>
      <c r="N325" s="283">
        <v>75000000</v>
      </c>
      <c r="O325" s="283" t="s">
        <v>150</v>
      </c>
    </row>
    <row r="326" spans="13:15">
      <c r="M326" s="283">
        <v>28</v>
      </c>
      <c r="N326" s="283">
        <v>75000000</v>
      </c>
      <c r="O326" s="283" t="s">
        <v>151</v>
      </c>
    </row>
    <row r="327" spans="13:15">
      <c r="M327" s="283">
        <v>29</v>
      </c>
      <c r="N327" s="283">
        <v>75000000</v>
      </c>
      <c r="O327" s="283" t="s">
        <v>152</v>
      </c>
    </row>
    <row r="328" spans="13:15">
      <c r="M328" s="283">
        <v>30</v>
      </c>
      <c r="N328" s="283">
        <v>75000000</v>
      </c>
      <c r="O328" s="283" t="s">
        <v>153</v>
      </c>
    </row>
    <row r="329" spans="13:15">
      <c r="M329" s="283">
        <v>31</v>
      </c>
      <c r="N329" s="283">
        <v>75000000</v>
      </c>
      <c r="O329" s="283" t="s">
        <v>154</v>
      </c>
    </row>
    <row r="330" spans="13:15">
      <c r="M330" s="283">
        <v>32</v>
      </c>
      <c r="N330" s="283">
        <f>SUM(N299:N329)</f>
        <v>2325000000</v>
      </c>
    </row>
    <row r="331" spans="13:15">
      <c r="M331" s="283">
        <v>33</v>
      </c>
    </row>
    <row r="332" spans="13:15">
      <c r="M332" s="283">
        <v>34</v>
      </c>
    </row>
    <row r="333" spans="13:15">
      <c r="M333" s="283">
        <v>35</v>
      </c>
    </row>
    <row r="334" spans="13:15">
      <c r="M334" s="283">
        <v>36</v>
      </c>
    </row>
    <row r="335" spans="13:15">
      <c r="M335" s="283">
        <v>37</v>
      </c>
    </row>
  </sheetData>
  <mergeCells count="30">
    <mergeCell ref="AY6:AY8"/>
    <mergeCell ref="P6:P8"/>
    <mergeCell ref="A9:C9"/>
    <mergeCell ref="B25:C25"/>
    <mergeCell ref="A6:C8"/>
    <mergeCell ref="B11:C11"/>
    <mergeCell ref="B13:C13"/>
    <mergeCell ref="B14:C14"/>
    <mergeCell ref="B15:C15"/>
    <mergeCell ref="B17:C17"/>
    <mergeCell ref="B16:C16"/>
    <mergeCell ref="D7:H7"/>
    <mergeCell ref="I7:J7"/>
    <mergeCell ref="I6:M6"/>
    <mergeCell ref="K7:M7"/>
    <mergeCell ref="A133:C133"/>
    <mergeCell ref="A10:C10"/>
    <mergeCell ref="B26:C26"/>
    <mergeCell ref="B27:C27"/>
    <mergeCell ref="B29:C29"/>
    <mergeCell ref="B31:D31"/>
    <mergeCell ref="B106:C106"/>
    <mergeCell ref="B18:C18"/>
    <mergeCell ref="B21:C21"/>
    <mergeCell ref="B22:C22"/>
    <mergeCell ref="B23:C23"/>
    <mergeCell ref="B24:C24"/>
    <mergeCell ref="B20:C20"/>
    <mergeCell ref="B19:C19"/>
    <mergeCell ref="A131:C131"/>
  </mergeCells>
  <pageMargins left="0.25" right="0.25" top="0.75" bottom="0.75" header="0.3" footer="0.3"/>
  <pageSetup paperSize="5" scale="80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9" sqref="C19"/>
    </sheetView>
  </sheetViews>
  <sheetFormatPr defaultRowHeight="15"/>
  <cols>
    <col min="2" max="2" width="42.28515625" customWidth="1"/>
    <col min="3" max="3" width="17.7109375" bestFit="1" customWidth="1"/>
    <col min="4" max="8" width="16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36</vt:i4>
      </vt:variant>
    </vt:vector>
  </HeadingPairs>
  <TitlesOfParts>
    <vt:vector size="78" baseType="lpstr">
      <vt:lpstr>LABA RUGI</vt:lpstr>
      <vt:lpstr>CASH FLOW</vt:lpstr>
      <vt:lpstr>GRAFIK CASH FLOW (2)</vt:lpstr>
      <vt:lpstr>GRAFIK CF &amp; RL</vt:lpstr>
      <vt:lpstr>ASUMSI &amp; CAT CF RUMAH SAKIT</vt:lpstr>
      <vt:lpstr>REKAP 2016 SD 2020</vt:lpstr>
      <vt:lpstr>CF 2016 (2)</vt:lpstr>
      <vt:lpstr>CF 2016</vt:lpstr>
      <vt:lpstr>PENDAPATAN</vt:lpstr>
      <vt:lpstr>PENGELUARAN</vt:lpstr>
      <vt:lpstr>CF 2017</vt:lpstr>
      <vt:lpstr>CF 2018</vt:lpstr>
      <vt:lpstr>CF 2019</vt:lpstr>
      <vt:lpstr>pinj faisol</vt:lpstr>
      <vt:lpstr>Sheet1</vt:lpstr>
      <vt:lpstr>Sheet2 (2)</vt:lpstr>
      <vt:lpstr>Sheet2</vt:lpstr>
      <vt:lpstr>REKAP</vt:lpstr>
      <vt:lpstr>perhitungan</vt:lpstr>
      <vt:lpstr>CAT 2019</vt:lpstr>
      <vt:lpstr>CF 2020</vt:lpstr>
      <vt:lpstr>Sheet3</vt:lpstr>
      <vt:lpstr>catatan 2019</vt:lpstr>
      <vt:lpstr>Sheet4</vt:lpstr>
      <vt:lpstr>MKI2</vt:lpstr>
      <vt:lpstr>RKA MDG'S</vt:lpstr>
      <vt:lpstr>MKI</vt:lpstr>
      <vt:lpstr>RKA HPK</vt:lpstr>
      <vt:lpstr>RKA PPI</vt:lpstr>
      <vt:lpstr>rka mki</vt:lpstr>
      <vt:lpstr>PKRS</vt:lpstr>
      <vt:lpstr>MPO</vt:lpstr>
      <vt:lpstr>MFK</vt:lpstr>
      <vt:lpstr>KPS</vt:lpstr>
      <vt:lpstr>PP</vt:lpstr>
      <vt:lpstr>AP</vt:lpstr>
      <vt:lpstr>PMKP</vt:lpstr>
      <vt:lpstr>TKP</vt:lpstr>
      <vt:lpstr>SKP</vt:lpstr>
      <vt:lpstr>PPK</vt:lpstr>
      <vt:lpstr>PAB</vt:lpstr>
      <vt:lpstr>pmkp2</vt:lpstr>
      <vt:lpstr>'ASUMSI &amp; CAT CF RUMAH SAKIT'!Print_Area</vt:lpstr>
      <vt:lpstr>'CF 2016'!Print_Area</vt:lpstr>
      <vt:lpstr>'CF 2016 (2)'!Print_Area</vt:lpstr>
      <vt:lpstr>'CF 2017'!Print_Area</vt:lpstr>
      <vt:lpstr>'CF 2018'!Print_Area</vt:lpstr>
      <vt:lpstr>'CF 2019'!Print_Area</vt:lpstr>
      <vt:lpstr>'CF 2020'!Print_Area</vt:lpstr>
      <vt:lpstr>'GRAFIK CF &amp; RL'!Print_Area</vt:lpstr>
      <vt:lpstr>KPS!Print_Area</vt:lpstr>
      <vt:lpstr>'LABA RUGI'!Print_Area</vt:lpstr>
      <vt:lpstr>MFK!Print_Area</vt:lpstr>
      <vt:lpstr>MKI!Print_Area</vt:lpstr>
      <vt:lpstr>'MKI2'!Print_Area</vt:lpstr>
      <vt:lpstr>MPO!Print_Area</vt:lpstr>
      <vt:lpstr>'pinj faisol'!Print_Area</vt:lpstr>
      <vt:lpstr>PKRS!Print_Area</vt:lpstr>
      <vt:lpstr>pmkp2!Print_Area</vt:lpstr>
      <vt:lpstr>REKAP!Print_Area</vt:lpstr>
      <vt:lpstr>'REKAP 2016 SD 2020'!Print_Area</vt:lpstr>
      <vt:lpstr>'RKA HPK'!Print_Area</vt:lpstr>
      <vt:lpstr>'RKA MDG''S'!Print_Area</vt:lpstr>
      <vt:lpstr>'RKA PPI'!Print_Area</vt:lpstr>
      <vt:lpstr>Sheet2!Print_Area</vt:lpstr>
      <vt:lpstr>'Sheet2 (2)'!Print_Area</vt:lpstr>
      <vt:lpstr>'ASUMSI &amp; CAT CF RUMAH SAKIT'!Print_Titles</vt:lpstr>
      <vt:lpstr>'CF 2016'!Print_Titles</vt:lpstr>
      <vt:lpstr>'CF 2016 (2)'!Print_Titles</vt:lpstr>
      <vt:lpstr>'CF 2017'!Print_Titles</vt:lpstr>
      <vt:lpstr>'CF 2018'!Print_Titles</vt:lpstr>
      <vt:lpstr>'CF 2019'!Print_Titles</vt:lpstr>
      <vt:lpstr>'CF 2020'!Print_Titles</vt:lpstr>
      <vt:lpstr>MKI!Print_Titles</vt:lpstr>
      <vt:lpstr>'MKI2'!Print_Titles</vt:lpstr>
      <vt:lpstr>REKAP!Print_Titles</vt:lpstr>
      <vt:lpstr>'REKAP 2016 SD 2020'!Print_Titles</vt:lpstr>
      <vt:lpstr>'RKA MDG''S'!Print_Titles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</dc:creator>
  <cp:lastModifiedBy>Agung</cp:lastModifiedBy>
  <cp:lastPrinted>2016-11-29T01:45:08Z</cp:lastPrinted>
  <dcterms:created xsi:type="dcterms:W3CDTF">2016-08-04T03:21:04Z</dcterms:created>
  <dcterms:modified xsi:type="dcterms:W3CDTF">2016-11-29T07:33:35Z</dcterms:modified>
</cp:coreProperties>
</file>