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C1F7F5CD-DBA2-4A44-BE9E-7DF1DED4D8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X5" i="1"/>
  <c r="X6" i="1"/>
  <c r="G2" i="1"/>
  <c r="N5" i="1"/>
  <c r="O5" i="1" s="1"/>
  <c r="N3" i="1"/>
  <c r="X3" i="1" s="1"/>
  <c r="E2" i="1"/>
  <c r="N4" i="1" s="1"/>
  <c r="X4" i="1" s="1"/>
  <c r="D2" i="1"/>
  <c r="U3" i="1"/>
  <c r="N2" i="1"/>
  <c r="O2" i="1" s="1"/>
  <c r="P24" i="1" l="1"/>
  <c r="X2" i="1"/>
  <c r="D11" i="1"/>
  <c r="C11" i="1"/>
  <c r="Q35" i="1"/>
  <c r="P35" i="1"/>
  <c r="AA3" i="1"/>
  <c r="AA2" i="1"/>
  <c r="O3" i="1"/>
  <c r="M24" i="1"/>
  <c r="M35" i="1" l="1"/>
  <c r="N35" i="1"/>
  <c r="X20" i="1" l="1"/>
  <c r="O4" i="1"/>
  <c r="O20" i="1" s="1"/>
  <c r="A2" i="1" s="1"/>
  <c r="AA4" i="1"/>
  <c r="O24" i="1" s="1"/>
</calcChain>
</file>

<file path=xl/sharedStrings.xml><?xml version="1.0" encoding="utf-8"?>
<sst xmlns="http://schemas.openxmlformats.org/spreadsheetml/2006/main" count="95" uniqueCount="89">
  <si>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</si>
  <si>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</si>
  <si>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</si>
  <si>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</si>
  <si>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</si>
  <si>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</si>
  <si>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</si>
  <si>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</si>
  <si>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</si>
  <si>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</si>
  <si>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</si>
  <si>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</si>
  <si>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</si>
  <si>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</si>
  <si>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</si>
  <si>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</si>
  <si>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</si>
  <si>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</si>
  <si>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</si>
  <si>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</si>
  <si>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</si>
  <si>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</si>
  <si>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</si>
  <si>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</si>
  <si>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</si>
  <si>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</si>
  <si>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</si>
  <si>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</si>
  <si>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</si>
  <si>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</si>
  <si>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</si>
  <si>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</si>
  <si>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</si>
  <si>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</si>
  <si>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</si>
  <si>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</si>
  <si>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</si>
  <si>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</si>
  <si>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</si>
  <si>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</si>
  <si>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</si>
  <si>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</si>
  <si>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</si>
  <si>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</si>
  <si>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</si>
  <si>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</si>
  <si>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</si>
  <si>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</si>
  <si>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</si>
  <si>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</si>
  <si>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</si>
  <si>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</si>
  <si>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</si>
  <si>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</si>
  <si>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</si>
  <si>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</si>
  <si>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</si>
  <si>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</si>
  <si>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</si>
  <si>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</si>
  <si>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</si>
  <si>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</si>
  <si>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</si>
  <si>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</si>
  <si>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avionics</t>
  </si>
  <si>
    <t>tools</t>
  </si>
  <si>
    <t>hot glue gun</t>
  </si>
  <si>
    <t>hole drill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</si>
  <si>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</si>
  <si>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</si>
  <si>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</si>
  <si>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</si>
  <si>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</si>
  <si>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</si>
  <si>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</si>
  <si>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</si>
  <si>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</si>
  <si>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wood</t>
  </si>
  <si>
    <t>rib space added</t>
  </si>
  <si>
    <t>battery ef</t>
  </si>
  <si>
    <t>tax</t>
  </si>
  <si>
    <t>orafoil</t>
  </si>
  <si>
    <t>screws</t>
  </si>
  <si>
    <t>distance between ribs (mm)</t>
  </si>
  <si>
    <t>total cell output (100% efficiency)</t>
  </si>
  <si>
    <t>motor</t>
  </si>
  <si>
    <t>esc</t>
  </si>
  <si>
    <t>gearbox</t>
  </si>
  <si>
    <t>https://hobbyking.com/en_us/turnigy-aerodrive-sk3-2836-1040kv-brushless-outrunner-motor.html?queryID=b1dd1f95be3adf81b41ffce9db689c7b&amp;objectID=17166&amp;indexName=hbk_live_products_analytics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</si>
</sst>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topLeftCell="H1" zoomScaleNormal="100" workbookViewId="0">
      <selection activeCell="L8" sqref="L8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7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79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7</v>
      </c>
      <c r="T1" t="s">
        <v>10</v>
      </c>
      <c r="U1" t="s">
        <v>12</v>
      </c>
      <c r="V1" t="s">
        <v>13</v>
      </c>
      <c r="W1" t="s">
        <v>80</v>
      </c>
      <c r="X1" t="s">
        <v>14</v>
      </c>
      <c r="Y1" t="s">
        <v>16</v>
      </c>
      <c r="Z1" t="s">
        <v>42</v>
      </c>
      <c r="AA1" t="s">
        <v>44</v>
      </c>
    </row>
    <row r="2" spans="1:27" x14ac:dyDescent="0.3">
      <c r="A2">
        <f>ROUNDUP(O20*10^-3,3)</f>
        <v>6.9950000000000001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EVEN(G2/(S2*H2/100))</f>
        <v>62</v>
      </c>
      <c r="O2">
        <f>N2*M2</f>
        <v>434</v>
      </c>
      <c r="P2">
        <v>156</v>
      </c>
      <c r="Q2">
        <v>156</v>
      </c>
      <c r="R2">
        <v>0.23</v>
      </c>
      <c r="S2">
        <v>4.96</v>
      </c>
      <c r="T2" t="s">
        <v>11</v>
      </c>
      <c r="U2" t="s">
        <v>11</v>
      </c>
      <c r="V2">
        <v>0.83</v>
      </c>
      <c r="W2">
        <v>0</v>
      </c>
      <c r="X2">
        <f>ROUNDUP(N2*V2*(1+W2),2)</f>
        <v>51.46</v>
      </c>
      <c r="Y2" t="s">
        <v>75</v>
      </c>
      <c r="Z2">
        <v>50</v>
      </c>
      <c r="AA2">
        <f>ROUNDUP(N2/Z2, 0)*Z2</f>
        <v>100</v>
      </c>
    </row>
    <row r="3" spans="1:27" x14ac:dyDescent="0.3">
      <c r="L3" t="s">
        <v>9</v>
      </c>
      <c r="M3">
        <v>48.5</v>
      </c>
      <c r="N3">
        <f>ROUNDUP(B2*(24-F2)/(T3*I2 * 10^-2) / N24, 0) * N24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S3" t="s">
        <v>22</v>
      </c>
      <c r="T3">
        <v>11.88</v>
      </c>
      <c r="U3">
        <f>ROUNDDOWN(T3/M3*10^3, 2)</f>
        <v>244.94</v>
      </c>
      <c r="V3">
        <v>1.75</v>
      </c>
      <c r="W3">
        <v>0</v>
      </c>
      <c r="X3">
        <f>ROUNDUP(N3*V3*(1+W3),2)</f>
        <v>147</v>
      </c>
      <c r="Y3" t="s">
        <v>17</v>
      </c>
      <c r="Z3">
        <v>20</v>
      </c>
      <c r="AA3">
        <f>ROUNDUP(N3/Z3, 0)*Z3</f>
        <v>100</v>
      </c>
    </row>
    <row r="4" spans="1:27" x14ac:dyDescent="0.3">
      <c r="L4" t="s">
        <v>20</v>
      </c>
      <c r="M4">
        <v>62.08</v>
      </c>
      <c r="N4">
        <f>(E2+C2*2)/P4 *10^3</f>
        <v>14.11</v>
      </c>
      <c r="O4">
        <f t="shared" si="0"/>
        <v>875.94879999999989</v>
      </c>
      <c r="P4">
        <v>1000</v>
      </c>
      <c r="Q4">
        <v>14</v>
      </c>
      <c r="R4">
        <v>14</v>
      </c>
      <c r="S4" t="s">
        <v>11</v>
      </c>
      <c r="T4" t="s">
        <v>11</v>
      </c>
      <c r="U4" t="s">
        <v>11</v>
      </c>
      <c r="V4">
        <v>6.3</v>
      </c>
      <c r="W4">
        <v>0</v>
      </c>
      <c r="X4">
        <f>ROUNDUP(N4*V4*(1+W4), 2)</f>
        <v>88.9</v>
      </c>
      <c r="Y4" t="s">
        <v>27</v>
      </c>
      <c r="Z4">
        <v>1</v>
      </c>
      <c r="AA4">
        <f>ROUNDUP(N4/Z4, 0)*Z4</f>
        <v>15</v>
      </c>
    </row>
    <row r="5" spans="1:27" x14ac:dyDescent="0.3">
      <c r="L5" t="s">
        <v>62</v>
      </c>
      <c r="M5">
        <v>14.72</v>
      </c>
      <c r="N5">
        <f>C2/F11 * 10^3</f>
        <v>40</v>
      </c>
      <c r="O5">
        <f>M5*N5</f>
        <v>588.80000000000007</v>
      </c>
      <c r="P5">
        <v>368</v>
      </c>
      <c r="Q5">
        <v>1</v>
      </c>
      <c r="R5">
        <v>40</v>
      </c>
      <c r="X5">
        <f t="shared" ref="X5:X7" si="1">ROUNDUP(N5*V5*(1+W5), 2)</f>
        <v>0</v>
      </c>
    </row>
    <row r="6" spans="1:27" x14ac:dyDescent="0.3">
      <c r="L6" t="s">
        <v>64</v>
      </c>
      <c r="O6">
        <v>1022</v>
      </c>
      <c r="X6">
        <f t="shared" si="1"/>
        <v>0</v>
      </c>
    </row>
    <row r="7" spans="1:27" x14ac:dyDescent="0.3">
      <c r="L7" t="s">
        <v>85</v>
      </c>
      <c r="N7">
        <v>1</v>
      </c>
      <c r="V7">
        <v>26.39</v>
      </c>
      <c r="W7">
        <v>0</v>
      </c>
      <c r="X7">
        <f>ROUNDUP(N7*V7*(1+W7), 2)</f>
        <v>26.39</v>
      </c>
      <c r="Y7" t="s">
        <v>88</v>
      </c>
      <c r="Z7">
        <v>1</v>
      </c>
    </row>
    <row r="8" spans="1:27" x14ac:dyDescent="0.3">
      <c r="L8" t="s">
        <v>86</v>
      </c>
      <c r="N8">
        <v>1</v>
      </c>
      <c r="Z8">
        <v>1</v>
      </c>
    </row>
    <row r="9" spans="1:27" ht="13.2" customHeight="1" x14ac:dyDescent="0.3">
      <c r="L9" t="s">
        <v>87</v>
      </c>
    </row>
    <row r="10" spans="1:27" x14ac:dyDescent="0.3">
      <c r="C10" t="s">
        <v>76</v>
      </c>
      <c r="D10" t="s">
        <v>78</v>
      </c>
      <c r="F10" t="s">
        <v>83</v>
      </c>
    </row>
    <row r="11" spans="1:27" x14ac:dyDescent="0.3">
      <c r="C11">
        <f>ROUND(N2/2*P2*10^-3 + (N2/2 + 1)*0.002,2)</f>
        <v>4.9000000000000004</v>
      </c>
      <c r="D11">
        <f>(N2/2 +1) * 0.002</f>
        <v>6.4000000000000001E-2</v>
      </c>
      <c r="F11">
        <v>150</v>
      </c>
    </row>
    <row r="16" spans="1:27" x14ac:dyDescent="0.3">
      <c r="L16" t="s">
        <v>82</v>
      </c>
    </row>
    <row r="17" spans="1:24" x14ac:dyDescent="0.3">
      <c r="A17" t="s">
        <v>45</v>
      </c>
      <c r="B17" t="s">
        <v>46</v>
      </c>
      <c r="L17" t="s">
        <v>81</v>
      </c>
    </row>
    <row r="18" spans="1:24" x14ac:dyDescent="0.3">
      <c r="A18" t="s">
        <v>1</v>
      </c>
      <c r="B18" t="s">
        <v>47</v>
      </c>
      <c r="L18" t="s">
        <v>77</v>
      </c>
      <c r="P18">
        <v>1000</v>
      </c>
      <c r="Q18">
        <v>13</v>
      </c>
      <c r="R18">
        <v>13</v>
      </c>
    </row>
    <row r="19" spans="1:24" x14ac:dyDescent="0.3">
      <c r="A19" t="s">
        <v>32</v>
      </c>
      <c r="B19" t="s">
        <v>48</v>
      </c>
    </row>
    <row r="20" spans="1:24" x14ac:dyDescent="0.3">
      <c r="A20" t="s">
        <v>33</v>
      </c>
      <c r="B20" t="s">
        <v>49</v>
      </c>
      <c r="L20" t="s">
        <v>15</v>
      </c>
      <c r="O20">
        <f>O2+O3+O4+O5+O6+O7+O8</f>
        <v>6994.7488000000003</v>
      </c>
      <c r="X20">
        <f>X3+X2+X4</f>
        <v>287.36</v>
      </c>
    </row>
    <row r="21" spans="1:24" x14ac:dyDescent="0.3">
      <c r="A21" t="s">
        <v>31</v>
      </c>
      <c r="B21" t="s">
        <v>50</v>
      </c>
    </row>
    <row r="22" spans="1:24" x14ac:dyDescent="0.3">
      <c r="A22" t="s">
        <v>34</v>
      </c>
      <c r="B22" t="s">
        <v>51</v>
      </c>
    </row>
    <row r="23" spans="1:24" x14ac:dyDescent="0.3">
      <c r="A23" t="s">
        <v>35</v>
      </c>
      <c r="B23" t="s">
        <v>52</v>
      </c>
      <c r="L23" t="s">
        <v>23</v>
      </c>
      <c r="M23" t="s">
        <v>60</v>
      </c>
      <c r="N23" t="s">
        <v>24</v>
      </c>
      <c r="O23" t="s">
        <v>29</v>
      </c>
      <c r="P23" t="s">
        <v>84</v>
      </c>
    </row>
    <row r="24" spans="1:24" x14ac:dyDescent="0.3">
      <c r="A24" t="s">
        <v>36</v>
      </c>
      <c r="B24" t="s">
        <v>53</v>
      </c>
      <c r="M24">
        <f>N3*R3*10^-3</f>
        <v>5.67</v>
      </c>
      <c r="N24">
        <v>6</v>
      </c>
      <c r="O24">
        <f>AA2 * V2 + AA3 * V3+ AA4 * V4</f>
        <v>352.5</v>
      </c>
      <c r="P24">
        <f>S2*N2</f>
        <v>307.52</v>
      </c>
    </row>
    <row r="25" spans="1:24" x14ac:dyDescent="0.3">
      <c r="A25" t="s">
        <v>37</v>
      </c>
      <c r="B25" t="s">
        <v>54</v>
      </c>
    </row>
    <row r="26" spans="1:24" x14ac:dyDescent="0.3">
      <c r="A26" t="s">
        <v>38</v>
      </c>
      <c r="B26" t="s">
        <v>55</v>
      </c>
    </row>
    <row r="27" spans="1:24" x14ac:dyDescent="0.3">
      <c r="A27" t="s">
        <v>39</v>
      </c>
      <c r="B27" t="s">
        <v>56</v>
      </c>
    </row>
    <row r="28" spans="1:24" x14ac:dyDescent="0.3">
      <c r="A28" t="s">
        <v>40</v>
      </c>
      <c r="B28" t="s">
        <v>57</v>
      </c>
    </row>
    <row r="29" spans="1:24" x14ac:dyDescent="0.3">
      <c r="A29" t="s">
        <v>41</v>
      </c>
      <c r="B29" t="s">
        <v>58</v>
      </c>
      <c r="L29" t="s">
        <v>65</v>
      </c>
      <c r="M29" t="s">
        <v>66</v>
      </c>
      <c r="N29" t="s">
        <v>67</v>
      </c>
    </row>
    <row r="30" spans="1:24" x14ac:dyDescent="0.3">
      <c r="A30" t="s">
        <v>43</v>
      </c>
      <c r="B30" t="s">
        <v>59</v>
      </c>
    </row>
    <row r="31" spans="1:24" x14ac:dyDescent="0.3">
      <c r="A31" t="s">
        <v>24</v>
      </c>
      <c r="B31" t="s">
        <v>61</v>
      </c>
      <c r="V31" t="s">
        <v>72</v>
      </c>
    </row>
    <row r="32" spans="1:24" x14ac:dyDescent="0.3">
      <c r="V32">
        <v>18.7</v>
      </c>
    </row>
    <row r="34" spans="12:17" x14ac:dyDescent="0.3">
      <c r="L34" t="s">
        <v>73</v>
      </c>
      <c r="M34" t="s">
        <v>68</v>
      </c>
      <c r="N34" t="s">
        <v>69</v>
      </c>
      <c r="O34" t="s">
        <v>70</v>
      </c>
      <c r="P34" t="s">
        <v>71</v>
      </c>
      <c r="Q34" t="s">
        <v>74</v>
      </c>
    </row>
    <row r="35" spans="12:17" x14ac:dyDescent="0.3">
      <c r="M35">
        <f>D2/(0.305 * C2/5695 * 10^3)</f>
        <v>1.1296639344262294</v>
      </c>
      <c r="N35">
        <f>0.305 * C2/5695 * 10^3</f>
        <v>0.32133450395083407</v>
      </c>
      <c r="P35">
        <f>C2/D2</f>
        <v>16.528925619834713</v>
      </c>
      <c r="Q35">
        <f>5.695*D2/0.305</f>
        <v>6.7779836065573775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2021-06-22T21:46:23Z</dcterms:modified>
</cp:coreProperties>
</file>