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801"/>
  <workbookPr/>
  <mc:AlternateContent xmlns:mc="http://schemas.openxmlformats.org/markup-compatibility/2006">
    <mc:Choice Requires="x15">
      <x15ac:absPath xmlns:x15ac="http://schemas.microsoft.com/office/spreadsheetml/2010/11/ac" url="C:\Users\Ferdinand Hubbard\Desktop\solarplane\"/>
    </mc:Choice>
  </mc:AlternateContent>
  <xr:revisionPtr revIDLastSave="0" documentId="13_ncr:1_{4AC011ED-80E5-4D7E-BBAD-33D15D65BA2D}" xr6:coauthVersionLast="46" xr6:coauthVersionMax="46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N5" i="1" l="1"/>
  <c r="N3" i="1"/>
  <c r="X3" i="1" s="1"/>
  <c r="X4" i="1"/>
  <c r="X2" i="1"/>
  <c r="G2" i="1"/>
  <c r="E2" i="1"/>
  <c r="N4" i="1" s="1"/>
  <c r="D2" i="1"/>
  <c r="P5" i="1" s="1"/>
  <c r="U3" i="1"/>
  <c r="N2" i="1"/>
  <c r="O2" i="1" s="1"/>
  <c r="D11" i="1" l="1"/>
  <c r="C11" i="1"/>
  <c r="Q28" i="1"/>
  <c r="P28" i="1"/>
  <c r="P17" i="1"/>
  <c r="AA3" i="1"/>
  <c r="AA2" i="1"/>
  <c r="O3" i="1"/>
  <c r="M17" i="1"/>
  <c r="M28" i="1" l="1"/>
  <c r="N28" i="1"/>
  <c r="X13" i="1" l="1"/>
  <c r="O4" i="1"/>
  <c r="O13" i="1" s="1"/>
  <c r="A2" i="1" s="1"/>
  <c r="AA4" i="1"/>
  <c r="O17" i="1" s="1"/>
</calcChain>
</file>

<file path=xl/sharedStrings.xml><?xml version="1.0" encoding="utf-8"?>
<sst xmlns="http://schemas.openxmlformats.org/spreadsheetml/2006/main" count="91" uniqueCount="85">
  <si>
    <t>part</t>
  </si>
  <si>
    <t>crusing power</t>
  </si>
  <si>
    <t>solar cell</t>
  </si>
  <si>
    <t>crusing power (W)</t>
  </si>
  <si>
    <t>mass (kg)</t>
  </si>
  <si>
    <t>wingspan (m)</t>
  </si>
  <si>
    <t>length (mm)</t>
  </si>
  <si>
    <t>power output (W)</t>
  </si>
  <si>
    <t>daylight (h)</t>
  </si>
  <si>
    <t>battery</t>
  </si>
  <si>
    <t>energy capacity (Wh)</t>
  </si>
  <si>
    <t>n/a</t>
  </si>
  <si>
    <t>energy density (Wh/kg)</t>
  </si>
  <si>
    <t>price per unit (eur)</t>
  </si>
  <si>
    <t>cost (eur)</t>
  </si>
  <si>
    <t>total</t>
  </si>
  <si>
    <t>link</t>
  </si>
  <si>
    <t>https://www.aliexpress.com/item/32807032859.html?spm=a2g0o.productlist.0.0.285e51fdBDJdHs&amp;algo_pvid=f37058b4-0059-49f9-84e2-081ae976ecd6&amp;algo_expid=f37058b4-0059-49f9-84e2-081ae976ecd6-1&amp;btsid=2100bb5116147093891823194e38da&amp;ws_ab_test=searchweb0_0,searchweb201602_,searchweb201603_</t>
  </si>
  <si>
    <t>width (mm)</t>
  </si>
  <si>
    <t>height (mm)</t>
  </si>
  <si>
    <t>carbon tube</t>
  </si>
  <si>
    <t>total mass (g)</t>
  </si>
  <si>
    <t>4.875 amp max</t>
  </si>
  <si>
    <t>misc</t>
  </si>
  <si>
    <t>num batteries in series</t>
  </si>
  <si>
    <t>num of units</t>
  </si>
  <si>
    <t>mass (g) per unit</t>
  </si>
  <si>
    <t>https://www.aliexpress.com/item/4000407024494.html?spm=a2g0o.productlist.0.0.1b7314fc8axAg6&amp;algo_pvid=e91308c2-8a84-4c69-831d-cabf751e6f17&amp;algo_expid=e91308c2-8a84-4c69-831d-cabf751e6f17-0&amp;btsid=2100bdec16147874075623373e81d5&amp;ws_ab_test=searchweb0_0,searchweb201602_,searchweb201603_</t>
  </si>
  <si>
    <t>body length (m)</t>
  </si>
  <si>
    <t>upfront cost of 1 plane</t>
  </si>
  <si>
    <t>effective power output (W)</t>
  </si>
  <si>
    <t>solar efficiency</t>
  </si>
  <si>
    <t>body length</t>
  </si>
  <si>
    <t>daylight</t>
  </si>
  <si>
    <t>mass per unit (num of parts)</t>
  </si>
  <si>
    <t>length (num of parts)</t>
  </si>
  <si>
    <t>width (num of parts)</t>
  </si>
  <si>
    <t>height (num of parts)</t>
  </si>
  <si>
    <t>power output (cells, batteries)</t>
  </si>
  <si>
    <t>energy capacity (batteries)</t>
  </si>
  <si>
    <t>price per unit (num of parts)</t>
  </si>
  <si>
    <t>link (num of parts)</t>
  </si>
  <si>
    <t xml:space="preserve">min num of units purchase </t>
  </si>
  <si>
    <t>min num of units purchase (num of parts)</t>
  </si>
  <si>
    <t>actual min purchase (based on actual num of units)</t>
  </si>
  <si>
    <t>inputs:</t>
  </si>
  <si>
    <t>cells:</t>
  </si>
  <si>
    <t>B2</t>
  </si>
  <si>
    <t>D2</t>
  </si>
  <si>
    <t>E2</t>
  </si>
  <si>
    <t>G2</t>
  </si>
  <si>
    <t>K2,3,4 …</t>
  </si>
  <si>
    <t>M2,3,4 …</t>
  </si>
  <si>
    <t>N2,3,4…</t>
  </si>
  <si>
    <t>O2,3,4…</t>
  </si>
  <si>
    <t>P1,2</t>
  </si>
  <si>
    <t>R3</t>
  </si>
  <si>
    <t>S2,3,4…</t>
  </si>
  <si>
    <t>U2,3,4…</t>
  </si>
  <si>
    <t>V2,3,4…</t>
  </si>
  <si>
    <t>required battery tube space (m)</t>
  </si>
  <si>
    <t>AA2</t>
  </si>
  <si>
    <t>total cell output</t>
  </si>
  <si>
    <t>ribs</t>
  </si>
  <si>
    <t>wing width (m)</t>
  </si>
  <si>
    <t>avionics</t>
  </si>
  <si>
    <t>tools</t>
  </si>
  <si>
    <t>hot glue gun</t>
  </si>
  <si>
    <t>hole drill</t>
  </si>
  <si>
    <t>brackets</t>
  </si>
  <si>
    <t>width ratio</t>
  </si>
  <si>
    <t>ideal wing width</t>
  </si>
  <si>
    <t>excess wing mass</t>
  </si>
  <si>
    <t>aspect ratio</t>
  </si>
  <si>
    <t>atlantik solar aspect ratio</t>
  </si>
  <si>
    <t>fixing wing length &amp; width</t>
  </si>
  <si>
    <t>fixed wing span (m)</t>
  </si>
  <si>
    <t>https://www.aliexpress.com/item/32968611064.html?spm=a2g0o.productlist.0.0.55ea1151yte6UJ&amp;algo_pvid=41ecf265-74d3-4937-acf6-53082045f605&amp;algo_expid=41ecf265-74d3-4937-acf6-53082045f605-28&amp;btsid=2100bddd16148851818844101e1c51&amp;ws_ab_test=searchweb0_0,searchweb201602_,searchweb201603_</t>
  </si>
  <si>
    <t>temp real wingspan</t>
  </si>
  <si>
    <t>wood</t>
  </si>
  <si>
    <t>rib space added</t>
  </si>
  <si>
    <t>battery ef</t>
  </si>
  <si>
    <t>tax</t>
  </si>
  <si>
    <t>orafoil</t>
  </si>
  <si>
    <t>screws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</si>
</sst>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31"/>
  <sheetViews>
    <sheetView tabSelected="1" zoomScale="57" zoomScaleNormal="100" workbookViewId="0">
      <selection activeCell="G17" sqref="G17"/>
    </sheetView>
  </sheetViews>
  <sheetFormatPr defaultRowHeight="14.4" x14ac:dyDescent="0.3"/>
  <cols>
    <col min="1" max="1" width="11" bestFit="1" customWidth="1"/>
    <col min="10" max="11" width="12" bestFit="1" customWidth="1"/>
    <col min="18" max="19" width="12" bestFit="1" customWidth="1"/>
  </cols>
  <sheetData>
    <row r="1" spans="1:27" x14ac:dyDescent="0.3">
      <c r="A1" t="s">
        <v>4</v>
      </c>
      <c r="B1" t="s">
        <v>3</v>
      </c>
      <c r="C1" t="s">
        <v>5</v>
      </c>
      <c r="D1" t="s">
        <v>64</v>
      </c>
      <c r="E1" t="s">
        <v>28</v>
      </c>
      <c r="F1" t="s">
        <v>8</v>
      </c>
      <c r="G1" t="s">
        <v>30</v>
      </c>
      <c r="H1" t="s">
        <v>31</v>
      </c>
      <c r="I1" t="s">
        <v>81</v>
      </c>
      <c r="L1" t="s">
        <v>0</v>
      </c>
      <c r="M1" t="s">
        <v>26</v>
      </c>
      <c r="N1" t="s">
        <v>25</v>
      </c>
      <c r="O1" t="s">
        <v>21</v>
      </c>
      <c r="P1" t="s">
        <v>6</v>
      </c>
      <c r="Q1" t="s">
        <v>18</v>
      </c>
      <c r="R1" t="s">
        <v>19</v>
      </c>
      <c r="S1" t="s">
        <v>7</v>
      </c>
      <c r="T1" t="s">
        <v>10</v>
      </c>
      <c r="U1" t="s">
        <v>12</v>
      </c>
      <c r="V1" t="s">
        <v>13</v>
      </c>
      <c r="W1" t="s">
        <v>82</v>
      </c>
      <c r="X1" t="s">
        <v>14</v>
      </c>
      <c r="Y1" t="s">
        <v>16</v>
      </c>
      <c r="Z1" t="s">
        <v>42</v>
      </c>
      <c r="AA1" t="s">
        <v>44</v>
      </c>
    </row>
    <row r="2" spans="1:27" x14ac:dyDescent="0.3">
      <c r="A2">
        <f>ROUNDUP(O13*10^-3,3)</f>
        <v>5.742</v>
      </c>
      <c r="B2">
        <v>60</v>
      </c>
      <c r="C2">
        <v>6</v>
      </c>
      <c r="D2">
        <f>(P2 * 2 + 51) *10 ^ -3</f>
        <v>0.36299999999999999</v>
      </c>
      <c r="E2">
        <f>ROUNDUP(1.998 * C2/5.69, 2)</f>
        <v>2.11</v>
      </c>
      <c r="F2">
        <v>8</v>
      </c>
      <c r="G2">
        <f>B2*24/F2</f>
        <v>180</v>
      </c>
      <c r="H2">
        <v>60</v>
      </c>
      <c r="I2">
        <v>100</v>
      </c>
      <c r="L2" t="s">
        <v>2</v>
      </c>
      <c r="M2">
        <v>7</v>
      </c>
      <c r="N2">
        <f>EVEN(G2/(S2*H2/100))</f>
        <v>62</v>
      </c>
      <c r="O2">
        <f>N2*M2</f>
        <v>434</v>
      </c>
      <c r="P2">
        <v>156</v>
      </c>
      <c r="Q2">
        <v>156</v>
      </c>
      <c r="R2">
        <v>0.23</v>
      </c>
      <c r="S2">
        <v>4.96</v>
      </c>
      <c r="T2" t="s">
        <v>11</v>
      </c>
      <c r="U2" t="s">
        <v>11</v>
      </c>
      <c r="V2">
        <v>0.83</v>
      </c>
      <c r="W2">
        <v>0</v>
      </c>
      <c r="X2">
        <f>ROUNDUP(N2*V2*(1+W2),2)</f>
        <v>51.46</v>
      </c>
      <c r="Y2" t="s">
        <v>77</v>
      </c>
      <c r="Z2">
        <v>50</v>
      </c>
      <c r="AA2">
        <f>ROUNDUP(N2/Z2, 0)*Z2</f>
        <v>100</v>
      </c>
    </row>
    <row r="3" spans="1:27" x14ac:dyDescent="0.3">
      <c r="L3" t="s">
        <v>9</v>
      </c>
      <c r="M3">
        <v>48.5</v>
      </c>
      <c r="N3">
        <f>ROUNDUP(B2*(24-F2)/(T3*I2 * 10^-2) / N17, 0) * N17</f>
        <v>84</v>
      </c>
      <c r="O3">
        <f t="shared" ref="O3:O4" si="0">N3*M3</f>
        <v>4074</v>
      </c>
      <c r="P3">
        <v>18.5</v>
      </c>
      <c r="Q3">
        <v>18.5</v>
      </c>
      <c r="R3">
        <v>67.5</v>
      </c>
      <c r="S3" t="s">
        <v>22</v>
      </c>
      <c r="T3">
        <v>11.88</v>
      </c>
      <c r="U3">
        <f>ROUNDDOWN(T3/M3*10^3, 2)</f>
        <v>244.94</v>
      </c>
      <c r="V3">
        <v>1.75</v>
      </c>
      <c r="W3">
        <v>0</v>
      </c>
      <c r="X3">
        <f>ROUNDUP(N3*V3*(1+W3),2)</f>
        <v>147</v>
      </c>
      <c r="Y3" t="s">
        <v>17</v>
      </c>
      <c r="Z3">
        <v>20</v>
      </c>
      <c r="AA3">
        <f>ROUNDUP(N3/Z3, 0)*Z3</f>
        <v>100</v>
      </c>
    </row>
    <row r="4" spans="1:27" x14ac:dyDescent="0.3">
      <c r="L4" t="s">
        <v>20</v>
      </c>
      <c r="M4">
        <v>100.27</v>
      </c>
      <c r="N4">
        <f>(E2)/P4 *10^3</f>
        <v>2.11</v>
      </c>
      <c r="O4">
        <f t="shared" si="0"/>
        <v>211.56969999999998</v>
      </c>
      <c r="P4">
        <v>1000</v>
      </c>
      <c r="Q4">
        <v>30</v>
      </c>
      <c r="R4">
        <v>30</v>
      </c>
      <c r="S4" t="s">
        <v>11</v>
      </c>
      <c r="T4" t="s">
        <v>11</v>
      </c>
      <c r="U4" t="s">
        <v>11</v>
      </c>
      <c r="V4">
        <v>16.989999999999998</v>
      </c>
      <c r="W4">
        <v>0</v>
      </c>
      <c r="X4">
        <f>ROUNDUP(N4*V4*(1+W4), 2)</f>
        <v>35.85</v>
      </c>
      <c r="Y4" t="s">
        <v>27</v>
      </c>
      <c r="Z4">
        <v>1</v>
      </c>
      <c r="AA4">
        <f>ROUNDUP(N4/Z4, 0)*Z4</f>
        <v>3</v>
      </c>
    </row>
    <row r="5" spans="1:27" x14ac:dyDescent="0.3">
      <c r="L5" t="s">
        <v>63</v>
      </c>
      <c r="N5">
        <f>C2/P2 * 10^3</f>
        <v>38.461538461538467</v>
      </c>
      <c r="P5">
        <f>D2</f>
        <v>0.36299999999999999</v>
      </c>
    </row>
    <row r="6" spans="1:27" x14ac:dyDescent="0.3">
      <c r="L6" t="s">
        <v>65</v>
      </c>
      <c r="O6">
        <v>1022</v>
      </c>
    </row>
    <row r="7" spans="1:27" x14ac:dyDescent="0.3">
      <c r="L7" t="s">
        <v>69</v>
      </c>
    </row>
    <row r="8" spans="1:27" x14ac:dyDescent="0.3">
      <c r="L8" t="s">
        <v>84</v>
      </c>
    </row>
    <row r="9" spans="1:27" ht="13.2" customHeight="1" x14ac:dyDescent="0.3">
      <c r="L9" t="s">
        <v>83</v>
      </c>
    </row>
    <row r="10" spans="1:27" x14ac:dyDescent="0.3">
      <c r="C10" t="s">
        <v>78</v>
      </c>
      <c r="D10" t="s">
        <v>80</v>
      </c>
    </row>
    <row r="11" spans="1:27" x14ac:dyDescent="0.3">
      <c r="C11">
        <f>ROUND(N2/2*P2*10^-3 + (N2/2 + 1)*0.002,2)</f>
        <v>4.9000000000000004</v>
      </c>
      <c r="D11">
        <f>(N2/2 +1) * 0.002</f>
        <v>6.4000000000000001E-2</v>
      </c>
      <c r="L11" t="s">
        <v>79</v>
      </c>
      <c r="P11">
        <v>1000</v>
      </c>
      <c r="Q11">
        <v>13</v>
      </c>
      <c r="R11">
        <v>13</v>
      </c>
    </row>
    <row r="13" spans="1:27" x14ac:dyDescent="0.3">
      <c r="L13" t="s">
        <v>15</v>
      </c>
      <c r="O13">
        <f>O2+O3+O4+O5+O6+O7+O8</f>
        <v>5741.5697</v>
      </c>
      <c r="X13">
        <f>X3+X2+X4</f>
        <v>234.31</v>
      </c>
    </row>
    <row r="16" spans="1:27" x14ac:dyDescent="0.3">
      <c r="L16" t="s">
        <v>23</v>
      </c>
      <c r="M16" t="s">
        <v>60</v>
      </c>
      <c r="N16" t="s">
        <v>24</v>
      </c>
      <c r="O16" t="s">
        <v>29</v>
      </c>
      <c r="P16" t="s">
        <v>62</v>
      </c>
    </row>
    <row r="17" spans="1:22" x14ac:dyDescent="0.3">
      <c r="A17" t="s">
        <v>45</v>
      </c>
      <c r="B17" t="s">
        <v>46</v>
      </c>
      <c r="M17">
        <f>N3*R3*10^-3</f>
        <v>5.67</v>
      </c>
      <c r="N17">
        <v>6</v>
      </c>
      <c r="O17">
        <f>AA2 * V2 + AA3 * V3+ AA4 * V4</f>
        <v>308.97000000000003</v>
      </c>
      <c r="P17">
        <f>S2*N2</f>
        <v>307.52</v>
      </c>
    </row>
    <row r="18" spans="1:22" x14ac:dyDescent="0.3">
      <c r="A18" t="s">
        <v>1</v>
      </c>
      <c r="B18" t="s">
        <v>47</v>
      </c>
    </row>
    <row r="19" spans="1:22" x14ac:dyDescent="0.3">
      <c r="A19" t="s">
        <v>32</v>
      </c>
      <c r="B19" t="s">
        <v>48</v>
      </c>
    </row>
    <row r="20" spans="1:22" x14ac:dyDescent="0.3">
      <c r="A20" t="s">
        <v>33</v>
      </c>
      <c r="B20" t="s">
        <v>49</v>
      </c>
    </row>
    <row r="21" spans="1:22" x14ac:dyDescent="0.3">
      <c r="A21" t="s">
        <v>31</v>
      </c>
      <c r="B21" t="s">
        <v>50</v>
      </c>
    </row>
    <row r="22" spans="1:22" x14ac:dyDescent="0.3">
      <c r="A22" t="s">
        <v>34</v>
      </c>
      <c r="B22" t="s">
        <v>51</v>
      </c>
      <c r="L22" t="s">
        <v>66</v>
      </c>
      <c r="M22" t="s">
        <v>67</v>
      </c>
      <c r="N22" t="s">
        <v>68</v>
      </c>
    </row>
    <row r="23" spans="1:22" x14ac:dyDescent="0.3">
      <c r="A23" t="s">
        <v>35</v>
      </c>
      <c r="B23" t="s">
        <v>52</v>
      </c>
    </row>
    <row r="24" spans="1:22" x14ac:dyDescent="0.3">
      <c r="A24" t="s">
        <v>36</v>
      </c>
      <c r="B24" t="s">
        <v>53</v>
      </c>
      <c r="V24" t="s">
        <v>74</v>
      </c>
    </row>
    <row r="25" spans="1:22" x14ac:dyDescent="0.3">
      <c r="A25" t="s">
        <v>37</v>
      </c>
      <c r="B25" t="s">
        <v>54</v>
      </c>
      <c r="V25">
        <v>18.7</v>
      </c>
    </row>
    <row r="26" spans="1:22" x14ac:dyDescent="0.3">
      <c r="A26" t="s">
        <v>38</v>
      </c>
      <c r="B26" t="s">
        <v>55</v>
      </c>
    </row>
    <row r="27" spans="1:22" x14ac:dyDescent="0.3">
      <c r="A27" t="s">
        <v>39</v>
      </c>
      <c r="B27" t="s">
        <v>56</v>
      </c>
      <c r="L27" t="s">
        <v>75</v>
      </c>
      <c r="M27" t="s">
        <v>70</v>
      </c>
      <c r="N27" t="s">
        <v>71</v>
      </c>
      <c r="O27" t="s">
        <v>72</v>
      </c>
      <c r="P27" t="s">
        <v>73</v>
      </c>
      <c r="Q27" t="s">
        <v>76</v>
      </c>
    </row>
    <row r="28" spans="1:22" x14ac:dyDescent="0.3">
      <c r="A28" t="s">
        <v>40</v>
      </c>
      <c r="B28" t="s">
        <v>57</v>
      </c>
      <c r="M28">
        <f>D2/(0.305 * C2/5695 * 10^3)</f>
        <v>1.1296639344262294</v>
      </c>
      <c r="N28">
        <f>0.305 * C2/5695 * 10^3</f>
        <v>0.32133450395083407</v>
      </c>
      <c r="P28">
        <f>C2/D2</f>
        <v>16.528925619834713</v>
      </c>
      <c r="Q28">
        <f>5.695*D2/0.305</f>
        <v>6.7779836065573775</v>
      </c>
    </row>
    <row r="29" spans="1:22" x14ac:dyDescent="0.3">
      <c r="A29" t="s">
        <v>41</v>
      </c>
      <c r="B29" t="s">
        <v>58</v>
      </c>
    </row>
    <row r="30" spans="1:22" x14ac:dyDescent="0.3">
      <c r="A30" t="s">
        <v>43</v>
      </c>
      <c r="B30" t="s">
        <v>59</v>
      </c>
    </row>
    <row r="31" spans="1:22" x14ac:dyDescent="0.3">
      <c r="A31" t="s">
        <v>24</v>
      </c>
      <c r="B31" t="s">
        <v>61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Ferdinand Hubbard</dc:creator>
  <cp:lastModifiedBy>Ferdinand Hubbard</cp:lastModifiedBy>
  <dcterms:created xsi:type="dcterms:W3CDTF">2015-06-05T18:17:20Z</dcterms:created>
  <dcterms:modified xsi:type="dcterms:W3CDTF">2021-04-06T21:59:50Z</dcterms:modified>
</cp:coreProperties>
</file>