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ista Infomoney" sheetId="1" r:id="rId4"/>
    <sheet state="visible" name="Lista Oficial" sheetId="2" r:id="rId5"/>
    <sheet state="visible" name="Regex" sheetId="3" r:id="rId6"/>
    <sheet state="visible" name="Vtracker" sheetId="4" r:id="rId7"/>
    <sheet state="visible" name="FIIs" sheetId="5" r:id="rId8"/>
    <sheet state="visible" name="Operador Lógico" sheetId="6" r:id="rId9"/>
  </sheets>
  <definedNames>
    <definedName hidden="1" localSheetId="0" name="_xlnm._FilterDatabase">'Lista Infomoney'!$A$1:$I$327</definedName>
    <definedName hidden="1" localSheetId="1" name="_xlnm._FilterDatabase">'Lista Oficial'!$A$1:$M$533</definedName>
    <definedName hidden="1" localSheetId="2" name="_xlnm._FilterDatabase">Regex!$A$1:$V$533</definedName>
    <definedName hidden="1" localSheetId="5" name="_xlnm._FilterDatabase">'Operador Lógico'!$A$1:$W$533</definedName>
    <definedName hidden="1" localSheetId="1" name="Z_AAB0FE73_7724_42EF_8104_7F9501FD80CF_.wvu.FilterData">'Lista Oficial'!$A$1:$L$500</definedName>
    <definedName hidden="1" localSheetId="2" name="Z_AAB0FE73_7724_42EF_8104_7F9501FD80CF_.wvu.FilterData">Regex!$A$1:$L$500</definedName>
    <definedName hidden="1" localSheetId="5" name="Z_AAB0FE73_7724_42EF_8104_7F9501FD80CF_.wvu.FilterData">'Operador Lógico'!$A$1:$L$500</definedName>
    <definedName hidden="1" localSheetId="1" name="Z_B6B21839_C3D4_4CE6_9153_5B03C56252CC_.wvu.FilterData">'Lista Oficial'!$A$1:$M$425</definedName>
    <definedName hidden="1" localSheetId="2" name="Z_B6B21839_C3D4_4CE6_9153_5B03C56252CC_.wvu.FilterData">Regex!$A$1:$M$425</definedName>
    <definedName hidden="1" localSheetId="5" name="Z_B6B21839_C3D4_4CE6_9153_5B03C56252CC_.wvu.FilterData">'Operador Lógico'!$A$1:$M$425</definedName>
  </definedNames>
  <calcPr/>
  <customWorkbookViews>
    <customWorkbookView activeSheetId="0" maximized="1" windowHeight="0" windowWidth="0" guid="{B6B21839-C3D4-4CE6-9153-5B03C56252CC}" name="Caio"/>
    <customWorkbookView activeSheetId="0" maximized="1" windowHeight="0" windowWidth="0" guid="{AAB0FE73-7724-42EF-8104-7F9501FD80CF}" name="Luís"/>
  </customWorkbookViews>
</workbook>
</file>

<file path=xl/comments1.xml><?xml version="1.0" encoding="utf-8"?>
<comments xmlns:r="http://schemas.openxmlformats.org/officeDocument/2006/relationships" xmlns="http://schemas.openxmlformats.org/spreadsheetml/2006/main">
  <authors>
    <author/>
  </authors>
  <commentList>
    <comment authorId="0" ref="H210">
      <text>
        <t xml:space="preserve">No site da B3 não consta nenhum código dentro da página da Unidas, mas pelo que eu vi em outros sites ela se juntou a Locamerica e utilizam esse código de ações
	-Pedro Faray</t>
      </text>
    </comment>
  </commentList>
</comments>
</file>

<file path=xl/sharedStrings.xml><?xml version="1.0" encoding="utf-8"?>
<sst xmlns="http://schemas.openxmlformats.org/spreadsheetml/2006/main" count="16069" uniqueCount="4814">
  <si>
    <t>Categoria</t>
  </si>
  <si>
    <t>Nome da empresa</t>
  </si>
  <si>
    <t>Ativos</t>
  </si>
  <si>
    <t>Lista Oficial</t>
  </si>
  <si>
    <t>Bens industriais</t>
  </si>
  <si>
    <t>Compass</t>
  </si>
  <si>
    <t>PASS3</t>
  </si>
  <si>
    <t>Boa Vista SCPC</t>
  </si>
  <si>
    <t>BOAS3</t>
  </si>
  <si>
    <t>Melnick</t>
  </si>
  <si>
    <t>MELK3</t>
  </si>
  <si>
    <t>Hidrovias do Brasil</t>
  </si>
  <si>
    <t>HBSA3</t>
  </si>
  <si>
    <t>Simpar</t>
  </si>
  <si>
    <t>SIMH3F</t>
  </si>
  <si>
    <t>SIMH3</t>
  </si>
  <si>
    <t>CURY S/A</t>
  </si>
  <si>
    <t>CURY3</t>
  </si>
  <si>
    <t>Plano &amp; Plano</t>
  </si>
  <si>
    <t>PLPL3</t>
  </si>
  <si>
    <t>Petz</t>
  </si>
  <si>
    <t>PETZ3</t>
  </si>
  <si>
    <t>Pague Menos</t>
  </si>
  <si>
    <t>PGMN3</t>
  </si>
  <si>
    <t>Lavvi Incorporadora</t>
  </si>
  <si>
    <t>LAVV3</t>
  </si>
  <si>
    <t>Quero-Quero</t>
  </si>
  <si>
    <t>LJQQ3</t>
  </si>
  <si>
    <t>D1000VFARMA</t>
  </si>
  <si>
    <t>DMVF3</t>
  </si>
  <si>
    <t>Grupo Soma</t>
  </si>
  <si>
    <t>SOMA3</t>
  </si>
  <si>
    <t>Riva 9</t>
  </si>
  <si>
    <t>RIVA3</t>
  </si>
  <si>
    <t>Ambipar</t>
  </si>
  <si>
    <t>AMBP3</t>
  </si>
  <si>
    <t>ESTAPAR</t>
  </si>
  <si>
    <t>ALPK3</t>
  </si>
  <si>
    <t>Mitre Realty</t>
  </si>
  <si>
    <t>MTRE3</t>
  </si>
  <si>
    <t>Moura Dubeux</t>
  </si>
  <si>
    <t>MDNE3</t>
  </si>
  <si>
    <t>Bardella</t>
  </si>
  <si>
    <t>BDLL4F</t>
  </si>
  <si>
    <t>BDLL3F</t>
  </si>
  <si>
    <t>UPS</t>
  </si>
  <si>
    <t>UPSS34F</t>
  </si>
  <si>
    <t>UPSS34</t>
  </si>
  <si>
    <t>Lockheed</t>
  </si>
  <si>
    <t>LMTB34F</t>
  </si>
  <si>
    <t>LMTB34</t>
  </si>
  <si>
    <t>Johnson</t>
  </si>
  <si>
    <t>JNJB34F</t>
  </si>
  <si>
    <t>FEDEX CORPORATION</t>
  </si>
  <si>
    <t>FDXB34F</t>
  </si>
  <si>
    <t>FDXB34</t>
  </si>
  <si>
    <t>Exxon Mobile</t>
  </si>
  <si>
    <t>EXXO34F</t>
  </si>
  <si>
    <t>Caterpillar</t>
  </si>
  <si>
    <t>CATP34F</t>
  </si>
  <si>
    <t>Bristolmyers</t>
  </si>
  <si>
    <t>BMYB34F</t>
  </si>
  <si>
    <t>Boeing</t>
  </si>
  <si>
    <t>BOEI34F</t>
  </si>
  <si>
    <t>ARCELORMITTAL</t>
  </si>
  <si>
    <t>ARMT34F</t>
  </si>
  <si>
    <t>American Express</t>
  </si>
  <si>
    <t>AXPB34F</t>
  </si>
  <si>
    <t>Abbott Laboratories</t>
  </si>
  <si>
    <t>ABTT34F</t>
  </si>
  <si>
    <t>Santos Brasil Participações</t>
  </si>
  <si>
    <t>STBP3F</t>
  </si>
  <si>
    <t>Randon Part</t>
  </si>
  <si>
    <t>RAPT3F</t>
  </si>
  <si>
    <t>RAPT4F</t>
  </si>
  <si>
    <t>RAPT4</t>
  </si>
  <si>
    <t>RAPT3</t>
  </si>
  <si>
    <t>ENGIE BRASIL</t>
  </si>
  <si>
    <t>EGIE3F</t>
  </si>
  <si>
    <t>MMX Mineração</t>
  </si>
  <si>
    <t>MMXM11F</t>
  </si>
  <si>
    <t>MMXM3F</t>
  </si>
  <si>
    <t>Lupatech</t>
  </si>
  <si>
    <t>LUPA3F</t>
  </si>
  <si>
    <t>LUPA3</t>
  </si>
  <si>
    <t>Inepar</t>
  </si>
  <si>
    <t>INEP4F</t>
  </si>
  <si>
    <t>INEP3F</t>
  </si>
  <si>
    <t>INEP4</t>
  </si>
  <si>
    <t>INEP3</t>
  </si>
  <si>
    <t>Ger Paranapanema</t>
  </si>
  <si>
    <t>GEPA4F</t>
  </si>
  <si>
    <t>GEPA3F</t>
  </si>
  <si>
    <t>Fras-Le</t>
  </si>
  <si>
    <t>FRAS3F</t>
  </si>
  <si>
    <t>FRAS3</t>
  </si>
  <si>
    <t>Afluente T</t>
  </si>
  <si>
    <t>AFLT3F</t>
  </si>
  <si>
    <t>Schulz</t>
  </si>
  <si>
    <t>SHUL4F</t>
  </si>
  <si>
    <t>SHUL4</t>
  </si>
  <si>
    <t>SHUL3</t>
  </si>
  <si>
    <t>Suzano Holding</t>
  </si>
  <si>
    <t>NEMO5F</t>
  </si>
  <si>
    <t>Taurus Armas</t>
  </si>
  <si>
    <t>TASA4F</t>
  </si>
  <si>
    <t>TASA3F</t>
  </si>
  <si>
    <t>TASA4</t>
  </si>
  <si>
    <t>TASA3</t>
  </si>
  <si>
    <t>Tecnisa</t>
  </si>
  <si>
    <t>TCSA3F</t>
  </si>
  <si>
    <t>Unipar</t>
  </si>
  <si>
    <t>UNIP3F</t>
  </si>
  <si>
    <t>Whirpool</t>
  </si>
  <si>
    <t>WHRL4F</t>
  </si>
  <si>
    <t>WHRL3F</t>
  </si>
  <si>
    <t>Ourofino S/A</t>
  </si>
  <si>
    <t>OFSA3F</t>
  </si>
  <si>
    <t>GOL</t>
  </si>
  <si>
    <t>GOLL11</t>
  </si>
  <si>
    <t>GOL4F</t>
  </si>
  <si>
    <t>GOLL4</t>
  </si>
  <si>
    <t>Eternit</t>
  </si>
  <si>
    <t>ETER3F</t>
  </si>
  <si>
    <t>ETER3</t>
  </si>
  <si>
    <t>Valid</t>
  </si>
  <si>
    <t>VLID3F</t>
  </si>
  <si>
    <t>VLID3</t>
  </si>
  <si>
    <t>Triunfo Part</t>
  </si>
  <si>
    <t>TPIS3F</t>
  </si>
  <si>
    <t>TPIS3</t>
  </si>
  <si>
    <t>PORTOBELLO</t>
  </si>
  <si>
    <t>PTBL3F</t>
  </si>
  <si>
    <t>Marcopolo</t>
  </si>
  <si>
    <t>POMO4F</t>
  </si>
  <si>
    <t>POMO3F</t>
  </si>
  <si>
    <t>POMO4</t>
  </si>
  <si>
    <t>POMO3</t>
  </si>
  <si>
    <t>Cosan Log</t>
  </si>
  <si>
    <t>RLOG3F</t>
  </si>
  <si>
    <t>RLOG3</t>
  </si>
  <si>
    <t>Aço Altona</t>
  </si>
  <si>
    <t>EALT3F</t>
  </si>
  <si>
    <t>EALT4F</t>
  </si>
  <si>
    <t>Eneva</t>
  </si>
  <si>
    <t>ENEV3F</t>
  </si>
  <si>
    <t>ENEV3</t>
  </si>
  <si>
    <t>Banco Pan</t>
  </si>
  <si>
    <t>BPAN4F</t>
  </si>
  <si>
    <t>Weg</t>
  </si>
  <si>
    <t>WEGE3F</t>
  </si>
  <si>
    <t>WEGE3</t>
  </si>
  <si>
    <t>VIA VAREJO</t>
  </si>
  <si>
    <t>VVAR3F</t>
  </si>
  <si>
    <t>RUMO S.A.</t>
  </si>
  <si>
    <t>RAIL3F</t>
  </si>
  <si>
    <t>RAIL3</t>
  </si>
  <si>
    <t>Vale</t>
  </si>
  <si>
    <t>VALE3</t>
  </si>
  <si>
    <t>Usiminas</t>
  </si>
  <si>
    <t>USIM6</t>
  </si>
  <si>
    <t>USIM5</t>
  </si>
  <si>
    <t>USIM3</t>
  </si>
  <si>
    <t>STBP3</t>
  </si>
  <si>
    <t>Invepar</t>
  </si>
  <si>
    <t>Consumo Cíclico</t>
  </si>
  <si>
    <t>Cedro</t>
  </si>
  <si>
    <t>CEDO4F</t>
  </si>
  <si>
    <t>CEDO3F</t>
  </si>
  <si>
    <t>Netflix</t>
  </si>
  <si>
    <t>NFLX34F</t>
  </si>
  <si>
    <t>NFLX34</t>
  </si>
  <si>
    <t>Nike</t>
  </si>
  <si>
    <t>NIKE34F</t>
  </si>
  <si>
    <t>NIKE34</t>
  </si>
  <si>
    <t>MC Donald's</t>
  </si>
  <si>
    <t>MCDC34F</t>
  </si>
  <si>
    <t>MCDC34</t>
  </si>
  <si>
    <t>Home Depot</t>
  </si>
  <si>
    <t>HOME34F</t>
  </si>
  <si>
    <t>HOME34</t>
  </si>
  <si>
    <t>Ford Motors</t>
  </si>
  <si>
    <t>FDMO34F</t>
  </si>
  <si>
    <t>FDMO34</t>
  </si>
  <si>
    <t>Comcast</t>
  </si>
  <si>
    <t>CMCS34F</t>
  </si>
  <si>
    <t>Amazon</t>
  </si>
  <si>
    <t>AMZO34F</t>
  </si>
  <si>
    <t>Rodobens</t>
  </si>
  <si>
    <t>RDNI3F</t>
  </si>
  <si>
    <t>RDNI3</t>
  </si>
  <si>
    <t>Saraiva Livr</t>
  </si>
  <si>
    <t>SLED4F</t>
  </si>
  <si>
    <t>SLED3F</t>
  </si>
  <si>
    <t>SLED3</t>
  </si>
  <si>
    <t>Rossi Resid</t>
  </si>
  <si>
    <t>RSID3F</t>
  </si>
  <si>
    <t>RSID3</t>
  </si>
  <si>
    <t>Mundial</t>
  </si>
  <si>
    <t>MNDL3F</t>
  </si>
  <si>
    <t>MNDL3</t>
  </si>
  <si>
    <t>Metal Leve</t>
  </si>
  <si>
    <t>LEVE3F</t>
  </si>
  <si>
    <t>LEVE3</t>
  </si>
  <si>
    <t>Karsten</t>
  </si>
  <si>
    <t>CTKA4F</t>
  </si>
  <si>
    <t>CTKA3F</t>
  </si>
  <si>
    <t>CTKA4</t>
  </si>
  <si>
    <t>CTKA3</t>
  </si>
  <si>
    <t>Iochpe-Maxion</t>
  </si>
  <si>
    <t>MYPK3F</t>
  </si>
  <si>
    <t>MYPK3</t>
  </si>
  <si>
    <t>Grendene</t>
  </si>
  <si>
    <t>GRND3F</t>
  </si>
  <si>
    <t>GRND3</t>
  </si>
  <si>
    <t>Locamerica</t>
  </si>
  <si>
    <t>LCAM3F</t>
  </si>
  <si>
    <t>LCAM3</t>
  </si>
  <si>
    <t>C&amp;A</t>
  </si>
  <si>
    <t>CEAB3</t>
  </si>
  <si>
    <t>Le Lis Blanc</t>
  </si>
  <si>
    <t>LLIS3F</t>
  </si>
  <si>
    <t>LLIS3</t>
  </si>
  <si>
    <t>Grazziotin</t>
  </si>
  <si>
    <t>CGRA3F</t>
  </si>
  <si>
    <t>CGRA4F</t>
  </si>
  <si>
    <t>CGRA4</t>
  </si>
  <si>
    <t>CGRA3</t>
  </si>
  <si>
    <t>Estrela</t>
  </si>
  <si>
    <t>ESTR4F</t>
  </si>
  <si>
    <t>ESTR3F</t>
  </si>
  <si>
    <t>ESTR4</t>
  </si>
  <si>
    <t>ESTR3</t>
  </si>
  <si>
    <t>Direcional</t>
  </si>
  <si>
    <t>DIRR3F</t>
  </si>
  <si>
    <t>DIRR3</t>
  </si>
  <si>
    <t>Coteminas</t>
  </si>
  <si>
    <t>CTNM3F</t>
  </si>
  <si>
    <t>CTNM4F</t>
  </si>
  <si>
    <t>CTNM4</t>
  </si>
  <si>
    <t>CTNM3</t>
  </si>
  <si>
    <t>Anima</t>
  </si>
  <si>
    <t>ANIM3F</t>
  </si>
  <si>
    <t>Even</t>
  </si>
  <si>
    <t>EVEN3F</t>
  </si>
  <si>
    <t>EVEN3</t>
  </si>
  <si>
    <t>LOJAS MARISA</t>
  </si>
  <si>
    <t>AMAR3F</t>
  </si>
  <si>
    <t>AMAR3</t>
  </si>
  <si>
    <t>Movida</t>
  </si>
  <si>
    <t>MOVI3F</t>
  </si>
  <si>
    <t>MOVI3</t>
  </si>
  <si>
    <t>JHSF</t>
  </si>
  <si>
    <t>JHSF3F</t>
  </si>
  <si>
    <t>JHSF3</t>
  </si>
  <si>
    <t>Helbor</t>
  </si>
  <si>
    <t>HBOR3F</t>
  </si>
  <si>
    <t>HBOR3</t>
  </si>
  <si>
    <t>PDG Realty</t>
  </si>
  <si>
    <t>PDGR3F</t>
  </si>
  <si>
    <t>PDGR3</t>
  </si>
  <si>
    <t>AREZZO CO</t>
  </si>
  <si>
    <t>ARZZ3F</t>
  </si>
  <si>
    <t>Ez Tec</t>
  </si>
  <si>
    <t>EZTC3F</t>
  </si>
  <si>
    <t>EZTC3</t>
  </si>
  <si>
    <t>Cia Hering</t>
  </si>
  <si>
    <t>HGTX3F</t>
  </si>
  <si>
    <t>Alpargatas</t>
  </si>
  <si>
    <t>ALPA3F</t>
  </si>
  <si>
    <t>ALPA4F</t>
  </si>
  <si>
    <t>Smiles</t>
  </si>
  <si>
    <t>SMLS3F</t>
  </si>
  <si>
    <t>SMLS3</t>
  </si>
  <si>
    <t>Localiza</t>
  </si>
  <si>
    <t>RENT3F</t>
  </si>
  <si>
    <t>RENT3</t>
  </si>
  <si>
    <t>MRV Engenharia</t>
  </si>
  <si>
    <t>MRVE3F</t>
  </si>
  <si>
    <t>MRVE3</t>
  </si>
  <si>
    <t>Magazine Luiza</t>
  </si>
  <si>
    <t>MGLU3F</t>
  </si>
  <si>
    <t>MGLU3</t>
  </si>
  <si>
    <t>Lojas Renner</t>
  </si>
  <si>
    <t>LREN3F</t>
  </si>
  <si>
    <t>LREN3</t>
  </si>
  <si>
    <t>Cogna</t>
  </si>
  <si>
    <t>COGN3F</t>
  </si>
  <si>
    <t>COGN3</t>
  </si>
  <si>
    <t>WHRL4</t>
  </si>
  <si>
    <t>WHRL3</t>
  </si>
  <si>
    <t>Via Varejo</t>
  </si>
  <si>
    <t>VVAR3</t>
  </si>
  <si>
    <t>TCSA3</t>
  </si>
  <si>
    <t>Starbucks</t>
  </si>
  <si>
    <t>SBUB34</t>
  </si>
  <si>
    <t>Ser Educacional</t>
  </si>
  <si>
    <t>SEER3</t>
  </si>
  <si>
    <t>Saraiva livr</t>
  </si>
  <si>
    <t>SLED4</t>
  </si>
  <si>
    <t>Lojas Americanas</t>
  </si>
  <si>
    <t>LAME4F</t>
  </si>
  <si>
    <t>LAME4</t>
  </si>
  <si>
    <t>LAME3F</t>
  </si>
  <si>
    <t>LAME3</t>
  </si>
  <si>
    <t>Hoteis Othon</t>
  </si>
  <si>
    <t>HOOT4</t>
  </si>
  <si>
    <t>Gafisa</t>
  </si>
  <si>
    <t>GFSA3</t>
  </si>
  <si>
    <t>GFSA3F</t>
  </si>
  <si>
    <t>YDUQS</t>
  </si>
  <si>
    <t>YDUQ3</t>
  </si>
  <si>
    <t>Cyrela Realty</t>
  </si>
  <si>
    <t>CYRE3</t>
  </si>
  <si>
    <t>CVC BRASIL</t>
  </si>
  <si>
    <t>CVCB3</t>
  </si>
  <si>
    <t>Consumo Não Cíclico</t>
  </si>
  <si>
    <t>WALMART INC.</t>
  </si>
  <si>
    <t>WALM34F</t>
  </si>
  <si>
    <t>WALM34</t>
  </si>
  <si>
    <t>SBUB34F</t>
  </si>
  <si>
    <t>PROCTER &amp; GAMBLE COMPANY</t>
  </si>
  <si>
    <t>PGCO34F</t>
  </si>
  <si>
    <t>Pepsico Inc</t>
  </si>
  <si>
    <t>PEPB34F</t>
  </si>
  <si>
    <t>PEPB34</t>
  </si>
  <si>
    <t>Colgate</t>
  </si>
  <si>
    <t>COLG34F</t>
  </si>
  <si>
    <t>COLG34</t>
  </si>
  <si>
    <t>Coca-Cola</t>
  </si>
  <si>
    <t>COCA34F</t>
  </si>
  <si>
    <t>COCA34</t>
  </si>
  <si>
    <t>Avon</t>
  </si>
  <si>
    <t>AVON34F</t>
  </si>
  <si>
    <t>AVON34</t>
  </si>
  <si>
    <t>São Martinho</t>
  </si>
  <si>
    <t>SMTO3F</t>
  </si>
  <si>
    <t>SMTO3</t>
  </si>
  <si>
    <t>MDiasBranco</t>
  </si>
  <si>
    <t>MDIA3F</t>
  </si>
  <si>
    <t>MDIA3</t>
  </si>
  <si>
    <t>CAMIL</t>
  </si>
  <si>
    <t>CAML3F</t>
  </si>
  <si>
    <t>CAML3</t>
  </si>
  <si>
    <t>Brasilagro</t>
  </si>
  <si>
    <t>AGRO3F</t>
  </si>
  <si>
    <t>AGRO3</t>
  </si>
  <si>
    <t>Biosev</t>
  </si>
  <si>
    <t>BSEV3F</t>
  </si>
  <si>
    <t>BSEV3</t>
  </si>
  <si>
    <t>Minerva</t>
  </si>
  <si>
    <t>BEEF3F</t>
  </si>
  <si>
    <t>BEEF3</t>
  </si>
  <si>
    <t>BEEF11</t>
  </si>
  <si>
    <t>VIVARA S.A.</t>
  </si>
  <si>
    <t>VIVA3</t>
  </si>
  <si>
    <t>Carrefour</t>
  </si>
  <si>
    <t>CRFB3F</t>
  </si>
  <si>
    <t>CRFB3</t>
  </si>
  <si>
    <t>Pão de Açúcar</t>
  </si>
  <si>
    <t>PCAR3F</t>
  </si>
  <si>
    <t>PCAR4F</t>
  </si>
  <si>
    <t>PCAR3</t>
  </si>
  <si>
    <t>GRUPO NATURA</t>
  </si>
  <si>
    <t>NTCO3F</t>
  </si>
  <si>
    <t>NTCO3</t>
  </si>
  <si>
    <t>Marfrig</t>
  </si>
  <si>
    <t>MRFG3F</t>
  </si>
  <si>
    <t>MRFG3</t>
  </si>
  <si>
    <t>JBS</t>
  </si>
  <si>
    <t>JBSS3F</t>
  </si>
  <si>
    <t>JBSS3</t>
  </si>
  <si>
    <t>PGCO34</t>
  </si>
  <si>
    <t>BRF</t>
  </si>
  <si>
    <t>BRFS3</t>
  </si>
  <si>
    <t>Financeiro</t>
  </si>
  <si>
    <t>BRB Banco</t>
  </si>
  <si>
    <t>BSLI4F</t>
  </si>
  <si>
    <t>BSLI3F</t>
  </si>
  <si>
    <t>BSLI4</t>
  </si>
  <si>
    <t>BSLI3</t>
  </si>
  <si>
    <t>Battistella</t>
  </si>
  <si>
    <t>BTTL3F</t>
  </si>
  <si>
    <t>BTTL3</t>
  </si>
  <si>
    <t>Banpara</t>
  </si>
  <si>
    <t>BPAR3F</t>
  </si>
  <si>
    <t>BPAR3</t>
  </si>
  <si>
    <t>Wells Fargo</t>
  </si>
  <si>
    <t>WFCO34F</t>
  </si>
  <si>
    <t>WFCO34</t>
  </si>
  <si>
    <t>Visa</t>
  </si>
  <si>
    <t>VISA34F</t>
  </si>
  <si>
    <t>VISA34</t>
  </si>
  <si>
    <t>Morgan Stanley</t>
  </si>
  <si>
    <t>MSBR34F</t>
  </si>
  <si>
    <t>MSBR34</t>
  </si>
  <si>
    <t>Mastercard</t>
  </si>
  <si>
    <t>MSCD34F</t>
  </si>
  <si>
    <t>MSCD34</t>
  </si>
  <si>
    <t>JPMorgan</t>
  </si>
  <si>
    <t>JPMC34F</t>
  </si>
  <si>
    <t>JPMC34</t>
  </si>
  <si>
    <t>Honeywell</t>
  </si>
  <si>
    <t>HONB34F</t>
  </si>
  <si>
    <t>HONB34</t>
  </si>
  <si>
    <t>GE</t>
  </si>
  <si>
    <t>GEOO34F</t>
  </si>
  <si>
    <t>GEOO34</t>
  </si>
  <si>
    <t>Goldman Sachs</t>
  </si>
  <si>
    <t>GSGI34F</t>
  </si>
  <si>
    <t>GSGI34</t>
  </si>
  <si>
    <t>Citigroup</t>
  </si>
  <si>
    <t>CTGP34F</t>
  </si>
  <si>
    <t>CTGP34</t>
  </si>
  <si>
    <t>Bank America</t>
  </si>
  <si>
    <t>BOAC34F</t>
  </si>
  <si>
    <t>BOAC34</t>
  </si>
  <si>
    <t>3M</t>
  </si>
  <si>
    <t>MMMC34F</t>
  </si>
  <si>
    <t>MMMC34</t>
  </si>
  <si>
    <t>Sao Carlos</t>
  </si>
  <si>
    <t>SCAR3F</t>
  </si>
  <si>
    <t>SCAR3</t>
  </si>
  <si>
    <t>LOPES BRASIL</t>
  </si>
  <si>
    <t>LPSB3F</t>
  </si>
  <si>
    <t>LPSB3</t>
  </si>
  <si>
    <t>BMG</t>
  </si>
  <si>
    <t>BMGB11</t>
  </si>
  <si>
    <t>BMGB4</t>
  </si>
  <si>
    <t>Gradiente</t>
  </si>
  <si>
    <t>IGBR3F</t>
  </si>
  <si>
    <t>IGBR3</t>
  </si>
  <si>
    <t>General Shopping</t>
  </si>
  <si>
    <t>GSHP3F</t>
  </si>
  <si>
    <t>GSHP3</t>
  </si>
  <si>
    <t>Porto Seguro</t>
  </si>
  <si>
    <t>PSSA3F</t>
  </si>
  <si>
    <t>PSSA3</t>
  </si>
  <si>
    <t>CSU CardSyst</t>
  </si>
  <si>
    <t>CARD3F</t>
  </si>
  <si>
    <t>CARD3</t>
  </si>
  <si>
    <t>Brasil Brokers</t>
  </si>
  <si>
    <t>BBRK3F</t>
  </si>
  <si>
    <t>BBRK3</t>
  </si>
  <si>
    <t>BR Properties</t>
  </si>
  <si>
    <t>BRPR3F</t>
  </si>
  <si>
    <t>BRPR3</t>
  </si>
  <si>
    <t>Banrisul</t>
  </si>
  <si>
    <t>BRSR6F</t>
  </si>
  <si>
    <t>BRSR5F</t>
  </si>
  <si>
    <t>BRSR3F</t>
  </si>
  <si>
    <t>BRSR6</t>
  </si>
  <si>
    <t>BRSR5</t>
  </si>
  <si>
    <t>BRSR3</t>
  </si>
  <si>
    <t>Banco Inter</t>
  </si>
  <si>
    <t>BIDI3</t>
  </si>
  <si>
    <t>BIDI11</t>
  </si>
  <si>
    <t>BIDI4</t>
  </si>
  <si>
    <t>Santander BR</t>
  </si>
  <si>
    <t>SANB4F</t>
  </si>
  <si>
    <t>SANB3F</t>
  </si>
  <si>
    <t>SANB11F</t>
  </si>
  <si>
    <t>SANB4</t>
  </si>
  <si>
    <t>SANB3</t>
  </si>
  <si>
    <t>SANB11</t>
  </si>
  <si>
    <t>Multiplan</t>
  </si>
  <si>
    <t>MULT3F</t>
  </si>
  <si>
    <t>MULT3</t>
  </si>
  <si>
    <t>Itaú Unibanco</t>
  </si>
  <si>
    <t>ITUB3F</t>
  </si>
  <si>
    <t>ITUB4</t>
  </si>
  <si>
    <t>ITUB3</t>
  </si>
  <si>
    <t>ITUB4F</t>
  </si>
  <si>
    <t>Aliansce Sonae</t>
  </si>
  <si>
    <t>ALSO3</t>
  </si>
  <si>
    <t>Banco Mercantil de Investimentos</t>
  </si>
  <si>
    <t>BMIN3</t>
  </si>
  <si>
    <t>Mercantil do Brasil Financeira</t>
  </si>
  <si>
    <t>MERC4</t>
  </si>
  <si>
    <t>Log</t>
  </si>
  <si>
    <t>LOGG3</t>
  </si>
  <si>
    <t>Itaúsa</t>
  </si>
  <si>
    <t>ITSA4F</t>
  </si>
  <si>
    <t>ITSA4</t>
  </si>
  <si>
    <t>ITSA3F</t>
  </si>
  <si>
    <t>IRB Brasil RE</t>
  </si>
  <si>
    <t>IRBR3</t>
  </si>
  <si>
    <t>Iguatemi</t>
  </si>
  <si>
    <t>IGTA3</t>
  </si>
  <si>
    <t>Bradesco</t>
  </si>
  <si>
    <t>BBDC4F</t>
  </si>
  <si>
    <t>BBDC4</t>
  </si>
  <si>
    <t>BBDC3</t>
  </si>
  <si>
    <t>brMalls</t>
  </si>
  <si>
    <t>BRML3</t>
  </si>
  <si>
    <t>ALPER S.A.</t>
  </si>
  <si>
    <t>APER3F</t>
  </si>
  <si>
    <t>APER3</t>
  </si>
  <si>
    <t>BB Seguridade</t>
  </si>
  <si>
    <t>BBSE3</t>
  </si>
  <si>
    <t>BPAN4</t>
  </si>
  <si>
    <t>Banco do Brasil</t>
  </si>
  <si>
    <t>BBAS3F</t>
  </si>
  <si>
    <t>BBAS3</t>
  </si>
  <si>
    <t>BBAS12</t>
  </si>
  <si>
    <t>BBAS11</t>
  </si>
  <si>
    <t>AXPB34</t>
  </si>
  <si>
    <t>Materiais Básicos</t>
  </si>
  <si>
    <t>Celul Irani</t>
  </si>
  <si>
    <t>RANI3F</t>
  </si>
  <si>
    <t>RANI4F</t>
  </si>
  <si>
    <t>Freeport</t>
  </si>
  <si>
    <t>FCXO34F</t>
  </si>
  <si>
    <t>FCXO34</t>
  </si>
  <si>
    <t>Paranapanema</t>
  </si>
  <si>
    <t>PMAM3F</t>
  </si>
  <si>
    <t>PMAM3</t>
  </si>
  <si>
    <t>Ferbasa</t>
  </si>
  <si>
    <t>FESA4F</t>
  </si>
  <si>
    <t>FESA3F</t>
  </si>
  <si>
    <t>FESA4</t>
  </si>
  <si>
    <t>FESA3</t>
  </si>
  <si>
    <t>Eucatex</t>
  </si>
  <si>
    <t>EUCA4F</t>
  </si>
  <si>
    <t>EUCA3F</t>
  </si>
  <si>
    <t>EUCA4</t>
  </si>
  <si>
    <t>EUCA3</t>
  </si>
  <si>
    <t>Suzano Papel</t>
  </si>
  <si>
    <t>SUZB3F</t>
  </si>
  <si>
    <t>SUZB3</t>
  </si>
  <si>
    <t>Klabin S/A</t>
  </si>
  <si>
    <t>KLBN4F</t>
  </si>
  <si>
    <t>KLBN3F</t>
  </si>
  <si>
    <t>KLBN11F</t>
  </si>
  <si>
    <t>KLBN4</t>
  </si>
  <si>
    <t>KLBN3</t>
  </si>
  <si>
    <t>KLBN11</t>
  </si>
  <si>
    <t>VALE5</t>
  </si>
  <si>
    <t>UNIP6F</t>
  </si>
  <si>
    <t>UNIP6</t>
  </si>
  <si>
    <t>UNIP5F</t>
  </si>
  <si>
    <t>UNIP5</t>
  </si>
  <si>
    <t>UNIP3</t>
  </si>
  <si>
    <t>NEMO6</t>
  </si>
  <si>
    <t>NEMO5</t>
  </si>
  <si>
    <t>NEMO3</t>
  </si>
  <si>
    <t>MMXM3</t>
  </si>
  <si>
    <t>MMXM11</t>
  </si>
  <si>
    <t>Gerdau</t>
  </si>
  <si>
    <t>GOAU4</t>
  </si>
  <si>
    <t>CSN</t>
  </si>
  <si>
    <t>CSNA3F</t>
  </si>
  <si>
    <t>CSNA3</t>
  </si>
  <si>
    <t>Celulose Irani</t>
  </si>
  <si>
    <t>RANI4</t>
  </si>
  <si>
    <t>Braskem</t>
  </si>
  <si>
    <t>BRKM6</t>
  </si>
  <si>
    <t>BRKM5F</t>
  </si>
  <si>
    <t>BRKM5</t>
  </si>
  <si>
    <t>BRKM3</t>
  </si>
  <si>
    <t>Bradespar</t>
  </si>
  <si>
    <t>BRAP4F</t>
  </si>
  <si>
    <t>BRAP4</t>
  </si>
  <si>
    <t>BRAP3F</t>
  </si>
  <si>
    <t>BRAP3</t>
  </si>
  <si>
    <t>ARMT34</t>
  </si>
  <si>
    <t>Outros</t>
  </si>
  <si>
    <t>Zoetis Inc</t>
  </si>
  <si>
    <t>Z1TS34F</t>
  </si>
  <si>
    <t>Z1TS34</t>
  </si>
  <si>
    <t>Zionsbancorp</t>
  </si>
  <si>
    <t>Z1IO34F</t>
  </si>
  <si>
    <t>Z1IO34</t>
  </si>
  <si>
    <t>Zimmer Biome</t>
  </si>
  <si>
    <t>Z1BH34F</t>
  </si>
  <si>
    <t>Z1BH34</t>
  </si>
  <si>
    <t>Yum Brands</t>
  </si>
  <si>
    <t>YUMR34F</t>
  </si>
  <si>
    <t>YUMR34</t>
  </si>
  <si>
    <t>Dentsply Sir</t>
  </si>
  <si>
    <t>XRAY34F</t>
  </si>
  <si>
    <t>XRAY34</t>
  </si>
  <si>
    <t>Xylem Inc</t>
  </si>
  <si>
    <t>X1YL34F</t>
  </si>
  <si>
    <t>X1YL34</t>
  </si>
  <si>
    <t>Xilinx Inc</t>
  </si>
  <si>
    <t>X1LN34F</t>
  </si>
  <si>
    <t>X1LN34</t>
  </si>
  <si>
    <t>Xcel Energy</t>
  </si>
  <si>
    <t>X1EL34F</t>
  </si>
  <si>
    <t>X1EL34</t>
  </si>
  <si>
    <t>Westernunion</t>
  </si>
  <si>
    <t>WUNI34F</t>
  </si>
  <si>
    <t>WUNI34</t>
  </si>
  <si>
    <t>Walgreens</t>
  </si>
  <si>
    <t>WGBA34F</t>
  </si>
  <si>
    <t>WGBA34</t>
  </si>
  <si>
    <t>Waters Corp</t>
  </si>
  <si>
    <t>WATC34</t>
  </si>
  <si>
    <t>WATC34F</t>
  </si>
  <si>
    <t>Western Bcor</t>
  </si>
  <si>
    <t>WABC34F</t>
  </si>
  <si>
    <t>WABC34</t>
  </si>
  <si>
    <t>Wynn Resorts</t>
  </si>
  <si>
    <t>W1YN34F</t>
  </si>
  <si>
    <t>W1YN34</t>
  </si>
  <si>
    <t>Weyerhaeuser</t>
  </si>
  <si>
    <t>W1YC34F</t>
  </si>
  <si>
    <t>W1YC34</t>
  </si>
  <si>
    <t>Westrock Co</t>
  </si>
  <si>
    <t>W1RK34F</t>
  </si>
  <si>
    <t>W1RK34</t>
  </si>
  <si>
    <t>Waste Manag</t>
  </si>
  <si>
    <t>W1MC34F</t>
  </si>
  <si>
    <t>W1MC34</t>
  </si>
  <si>
    <t>Williams Cos</t>
  </si>
  <si>
    <t>W1MB34F</t>
  </si>
  <si>
    <t>W1MB34</t>
  </si>
  <si>
    <t>Willis Tower</t>
  </si>
  <si>
    <t>W1LT34F</t>
  </si>
  <si>
    <t>W1LT34</t>
  </si>
  <si>
    <t>Whirlpool Co</t>
  </si>
  <si>
    <t>W1HR34F</t>
  </si>
  <si>
    <t>W1HR34</t>
  </si>
  <si>
    <t>Welltower In</t>
  </si>
  <si>
    <t>W1EL34F</t>
  </si>
  <si>
    <t>W1EL34</t>
  </si>
  <si>
    <t>Wec Energy G</t>
  </si>
  <si>
    <t>W1EC34F</t>
  </si>
  <si>
    <t>W1EC34</t>
  </si>
  <si>
    <t>Western Dig</t>
  </si>
  <si>
    <t>W1DC34F</t>
  </si>
  <si>
    <t>W1DC34</t>
  </si>
  <si>
    <t>Workday Inc</t>
  </si>
  <si>
    <t>W1DA34F</t>
  </si>
  <si>
    <t>W1DA34</t>
  </si>
  <si>
    <t>Wabtec Corp</t>
  </si>
  <si>
    <t>W1AB34F</t>
  </si>
  <si>
    <t>W1AB34</t>
  </si>
  <si>
    <t>Vertex Pharm</t>
  </si>
  <si>
    <t>VRTX34F</t>
  </si>
  <si>
    <t>VRTX34</t>
  </si>
  <si>
    <t>Verising Inc</t>
  </si>
  <si>
    <t>VRSN34F</t>
  </si>
  <si>
    <t>VRSN34</t>
  </si>
  <si>
    <t>Valley Ntion</t>
  </si>
  <si>
    <t>VLYB34F</t>
  </si>
  <si>
    <t>VLYB34</t>
  </si>
  <si>
    <t>Valero Ener</t>
  </si>
  <si>
    <t>VLOE34F</t>
  </si>
  <si>
    <t>VLOE34</t>
  </si>
  <si>
    <t>Vf Corp</t>
  </si>
  <si>
    <t>VFCO34F</t>
  </si>
  <si>
    <t>VFCO34</t>
  </si>
  <si>
    <t>Ventas Inc</t>
  </si>
  <si>
    <t>V1TA34F</t>
  </si>
  <si>
    <t>V1TA34</t>
  </si>
  <si>
    <t>Verisk Analy</t>
  </si>
  <si>
    <t>V1RS34F</t>
  </si>
  <si>
    <t>V1RS34</t>
  </si>
  <si>
    <t>Vornado Real</t>
  </si>
  <si>
    <t>V1NO34F</t>
  </si>
  <si>
    <t>V1NO34</t>
  </si>
  <si>
    <t>Vulcan Mater</t>
  </si>
  <si>
    <t>V1MC34F</t>
  </si>
  <si>
    <t>V1MC34</t>
  </si>
  <si>
    <t>Varian Medic</t>
  </si>
  <si>
    <t>V1AR34F</t>
  </si>
  <si>
    <t>V1AR34</t>
  </si>
  <si>
    <t>Us Steel</t>
  </si>
  <si>
    <t>USSX34F</t>
  </si>
  <si>
    <t>Us Bancorp</t>
  </si>
  <si>
    <t>USBC34F</t>
  </si>
  <si>
    <t>USBC34</t>
  </si>
  <si>
    <t>Unionpacific</t>
  </si>
  <si>
    <t>UPAC34F</t>
  </si>
  <si>
    <t>UPAC34</t>
  </si>
  <si>
    <t>Unitedhealth</t>
  </si>
  <si>
    <t>UNHH34F</t>
  </si>
  <si>
    <t>UNHH34</t>
  </si>
  <si>
    <t>Unilever</t>
  </si>
  <si>
    <t>ULEV34F</t>
  </si>
  <si>
    <t>ULEV34</t>
  </si>
  <si>
    <t>Ubs Group</t>
  </si>
  <si>
    <t>UBSG34F</t>
  </si>
  <si>
    <t>UBSG34</t>
  </si>
  <si>
    <t>United Rentals</t>
  </si>
  <si>
    <t>U1RI34F</t>
  </si>
  <si>
    <t>U1RI34</t>
  </si>
  <si>
    <t>Unum Group</t>
  </si>
  <si>
    <t>U1NM34F</t>
  </si>
  <si>
    <t>U1NM34</t>
  </si>
  <si>
    <t>Ulta Beauty</t>
  </si>
  <si>
    <t>U1LT34F</t>
  </si>
  <si>
    <t>U1LT34</t>
  </si>
  <si>
    <t>Universal Health</t>
  </si>
  <si>
    <t>U1HS34F</t>
  </si>
  <si>
    <t>U1HS34</t>
  </si>
  <si>
    <t>Udr Inc</t>
  </si>
  <si>
    <t>U1DR34F</t>
  </si>
  <si>
    <t>U1DR34</t>
  </si>
  <si>
    <t>Uber</t>
  </si>
  <si>
    <t>U1BE34F</t>
  </si>
  <si>
    <t>U1BE34</t>
  </si>
  <si>
    <t>United Airlines</t>
  </si>
  <si>
    <t>U1AL34F</t>
  </si>
  <si>
    <t>U1AL34</t>
  </si>
  <si>
    <t>Under Armour</t>
  </si>
  <si>
    <t>U1AI34F</t>
  </si>
  <si>
    <t>U1AI34</t>
  </si>
  <si>
    <t>Ternium sa</t>
  </si>
  <si>
    <t>TXSA34F</t>
  </si>
  <si>
    <t>TXSA34</t>
  </si>
  <si>
    <t>Twitter</t>
  </si>
  <si>
    <t>TWTR34F</t>
  </si>
  <si>
    <t>TWTR34</t>
  </si>
  <si>
    <t>Tyson Foods</t>
  </si>
  <si>
    <t>TSNF34F</t>
  </si>
  <si>
    <t>Petróleo, Gás e Biocombustíveis</t>
  </si>
  <si>
    <t>Schlumberger</t>
  </si>
  <si>
    <t>SLBG34F</t>
  </si>
  <si>
    <t>SLBG34</t>
  </si>
  <si>
    <t>Halliburton</t>
  </si>
  <si>
    <t>HALI34F</t>
  </si>
  <si>
    <t>HALI34</t>
  </si>
  <si>
    <t>Cophillips</t>
  </si>
  <si>
    <t>COPH34</t>
  </si>
  <si>
    <t>Chevron</t>
  </si>
  <si>
    <t>CHVX34F</t>
  </si>
  <si>
    <t>CHVX34</t>
  </si>
  <si>
    <t>PETRORIO</t>
  </si>
  <si>
    <t>PRIO3F</t>
  </si>
  <si>
    <t>PRIO3</t>
  </si>
  <si>
    <t>OSX Brasil</t>
  </si>
  <si>
    <t>OSXB3F</t>
  </si>
  <si>
    <t>OSXB3</t>
  </si>
  <si>
    <t>Dommo</t>
  </si>
  <si>
    <t>DMMO11</t>
  </si>
  <si>
    <t>DMMO3F</t>
  </si>
  <si>
    <t>DMMO3</t>
  </si>
  <si>
    <t>Pet Manguinhos</t>
  </si>
  <si>
    <t>RPMG3F</t>
  </si>
  <si>
    <t>RPMG3</t>
  </si>
  <si>
    <t>Ultrapar</t>
  </si>
  <si>
    <t>UGPA3</t>
  </si>
  <si>
    <t>UGPA3F</t>
  </si>
  <si>
    <t>Petrobras</t>
  </si>
  <si>
    <t>PETR4F</t>
  </si>
  <si>
    <t>PETR4</t>
  </si>
  <si>
    <t>PETR3F</t>
  </si>
  <si>
    <t>PETR3</t>
  </si>
  <si>
    <t>Petrobras Distribuidora</t>
  </si>
  <si>
    <t>BRDT3</t>
  </si>
  <si>
    <t>EXXO34</t>
  </si>
  <si>
    <t>Enauta Part</t>
  </si>
  <si>
    <t>ENAT3</t>
  </si>
  <si>
    <t>Saúde</t>
  </si>
  <si>
    <t>Instituto Hermes Pardini SA</t>
  </si>
  <si>
    <t>PARD3</t>
  </si>
  <si>
    <t>Biomm</t>
  </si>
  <si>
    <t>BIOM3F</t>
  </si>
  <si>
    <t>BIOM3</t>
  </si>
  <si>
    <t>Baumer</t>
  </si>
  <si>
    <t>BALM3F</t>
  </si>
  <si>
    <t>BALM4F</t>
  </si>
  <si>
    <t>BALM4</t>
  </si>
  <si>
    <t>BALM3</t>
  </si>
  <si>
    <t>Pfizer</t>
  </si>
  <si>
    <t>PFIZ34F</t>
  </si>
  <si>
    <t>PFIZ34</t>
  </si>
  <si>
    <t>Merck</t>
  </si>
  <si>
    <t>MRCK34F</t>
  </si>
  <si>
    <t>MRCK34</t>
  </si>
  <si>
    <t>Biotoscana</t>
  </si>
  <si>
    <t>GBIO33F</t>
  </si>
  <si>
    <t>GBIO33</t>
  </si>
  <si>
    <t>Dimed</t>
  </si>
  <si>
    <t>PNVL4F</t>
  </si>
  <si>
    <t>PNVL3F</t>
  </si>
  <si>
    <t>PNVL4</t>
  </si>
  <si>
    <t>PNVL3</t>
  </si>
  <si>
    <t>Alliar</t>
  </si>
  <si>
    <t>AALR3F</t>
  </si>
  <si>
    <t>AALR3</t>
  </si>
  <si>
    <t>OdontoPrev</t>
  </si>
  <si>
    <t>ODPV3F</t>
  </si>
  <si>
    <t>ODPV3</t>
  </si>
  <si>
    <t>RAIADROGASIL</t>
  </si>
  <si>
    <t>RADL3F</t>
  </si>
  <si>
    <t>RADL3</t>
  </si>
  <si>
    <t>Qualicorp</t>
  </si>
  <si>
    <t>QUAL3F</t>
  </si>
  <si>
    <t>QUAL3</t>
  </si>
  <si>
    <t>OFSA3</t>
  </si>
  <si>
    <t>JNJB34</t>
  </si>
  <si>
    <t>Hypera Pharma</t>
  </si>
  <si>
    <t>HYPE3</t>
  </si>
  <si>
    <t>Fleury</t>
  </si>
  <si>
    <t>FLRY3</t>
  </si>
  <si>
    <t>BMYB34</t>
  </si>
  <si>
    <t>Tecnologia da Informação</t>
  </si>
  <si>
    <t>Locaweb</t>
  </si>
  <si>
    <t>LWSA3</t>
  </si>
  <si>
    <t>Totvs</t>
  </si>
  <si>
    <t>TOTS3F</t>
  </si>
  <si>
    <t>TOTS3</t>
  </si>
  <si>
    <t>Xerox</t>
  </si>
  <si>
    <t>XRXB34F</t>
  </si>
  <si>
    <t>XRXB34</t>
  </si>
  <si>
    <t>Qualcomm</t>
  </si>
  <si>
    <t>QCOM34F</t>
  </si>
  <si>
    <t>QCOM34</t>
  </si>
  <si>
    <t>Oracle</t>
  </si>
  <si>
    <t>ORCL34F</t>
  </si>
  <si>
    <t>ORCL34</t>
  </si>
  <si>
    <t>Microsoft</t>
  </si>
  <si>
    <t>MSFT34F</t>
  </si>
  <si>
    <t>MSFT34</t>
  </si>
  <si>
    <t>IBM</t>
  </si>
  <si>
    <t>IBMB34F</t>
  </si>
  <si>
    <t>IBMB34</t>
  </si>
  <si>
    <t>Intel</t>
  </si>
  <si>
    <t>ITLC34F</t>
  </si>
  <si>
    <t>ITLC34</t>
  </si>
  <si>
    <t>HP Company</t>
  </si>
  <si>
    <t>HPQB34F</t>
  </si>
  <si>
    <t>HPQB34</t>
  </si>
  <si>
    <t>eBay</t>
  </si>
  <si>
    <t>EBAY34F</t>
  </si>
  <si>
    <t>Cisco</t>
  </si>
  <si>
    <t>CSCO34F</t>
  </si>
  <si>
    <t>CSCO34</t>
  </si>
  <si>
    <t>Att Inc</t>
  </si>
  <si>
    <t>ATTB34F</t>
  </si>
  <si>
    <t>Apple</t>
  </si>
  <si>
    <t>AAPL34F</t>
  </si>
  <si>
    <t>AAPL34</t>
  </si>
  <si>
    <t>Linx</t>
  </si>
  <si>
    <t>LINX3F</t>
  </si>
  <si>
    <t>LINX3</t>
  </si>
  <si>
    <t>Positivo Inf</t>
  </si>
  <si>
    <t>POSI3F</t>
  </si>
  <si>
    <t>POSI3</t>
  </si>
  <si>
    <t>Ebay</t>
  </si>
  <si>
    <t>EBAY34</t>
  </si>
  <si>
    <t>Telecomunicações</t>
  </si>
  <si>
    <t>Verizon</t>
  </si>
  <si>
    <t>VERZ34F</t>
  </si>
  <si>
    <t>VERZ34</t>
  </si>
  <si>
    <t>OI</t>
  </si>
  <si>
    <t>OIBR4F</t>
  </si>
  <si>
    <t>OIBR4</t>
  </si>
  <si>
    <t>OIBR</t>
  </si>
  <si>
    <t>Tim Participações</t>
  </si>
  <si>
    <t>TIMP3F</t>
  </si>
  <si>
    <t>TIMP3</t>
  </si>
  <si>
    <t>Telefônica Brasil S.A</t>
  </si>
  <si>
    <t>VIVT4F</t>
  </si>
  <si>
    <t>VIVT4</t>
  </si>
  <si>
    <t>VIVT3F</t>
  </si>
  <si>
    <t>VIVT3</t>
  </si>
  <si>
    <t>Telebras</t>
  </si>
  <si>
    <t>TELB4F</t>
  </si>
  <si>
    <t>TELB4</t>
  </si>
  <si>
    <t>TELB3F</t>
  </si>
  <si>
    <t>TELB3</t>
  </si>
  <si>
    <t>ATTB34</t>
  </si>
  <si>
    <t>Utilidade Pública</t>
  </si>
  <si>
    <t>Celpe</t>
  </si>
  <si>
    <t>CEPE6F</t>
  </si>
  <si>
    <t>CEPE5F</t>
  </si>
  <si>
    <t>CEPE3F</t>
  </si>
  <si>
    <t>CEPE6</t>
  </si>
  <si>
    <t>CEPE5</t>
  </si>
  <si>
    <t>CEPE3</t>
  </si>
  <si>
    <t>CEEE-D</t>
  </si>
  <si>
    <t>CEED3F</t>
  </si>
  <si>
    <t>CEED4F</t>
  </si>
  <si>
    <t>CEED4</t>
  </si>
  <si>
    <t>CEED3</t>
  </si>
  <si>
    <t>Ceee-gt</t>
  </si>
  <si>
    <t>EEEL4F</t>
  </si>
  <si>
    <t>EEEL3F</t>
  </si>
  <si>
    <t>EEEL4</t>
  </si>
  <si>
    <t>EEEL3</t>
  </si>
  <si>
    <t>Casan</t>
  </si>
  <si>
    <t>CASN4F</t>
  </si>
  <si>
    <t>CASN3F</t>
  </si>
  <si>
    <t>CASN4</t>
  </si>
  <si>
    <t>CASN3</t>
  </si>
  <si>
    <t>CEG</t>
  </si>
  <si>
    <t>CEGR3F</t>
  </si>
  <si>
    <t>CEGR3</t>
  </si>
  <si>
    <t>CEB</t>
  </si>
  <si>
    <t>CEBR3F</t>
  </si>
  <si>
    <t>CEBR6F</t>
  </si>
  <si>
    <t>CEBR5F</t>
  </si>
  <si>
    <t>CEBR6</t>
  </si>
  <si>
    <t>CEBR5</t>
  </si>
  <si>
    <t>CEBR3</t>
  </si>
  <si>
    <t>Renova</t>
  </si>
  <si>
    <t>RNEW11F</t>
  </si>
  <si>
    <t>RNEW4F</t>
  </si>
  <si>
    <t>RNEW4</t>
  </si>
  <si>
    <t>RNEW3</t>
  </si>
  <si>
    <t>Coelce</t>
  </si>
  <si>
    <t>COCE6F</t>
  </si>
  <si>
    <t>COCE5F</t>
  </si>
  <si>
    <t>COCE3F</t>
  </si>
  <si>
    <t>COCE6</t>
  </si>
  <si>
    <t>COCE5</t>
  </si>
  <si>
    <t>COCE3</t>
  </si>
  <si>
    <t>Celesc</t>
  </si>
  <si>
    <t>CLSC4F</t>
  </si>
  <si>
    <t>CLSC3F</t>
  </si>
  <si>
    <t>CLSC4</t>
  </si>
  <si>
    <t>CLSC3</t>
  </si>
  <si>
    <t>Alupar Investimento</t>
  </si>
  <si>
    <t>ALUP4F</t>
  </si>
  <si>
    <t>ALUP3F</t>
  </si>
  <si>
    <t>ALUP11F</t>
  </si>
  <si>
    <t>ALUP4</t>
  </si>
  <si>
    <t>ALUP3</t>
  </si>
  <si>
    <t>ALUP11</t>
  </si>
  <si>
    <t>Sanepar</t>
  </si>
  <si>
    <t>SAPR11F</t>
  </si>
  <si>
    <t>SAPR4F</t>
  </si>
  <si>
    <t>SAPR3F</t>
  </si>
  <si>
    <t>SAPR4</t>
  </si>
  <si>
    <t>SAPR3</t>
  </si>
  <si>
    <t>SAPR11</t>
  </si>
  <si>
    <t>CPFL Renovav</t>
  </si>
  <si>
    <t>CPRE3F</t>
  </si>
  <si>
    <t>CPRE3</t>
  </si>
  <si>
    <t>Copel</t>
  </si>
  <si>
    <t>CPLE5F</t>
  </si>
  <si>
    <t>CPLE6F</t>
  </si>
  <si>
    <t>CPLE6</t>
  </si>
  <si>
    <t>CPLE5</t>
  </si>
  <si>
    <t>CPLE3F</t>
  </si>
  <si>
    <t>CPLE3</t>
  </si>
  <si>
    <t>CPFL Energia</t>
  </si>
  <si>
    <t>CPFE3F</t>
  </si>
  <si>
    <t>CPFE3</t>
  </si>
  <si>
    <t>Comgás</t>
  </si>
  <si>
    <t>CGAS3F</t>
  </si>
  <si>
    <t>CGAS5F</t>
  </si>
  <si>
    <t>CGAS5</t>
  </si>
  <si>
    <t>CGAS3</t>
  </si>
  <si>
    <t>AES Tietê</t>
  </si>
  <si>
    <t>TIET11F</t>
  </si>
  <si>
    <t>TIET3F</t>
  </si>
  <si>
    <t>TIET4F</t>
  </si>
  <si>
    <t>TIET4</t>
  </si>
  <si>
    <t>TIET3</t>
  </si>
  <si>
    <t>TIET11</t>
  </si>
  <si>
    <t>Neoenergia</t>
  </si>
  <si>
    <t>NEOE3</t>
  </si>
  <si>
    <t>TRAN PAULISTA</t>
  </si>
  <si>
    <t>TRPL4F</t>
  </si>
  <si>
    <t>TRPL4</t>
  </si>
  <si>
    <t>TRPL3F</t>
  </si>
  <si>
    <t>TRPL3</t>
  </si>
  <si>
    <t>Engie Brasil</t>
  </si>
  <si>
    <t>EGIE3</t>
  </si>
  <si>
    <t>Taesa</t>
  </si>
  <si>
    <t>TAEE4</t>
  </si>
  <si>
    <t>TAEE3</t>
  </si>
  <si>
    <t>TAEE11</t>
  </si>
  <si>
    <t>Sabesp</t>
  </si>
  <si>
    <t>SBSP3F</t>
  </si>
  <si>
    <t>SBSP3</t>
  </si>
  <si>
    <t>RNEW11</t>
  </si>
  <si>
    <t>GEPA4</t>
  </si>
  <si>
    <t>GEPA3</t>
  </si>
  <si>
    <t>CESP</t>
  </si>
  <si>
    <t>CESP6</t>
  </si>
  <si>
    <t>CESP5</t>
  </si>
  <si>
    <t>CESP3F</t>
  </si>
  <si>
    <t>CESP3</t>
  </si>
  <si>
    <t>Cemig</t>
  </si>
  <si>
    <t>CMIG4</t>
  </si>
  <si>
    <t>CMIG3F</t>
  </si>
  <si>
    <t>CMIG3</t>
  </si>
  <si>
    <t>AFLT3</t>
  </si>
  <si>
    <t>Primeira Lista Oficial</t>
  </si>
  <si>
    <t>Setor Econômico</t>
  </si>
  <si>
    <t>Subsetor</t>
  </si>
  <si>
    <t>Segmento</t>
  </si>
  <si>
    <t>Empresa</t>
  </si>
  <si>
    <t>Código</t>
  </si>
  <si>
    <t>Código 1</t>
  </si>
  <si>
    <t>Código 2</t>
  </si>
  <si>
    <t>Código 3</t>
  </si>
  <si>
    <t>Código 4</t>
  </si>
  <si>
    <t>Código 5</t>
  </si>
  <si>
    <t>Código 6</t>
  </si>
  <si>
    <t xml:space="preserve">Petróleo, Gás e Biocombustíveis
</t>
  </si>
  <si>
    <t xml:space="preserve">Exploração, Refino e Distribuição
</t>
  </si>
  <si>
    <t>COSAN</t>
  </si>
  <si>
    <t>CSAN</t>
  </si>
  <si>
    <t>NM</t>
  </si>
  <si>
    <t>CSAN3</t>
  </si>
  <si>
    <t>CSAN3F</t>
  </si>
  <si>
    <t>DOMMO</t>
  </si>
  <si>
    <t>DMMO</t>
  </si>
  <si>
    <t>DMMO1</t>
  </si>
  <si>
    <t>ENAUTA PART</t>
  </si>
  <si>
    <t>ENAT</t>
  </si>
  <si>
    <t>PET MANGUINHOS</t>
  </si>
  <si>
    <t>RPMG</t>
  </si>
  <si>
    <t>PETROBRAS</t>
  </si>
  <si>
    <t>PETR</t>
  </si>
  <si>
    <t>N2</t>
  </si>
  <si>
    <t>BRDT</t>
  </si>
  <si>
    <t>PRIO</t>
  </si>
  <si>
    <t>ULTRAPAR</t>
  </si>
  <si>
    <t>UGPA</t>
  </si>
  <si>
    <t>Equipamentos e Serviços</t>
  </si>
  <si>
    <t>LUPATECH</t>
  </si>
  <si>
    <t>LUPA</t>
  </si>
  <si>
    <t>LUPA11</t>
  </si>
  <si>
    <t>OSX BRASIL</t>
  </si>
  <si>
    <t>OSXB</t>
  </si>
  <si>
    <t xml:space="preserve">Materiais Básicos
</t>
  </si>
  <si>
    <t>Mineração</t>
  </si>
  <si>
    <t>Minerais Metálicos</t>
  </si>
  <si>
    <t>BRADESPAR</t>
  </si>
  <si>
    <t>BRAP</t>
  </si>
  <si>
    <t>N1</t>
  </si>
  <si>
    <t>LITEL</t>
  </si>
  <si>
    <t>LTEL</t>
  </si>
  <si>
    <t>MB</t>
  </si>
  <si>
    <t>LTEL3B</t>
  </si>
  <si>
    <t>LTEL11BF</t>
  </si>
  <si>
    <t>LTEL3BF</t>
  </si>
  <si>
    <t>LTEL5BF</t>
  </si>
  <si>
    <t>LITELA</t>
  </si>
  <si>
    <t>LTLA</t>
  </si>
  <si>
    <t>LTLA3B</t>
  </si>
  <si>
    <t>MMXM</t>
  </si>
  <si>
    <t>VALE</t>
  </si>
  <si>
    <t>VALE3F</t>
  </si>
  <si>
    <t>Siderurgia e Metalurgia</t>
  </si>
  <si>
    <t>Siderurgia</t>
  </si>
  <si>
    <t>FERBASA</t>
  </si>
  <si>
    <t>FESA</t>
  </si>
  <si>
    <t>GERDAU</t>
  </si>
  <si>
    <t>GGBR</t>
  </si>
  <si>
    <t>GGBR3</t>
  </si>
  <si>
    <t>GGBR4</t>
  </si>
  <si>
    <t>GGBR3F</t>
  </si>
  <si>
    <t>GGBR4F</t>
  </si>
  <si>
    <t>GERDAU MET</t>
  </si>
  <si>
    <t>GOAU</t>
  </si>
  <si>
    <t>GOAU3</t>
  </si>
  <si>
    <t>GOAU3F</t>
  </si>
  <si>
    <t>GOAU4F</t>
  </si>
  <si>
    <t>CSNA</t>
  </si>
  <si>
    <t>USIMINAS</t>
  </si>
  <si>
    <t>USIM</t>
  </si>
  <si>
    <t>USIM3F</t>
  </si>
  <si>
    <t>USIM5F</t>
  </si>
  <si>
    <t>USIM6F</t>
  </si>
  <si>
    <t>Artefatos de Ferro e Aço</t>
  </si>
  <si>
    <t>MANGELS INDL</t>
  </si>
  <si>
    <t>MGEL</t>
  </si>
  <si>
    <t>MGEL3</t>
  </si>
  <si>
    <t>MGEL4</t>
  </si>
  <si>
    <t>MGEL3F</t>
  </si>
  <si>
    <t>MGEL4F</t>
  </si>
  <si>
    <t>PANATLANTICA</t>
  </si>
  <si>
    <t>PATI</t>
  </si>
  <si>
    <t>PATI3</t>
  </si>
  <si>
    <t>PATI4</t>
  </si>
  <si>
    <t>PATI0F</t>
  </si>
  <si>
    <t>PATI3F</t>
  </si>
  <si>
    <t>PATI4F</t>
  </si>
  <si>
    <t>PATI9F</t>
  </si>
  <si>
    <t>TEKNO</t>
  </si>
  <si>
    <t>TKNO</t>
  </si>
  <si>
    <t>TKNO3F</t>
  </si>
  <si>
    <t>TKNO4F</t>
  </si>
  <si>
    <t>TKNO3</t>
  </si>
  <si>
    <t>TKNO4</t>
  </si>
  <si>
    <t>Artefatos de Cobre</t>
  </si>
  <si>
    <t>PARANAPANEMA</t>
  </si>
  <si>
    <t>PMAM</t>
  </si>
  <si>
    <t>Químicos</t>
  </si>
  <si>
    <t>Petroquímicos</t>
  </si>
  <si>
    <t>BRASKEM</t>
  </si>
  <si>
    <t>BRKM</t>
  </si>
  <si>
    <t>BRKM3F</t>
  </si>
  <si>
    <t>BRKM6F</t>
  </si>
  <si>
    <t>GPC PART</t>
  </si>
  <si>
    <t>GPCP</t>
  </si>
  <si>
    <t>GPCP3</t>
  </si>
  <si>
    <t>GPCP4</t>
  </si>
  <si>
    <t>GPCP3F</t>
  </si>
  <si>
    <t>GPCP4F</t>
  </si>
  <si>
    <t>Fertilizantes e Defensivos</t>
  </si>
  <si>
    <t>FER HERINGER</t>
  </si>
  <si>
    <t>FHER</t>
  </si>
  <si>
    <t>FHER3</t>
  </si>
  <si>
    <t>FHER3F</t>
  </si>
  <si>
    <t>NUTRIPLANT</t>
  </si>
  <si>
    <t>NUTR</t>
  </si>
  <si>
    <t>MA</t>
  </si>
  <si>
    <t>NUTR3</t>
  </si>
  <si>
    <t>NUTR3F</t>
  </si>
  <si>
    <t>Químicos Diversos</t>
  </si>
  <si>
    <t>CRISTAL</t>
  </si>
  <si>
    <t>CRPG</t>
  </si>
  <si>
    <t>CRPG3</t>
  </si>
  <si>
    <t>CRPG5</t>
  </si>
  <si>
    <t>CRPG6</t>
  </si>
  <si>
    <t>CRPG3F</t>
  </si>
  <si>
    <t>CRPG5F</t>
  </si>
  <si>
    <t>CRPG6F</t>
  </si>
  <si>
    <t>UNIPAR</t>
  </si>
  <si>
    <t>UNIP</t>
  </si>
  <si>
    <t>Madeira e Papel</t>
  </si>
  <si>
    <t>Madeira</t>
  </si>
  <si>
    <t>DURATEX</t>
  </si>
  <si>
    <t>DTEX</t>
  </si>
  <si>
    <t>DTEX3</t>
  </si>
  <si>
    <t>DTEX3F</t>
  </si>
  <si>
    <t>EUCATEX</t>
  </si>
  <si>
    <t>EUCA</t>
  </si>
  <si>
    <t>Papel e Celulose</t>
  </si>
  <si>
    <t>RANI</t>
  </si>
  <si>
    <t>RANI3</t>
  </si>
  <si>
    <t>KLABIN S/A</t>
  </si>
  <si>
    <t>KLBN</t>
  </si>
  <si>
    <t>MELHOR SP</t>
  </si>
  <si>
    <t>MSPA</t>
  </si>
  <si>
    <t>MSPA3</t>
  </si>
  <si>
    <t>MSPA4</t>
  </si>
  <si>
    <t>MSPA3F</t>
  </si>
  <si>
    <t>MSPA4F</t>
  </si>
  <si>
    <t>SANTHER</t>
  </si>
  <si>
    <t>STTZ</t>
  </si>
  <si>
    <t>NEMO</t>
  </si>
  <si>
    <t>NEMO3F</t>
  </si>
  <si>
    <t>NEMO6F</t>
  </si>
  <si>
    <t>SUZB</t>
  </si>
  <si>
    <t>Embalagens</t>
  </si>
  <si>
    <t>METAL IGUACU</t>
  </si>
  <si>
    <t>MTIG</t>
  </si>
  <si>
    <t>MTIG3</t>
  </si>
  <si>
    <t>MTIG4</t>
  </si>
  <si>
    <t>MTIG3F</t>
  </si>
  <si>
    <t>MTIG4F</t>
  </si>
  <si>
    <t>Materiais Diversos</t>
  </si>
  <si>
    <t>SANSUY</t>
  </si>
  <si>
    <t>SNSY</t>
  </si>
  <si>
    <t>SNSY3</t>
  </si>
  <si>
    <t>SNSY5</t>
  </si>
  <si>
    <t>SNSY6</t>
  </si>
  <si>
    <t>SNSY3F</t>
  </si>
  <si>
    <t>SNSY5F</t>
  </si>
  <si>
    <t>SNSY6F</t>
  </si>
  <si>
    <t xml:space="preserve">Bens Industriais
</t>
  </si>
  <si>
    <t>Construção e Engenharia</t>
  </si>
  <si>
    <t>Produtos para Construção</t>
  </si>
  <si>
    <t>ETERNIT</t>
  </si>
  <si>
    <t>ETER</t>
  </si>
  <si>
    <t>HAGA S/A</t>
  </si>
  <si>
    <t>HAGA</t>
  </si>
  <si>
    <t>HAGA3</t>
  </si>
  <si>
    <t>HAGA4</t>
  </si>
  <si>
    <t>HAGA3F</t>
  </si>
  <si>
    <t>HAGA4F</t>
  </si>
  <si>
    <t>PTBL</t>
  </si>
  <si>
    <t>PTBL3</t>
  </si>
  <si>
    <t>Construção Pesada</t>
  </si>
  <si>
    <t>AZEVEDO</t>
  </si>
  <si>
    <t>AZEV</t>
  </si>
  <si>
    <t>AZEV3</t>
  </si>
  <si>
    <t>AZEV4</t>
  </si>
  <si>
    <t>AZEV3F</t>
  </si>
  <si>
    <t>AZEV4F</t>
  </si>
  <si>
    <t>Engenharia Consultiva</t>
  </si>
  <si>
    <t>SONDOTECNICA</t>
  </si>
  <si>
    <t>SOND</t>
  </si>
  <si>
    <t>SOND3</t>
  </si>
  <si>
    <t>SOND5</t>
  </si>
  <si>
    <t>SOND6</t>
  </si>
  <si>
    <t>SOND3F</t>
  </si>
  <si>
    <t>SOND5F</t>
  </si>
  <si>
    <t>SOND6F</t>
  </si>
  <si>
    <t>TECNOSOLO</t>
  </si>
  <si>
    <t>TCNO</t>
  </si>
  <si>
    <t>TCNO3</t>
  </si>
  <si>
    <t>TCNO4</t>
  </si>
  <si>
    <t>TCNO3F</t>
  </si>
  <si>
    <t>TCNO4F</t>
  </si>
  <si>
    <t>Serviços Diversos</t>
  </si>
  <si>
    <t>MILLS</t>
  </si>
  <si>
    <t>MILS</t>
  </si>
  <si>
    <t>MILS3</t>
  </si>
  <si>
    <t>MILS3F</t>
  </si>
  <si>
    <t>Material de Transporte</t>
  </si>
  <si>
    <t>Material Aeronáutico e de Defesa</t>
  </si>
  <si>
    <t>EMBRAER</t>
  </si>
  <si>
    <t>EMBR</t>
  </si>
  <si>
    <t>EMBR3</t>
  </si>
  <si>
    <t>EMBR3F</t>
  </si>
  <si>
    <t>Material Rodoviário</t>
  </si>
  <si>
    <t>FRAS-LE</t>
  </si>
  <si>
    <t>FRAS</t>
  </si>
  <si>
    <t>MARCOPOLO</t>
  </si>
  <si>
    <t>POMO</t>
  </si>
  <si>
    <t>RANDON PART</t>
  </si>
  <si>
    <t>RAPT</t>
  </si>
  <si>
    <t>RECRUSUL</t>
  </si>
  <si>
    <t>RCSL</t>
  </si>
  <si>
    <t>RCSL3</t>
  </si>
  <si>
    <t>RCSL4</t>
  </si>
  <si>
    <t>RCSL3F</t>
  </si>
  <si>
    <t>RCSL4F</t>
  </si>
  <si>
    <t>RIOSULENSE</t>
  </si>
  <si>
    <t>RSUL</t>
  </si>
  <si>
    <t>RSUL3</t>
  </si>
  <si>
    <t>RSUL4</t>
  </si>
  <si>
    <t>RSUL3F</t>
  </si>
  <si>
    <t>RSUL4F</t>
  </si>
  <si>
    <t>TUPY</t>
  </si>
  <si>
    <t>TUPY3</t>
  </si>
  <si>
    <t>TUPY3F</t>
  </si>
  <si>
    <t>WETZEL S/A</t>
  </si>
  <si>
    <t>MWET</t>
  </si>
  <si>
    <t>MWET3</t>
  </si>
  <si>
    <t>MWET4</t>
  </si>
  <si>
    <t>MWET3F</t>
  </si>
  <si>
    <t>MWET4F</t>
  </si>
  <si>
    <t>Máquinas e Equipamentos</t>
  </si>
  <si>
    <t>Motores, Compressores e Outros</t>
  </si>
  <si>
    <t>SCHULZ</t>
  </si>
  <si>
    <t>SHUL</t>
  </si>
  <si>
    <t>SHUL3F</t>
  </si>
  <si>
    <t>WEG</t>
  </si>
  <si>
    <t>WEGE</t>
  </si>
  <si>
    <t>Máq. e Equip. Industriais</t>
  </si>
  <si>
    <t>AÇO ALTONA</t>
  </si>
  <si>
    <t>EALT</t>
  </si>
  <si>
    <t>EALT3</t>
  </si>
  <si>
    <t>EALT4</t>
  </si>
  <si>
    <t>BARDELLA</t>
  </si>
  <si>
    <t>BDLL</t>
  </si>
  <si>
    <t>BDLL3</t>
  </si>
  <si>
    <t>BDLL4</t>
  </si>
  <si>
    <t>INDS ROMI</t>
  </si>
  <si>
    <t>ROMI</t>
  </si>
  <si>
    <t>ROMI3</t>
  </si>
  <si>
    <t>ROMI3F</t>
  </si>
  <si>
    <t>INEPAR</t>
  </si>
  <si>
    <t>INEP</t>
  </si>
  <si>
    <t>KEPLER WEBER</t>
  </si>
  <si>
    <t>KEPL</t>
  </si>
  <si>
    <t>KEPL11</t>
  </si>
  <si>
    <t>KEPL3</t>
  </si>
  <si>
    <t>KEPL11F</t>
  </si>
  <si>
    <t>KEPL3F</t>
  </si>
  <si>
    <t>METALFRIO</t>
  </si>
  <si>
    <t>FRIO</t>
  </si>
  <si>
    <t>FRIO3</t>
  </si>
  <si>
    <t>FRIO3F</t>
  </si>
  <si>
    <t>NORDON MET</t>
  </si>
  <si>
    <t>NORD</t>
  </si>
  <si>
    <t>NORD3</t>
  </si>
  <si>
    <t>NORD3F</t>
  </si>
  <si>
    <t>PRATICA</t>
  </si>
  <si>
    <t>PTCA</t>
  </si>
  <si>
    <t>M2</t>
  </si>
  <si>
    <t>PTCA11</t>
  </si>
  <si>
    <t>PTCA3</t>
  </si>
  <si>
    <t>Máq. e Equip. Construção e Agrícolas</t>
  </si>
  <si>
    <t>METISA</t>
  </si>
  <si>
    <t>MTSA</t>
  </si>
  <si>
    <t>MTSA3</t>
  </si>
  <si>
    <t>MTSA4</t>
  </si>
  <si>
    <t>MTSA3F</t>
  </si>
  <si>
    <t>MTSA4F</t>
  </si>
  <si>
    <t>STARA</t>
  </si>
  <si>
    <t>STTR</t>
  </si>
  <si>
    <t>STTR3</t>
  </si>
  <si>
    <t>STTR3F</t>
  </si>
  <si>
    <t>Armas e Munições</t>
  </si>
  <si>
    <t>TAURUS ARMAS</t>
  </si>
  <si>
    <t>TASA</t>
  </si>
  <si>
    <t>TASA13</t>
  </si>
  <si>
    <t>TASA15</t>
  </si>
  <si>
    <t>TASA17</t>
  </si>
  <si>
    <t>Transporte</t>
  </si>
  <si>
    <t>Transporte Aéreo</t>
  </si>
  <si>
    <t>AZUL</t>
  </si>
  <si>
    <t>AZUL4</t>
  </si>
  <si>
    <t>AZUL4F</t>
  </si>
  <si>
    <t>GOLL</t>
  </si>
  <si>
    <t>GOLL12</t>
  </si>
  <si>
    <t>Transporte Ferroviário</t>
  </si>
  <si>
    <t>ALL NORTE</t>
  </si>
  <si>
    <t>FRRN</t>
  </si>
  <si>
    <t>FRRN3B</t>
  </si>
  <si>
    <t>FRRN5B</t>
  </si>
  <si>
    <t>FRRN6B</t>
  </si>
  <si>
    <t>FRRN3BF</t>
  </si>
  <si>
    <t>FRRN5BF</t>
  </si>
  <si>
    <t>FRRN6BF</t>
  </si>
  <si>
    <t>ALL PAULISTA</t>
  </si>
  <si>
    <t>GASC</t>
  </si>
  <si>
    <t>COSAN LOG</t>
  </si>
  <si>
    <t>RLOG</t>
  </si>
  <si>
    <t>FER C ATLANT</t>
  </si>
  <si>
    <t>VSPT</t>
  </si>
  <si>
    <t>VSPT1</t>
  </si>
  <si>
    <t>VSPT3</t>
  </si>
  <si>
    <t>VSPT4</t>
  </si>
  <si>
    <t>VSPT3F</t>
  </si>
  <si>
    <t>VSPT4F</t>
  </si>
  <si>
    <t>MRS LOGIST</t>
  </si>
  <si>
    <t>MRSA</t>
  </si>
  <si>
    <t>RAIL</t>
  </si>
  <si>
    <t>Transporte Hidroviário</t>
  </si>
  <si>
    <t>HBSA</t>
  </si>
  <si>
    <t>LOG-IN</t>
  </si>
  <si>
    <t>LOGN</t>
  </si>
  <si>
    <t>LOGN3</t>
  </si>
  <si>
    <t>LOGN12F</t>
  </si>
  <si>
    <t>LOGN3F</t>
  </si>
  <si>
    <t>TREVISA</t>
  </si>
  <si>
    <t>LUXM</t>
  </si>
  <si>
    <t>LUXM3</t>
  </si>
  <si>
    <t>LUXM4</t>
  </si>
  <si>
    <t>LUXM3F</t>
  </si>
  <si>
    <t>LUXM4F</t>
  </si>
  <si>
    <t>Transporte Rodoviário</t>
  </si>
  <si>
    <t>JSL</t>
  </si>
  <si>
    <t>JSLG</t>
  </si>
  <si>
    <t>JSLG11</t>
  </si>
  <si>
    <t>JSLG3F</t>
  </si>
  <si>
    <t>TEGMA</t>
  </si>
  <si>
    <t>TGMA</t>
  </si>
  <si>
    <t>TGMA3</t>
  </si>
  <si>
    <t>TGMA3F</t>
  </si>
  <si>
    <t>Exploração de Rodovias</t>
  </si>
  <si>
    <t>AUTOBAN</t>
  </si>
  <si>
    <t>ANHB</t>
  </si>
  <si>
    <t>CCR SA</t>
  </si>
  <si>
    <t>CCRO</t>
  </si>
  <si>
    <t>CCRO3</t>
  </si>
  <si>
    <t>CCRO3F</t>
  </si>
  <si>
    <t>CONC RAPOSO</t>
  </si>
  <si>
    <t>RPTA</t>
  </si>
  <si>
    <t>CONC RIO TER</t>
  </si>
  <si>
    <t>CRTE</t>
  </si>
  <si>
    <t>CRTE3B</t>
  </si>
  <si>
    <t>CRTE5B</t>
  </si>
  <si>
    <t>CRTE3BF</t>
  </si>
  <si>
    <t>CRTE5BF</t>
  </si>
  <si>
    <t>ECON</t>
  </si>
  <si>
    <t>ERDV</t>
  </si>
  <si>
    <t>ECONORTE</t>
  </si>
  <si>
    <t>ECNT</t>
  </si>
  <si>
    <t>ECOPISTAS</t>
  </si>
  <si>
    <t>ASCP</t>
  </si>
  <si>
    <t>ECORODOVIAS</t>
  </si>
  <si>
    <t>ECOR</t>
  </si>
  <si>
    <t>ECOR3</t>
  </si>
  <si>
    <t>ECOR3F</t>
  </si>
  <si>
    <t>ECOVIAS</t>
  </si>
  <si>
    <t>ECOV</t>
  </si>
  <si>
    <t>ROD COLINAS</t>
  </si>
  <si>
    <t>COLN</t>
  </si>
  <si>
    <t>ROD TIETE</t>
  </si>
  <si>
    <t>RDVT</t>
  </si>
  <si>
    <t>RT BANDEIRAS</t>
  </si>
  <si>
    <t>CRBD</t>
  </si>
  <si>
    <t>TRIANGULOSOL</t>
  </si>
  <si>
    <t>TRIA</t>
  </si>
  <si>
    <t>TRIUNFO PART</t>
  </si>
  <si>
    <t>TPIS</t>
  </si>
  <si>
    <t>VIAOESTE</t>
  </si>
  <si>
    <t>VOES</t>
  </si>
  <si>
    <t>Serviços de Apoio e Armazenagem</t>
  </si>
  <si>
    <t>GRUAIRPORT</t>
  </si>
  <si>
    <t>AGRU</t>
  </si>
  <si>
    <t>PORTO VM</t>
  </si>
  <si>
    <t>PSVM</t>
  </si>
  <si>
    <t>PSVM11</t>
  </si>
  <si>
    <t>INVEPAR</t>
  </si>
  <si>
    <t>IVPR</t>
  </si>
  <si>
    <t>IVPR3B</t>
  </si>
  <si>
    <t>IVPR4B</t>
  </si>
  <si>
    <t>IVPR3BF</t>
  </si>
  <si>
    <t>IVPR4BF</t>
  </si>
  <si>
    <t>SALUS INFRA</t>
  </si>
  <si>
    <t>SAIP</t>
  </si>
  <si>
    <t>WILSON SONS</t>
  </si>
  <si>
    <t>WSON</t>
  </si>
  <si>
    <t>DR3</t>
  </si>
  <si>
    <t>WSON33</t>
  </si>
  <si>
    <t>WSON33F</t>
  </si>
  <si>
    <t>ATMASA</t>
  </si>
  <si>
    <t>ATMP</t>
  </si>
  <si>
    <t>ATMP3</t>
  </si>
  <si>
    <t>AMBIPAR</t>
  </si>
  <si>
    <t>AMBP</t>
  </si>
  <si>
    <t>BBMLOGISTICA</t>
  </si>
  <si>
    <t>BBML</t>
  </si>
  <si>
    <t>BBML3</t>
  </si>
  <si>
    <t>CSU CARDSYST</t>
  </si>
  <si>
    <t>CARD</t>
  </si>
  <si>
    <t>DTCOM-DIRECT</t>
  </si>
  <si>
    <t>DTCY</t>
  </si>
  <si>
    <t>DTCY3</t>
  </si>
  <si>
    <t>ALPK</t>
  </si>
  <si>
    <t>FLEX S/A</t>
  </si>
  <si>
    <t>FLEX</t>
  </si>
  <si>
    <t>FLEX3</t>
  </si>
  <si>
    <t>PRINER</t>
  </si>
  <si>
    <t>PRNR</t>
  </si>
  <si>
    <t>PRNR3</t>
  </si>
  <si>
    <t>PRNR3F</t>
  </si>
  <si>
    <t>SEQUOIA LOG</t>
  </si>
  <si>
    <t>SEQL</t>
  </si>
  <si>
    <t>SEQL3</t>
  </si>
  <si>
    <t>VALID</t>
  </si>
  <si>
    <t>VLID</t>
  </si>
  <si>
    <t>Comércio</t>
  </si>
  <si>
    <t>BATTISTELLA</t>
  </si>
  <si>
    <t>BTTL</t>
  </si>
  <si>
    <t>ON</t>
  </si>
  <si>
    <t>BTTL4F</t>
  </si>
  <si>
    <t>MINASMAQUINA</t>
  </si>
  <si>
    <t>MMAQ</t>
  </si>
  <si>
    <t>MMAQ3</t>
  </si>
  <si>
    <t>MMAQ4</t>
  </si>
  <si>
    <t>MMAQ3F</t>
  </si>
  <si>
    <t>MMAQ4F</t>
  </si>
  <si>
    <t>WLM IND COM</t>
  </si>
  <si>
    <t>WLMM</t>
  </si>
  <si>
    <t>WLMM4</t>
  </si>
  <si>
    <t>Consumo não Cíclico</t>
  </si>
  <si>
    <t>Agropecuária</t>
  </si>
  <si>
    <t>Agricultura</t>
  </si>
  <si>
    <t>ALIPERTI</t>
  </si>
  <si>
    <t>APTI</t>
  </si>
  <si>
    <t>APTI3</t>
  </si>
  <si>
    <t>APTI4</t>
  </si>
  <si>
    <t>BRASILAGRO</t>
  </si>
  <si>
    <t>AGRO</t>
  </si>
  <si>
    <t>POMIFRUTAS</t>
  </si>
  <si>
    <t>FRTA</t>
  </si>
  <si>
    <t>FRTA3</t>
  </si>
  <si>
    <t>FRTA3F</t>
  </si>
  <si>
    <t>FRTA1F</t>
  </si>
  <si>
    <t>SLC AGRICOLA</t>
  </si>
  <si>
    <t>SLCE</t>
  </si>
  <si>
    <t>SLCE3</t>
  </si>
  <si>
    <t>SLCE3F</t>
  </si>
  <si>
    <t>TERRA SANTA</t>
  </si>
  <si>
    <t>TESA</t>
  </si>
  <si>
    <t>TESA12</t>
  </si>
  <si>
    <t>TESA3</t>
  </si>
  <si>
    <t>TESA3F</t>
  </si>
  <si>
    <t>Alimentos Processados</t>
  </si>
  <si>
    <t>Açucar e Alcool</t>
  </si>
  <si>
    <t>BIOSEV</t>
  </si>
  <si>
    <t>BSEV</t>
  </si>
  <si>
    <t>RAIZEN ENERG</t>
  </si>
  <si>
    <t>RESA</t>
  </si>
  <si>
    <t>SÃO MARTINHO</t>
  </si>
  <si>
    <t>SMTO</t>
  </si>
  <si>
    <t>Carnes e Derivados</t>
  </si>
  <si>
    <t>BRFS</t>
  </si>
  <si>
    <t>BRFS3F</t>
  </si>
  <si>
    <t>EXCELSIOR</t>
  </si>
  <si>
    <t>BAUH</t>
  </si>
  <si>
    <t>BAUH4</t>
  </si>
  <si>
    <t>JBSS</t>
  </si>
  <si>
    <t>MARFRIG</t>
  </si>
  <si>
    <t>MRFG</t>
  </si>
  <si>
    <t>MINERVA</t>
  </si>
  <si>
    <t>BEEF</t>
  </si>
  <si>
    <t>MINUPAR</t>
  </si>
  <si>
    <t>MNPR</t>
  </si>
  <si>
    <t>MNPR3</t>
  </si>
  <si>
    <t>Alimentos Diversos</t>
  </si>
  <si>
    <t>CAML</t>
  </si>
  <si>
    <t>J.MACEDO</t>
  </si>
  <si>
    <t>JMCD</t>
  </si>
  <si>
    <t>JOSAPAR</t>
  </si>
  <si>
    <t>JOPA</t>
  </si>
  <si>
    <t>JOPA3</t>
  </si>
  <si>
    <t>MDIASBRANCO</t>
  </si>
  <si>
    <t>MDIA</t>
  </si>
  <si>
    <t>ODERICH</t>
  </si>
  <si>
    <t>ODER</t>
  </si>
  <si>
    <t>ODER3</t>
  </si>
  <si>
    <t>ODER4</t>
  </si>
  <si>
    <t>Bebidas</t>
  </si>
  <si>
    <t>Cervejas e Refrigerantes</t>
  </si>
  <si>
    <t>AMBEV S/A</t>
  </si>
  <si>
    <t>ABEV</t>
  </si>
  <si>
    <t>ABEV3</t>
  </si>
  <si>
    <t>Produtos de Uso Pessoal e de Limpeza</t>
  </si>
  <si>
    <t>Produtos de Uso Pessoal</t>
  </si>
  <si>
    <t>NTCO</t>
  </si>
  <si>
    <t>Produtos de Limpeza</t>
  </si>
  <si>
    <t>BOMBRIL</t>
  </si>
  <si>
    <t>BOBR</t>
  </si>
  <si>
    <t>BOBR4</t>
  </si>
  <si>
    <t>Comércio e Distribuição</t>
  </si>
  <si>
    <t>Alimentos</t>
  </si>
  <si>
    <t>CRFB</t>
  </si>
  <si>
    <t>GRUPO MATEUS</t>
  </si>
  <si>
    <t>GMAT</t>
  </si>
  <si>
    <t>GMAT3</t>
  </si>
  <si>
    <t>PCAR</t>
  </si>
  <si>
    <t>Construção Civil</t>
  </si>
  <si>
    <t>Incorporações</t>
  </si>
  <si>
    <t>CONST A LIND</t>
  </si>
  <si>
    <t>CALI</t>
  </si>
  <si>
    <t>CALI3</t>
  </si>
  <si>
    <t>CALI4</t>
  </si>
  <si>
    <t>CR2</t>
  </si>
  <si>
    <t>CRDE</t>
  </si>
  <si>
    <t>CRDE3</t>
  </si>
  <si>
    <t>CRDE3F</t>
  </si>
  <si>
    <t>CURY</t>
  </si>
  <si>
    <t>CYRE</t>
  </si>
  <si>
    <t>CYRE3F</t>
  </si>
  <si>
    <t>DIRECIONAL</t>
  </si>
  <si>
    <t>DIRR</t>
  </si>
  <si>
    <t>EVEN</t>
  </si>
  <si>
    <t>EZTC</t>
  </si>
  <si>
    <t>GAFISA</t>
  </si>
  <si>
    <t>GFSA</t>
  </si>
  <si>
    <t>HELBOR</t>
  </si>
  <si>
    <t>HBOR</t>
  </si>
  <si>
    <t>HBOR9F</t>
  </si>
  <si>
    <t>INTER SA</t>
  </si>
  <si>
    <t>INNT</t>
  </si>
  <si>
    <t>INTT3</t>
  </si>
  <si>
    <t>JOAO FORTES</t>
  </si>
  <si>
    <t>JFEN</t>
  </si>
  <si>
    <t>JFEN3</t>
  </si>
  <si>
    <t>LAVV</t>
  </si>
  <si>
    <t>MELNICK</t>
  </si>
  <si>
    <t>MELK</t>
  </si>
  <si>
    <t>MITRE REALTY</t>
  </si>
  <si>
    <t>MTRE</t>
  </si>
  <si>
    <t>MOURA DUBEUX</t>
  </si>
  <si>
    <t>MDNE</t>
  </si>
  <si>
    <t>MRVE</t>
  </si>
  <si>
    <t>PDGR</t>
  </si>
  <si>
    <t>PDGR11F</t>
  </si>
  <si>
    <t>PLPL</t>
  </si>
  <si>
    <t>RDNI</t>
  </si>
  <si>
    <t>ROSSI RESID</t>
  </si>
  <si>
    <t>RSID</t>
  </si>
  <si>
    <t>TECNISA</t>
  </si>
  <si>
    <t>TCSA</t>
  </si>
  <si>
    <t>TENDA</t>
  </si>
  <si>
    <t>TEND</t>
  </si>
  <si>
    <t>TEND3</t>
  </si>
  <si>
    <t>TRISUL</t>
  </si>
  <si>
    <t>TRIS</t>
  </si>
  <si>
    <t>TRIS3</t>
  </si>
  <si>
    <t>VIVER</t>
  </si>
  <si>
    <t>VIVR</t>
  </si>
  <si>
    <t>VIVR3</t>
  </si>
  <si>
    <t>Tecidos, Vestuário e Calçados</t>
  </si>
  <si>
    <t>Fios e Tecidos</t>
  </si>
  <si>
    <t>CEDRO</t>
  </si>
  <si>
    <t>CEDO</t>
  </si>
  <si>
    <t>CEDO4</t>
  </si>
  <si>
    <t>CEDO3</t>
  </si>
  <si>
    <t>COTEMINAS</t>
  </si>
  <si>
    <t>CTNM</t>
  </si>
  <si>
    <t>DOHLER</t>
  </si>
  <si>
    <t>DOHL</t>
  </si>
  <si>
    <t>DOHL3</t>
  </si>
  <si>
    <t>ENCORPAR</t>
  </si>
  <si>
    <t>ECPR</t>
  </si>
  <si>
    <t>ECPR3</t>
  </si>
  <si>
    <t>IND CATAGUAS</t>
  </si>
  <si>
    <t>CATA</t>
  </si>
  <si>
    <t>CATA3</t>
  </si>
  <si>
    <t>CATA4</t>
  </si>
  <si>
    <t>KARSTEN</t>
  </si>
  <si>
    <t>CTKA</t>
  </si>
  <si>
    <t>PETTENATI</t>
  </si>
  <si>
    <t>PTNT</t>
  </si>
  <si>
    <t>PTNT4</t>
  </si>
  <si>
    <t>SANTANENSE</t>
  </si>
  <si>
    <t>CTSA</t>
  </si>
  <si>
    <t>CTSA3</t>
  </si>
  <si>
    <t>SPRINGS</t>
  </si>
  <si>
    <t>SGPS</t>
  </si>
  <si>
    <t>SGPS3</t>
  </si>
  <si>
    <t>TEKA</t>
  </si>
  <si>
    <t>TEKA4</t>
  </si>
  <si>
    <t>TEX RENAUX</t>
  </si>
  <si>
    <t>TXRX</t>
  </si>
  <si>
    <t>TXRX4</t>
  </si>
  <si>
    <t>Vestuário</t>
  </si>
  <si>
    <t>CIA HERING</t>
  </si>
  <si>
    <t>HGTX</t>
  </si>
  <si>
    <t>HGTX3</t>
  </si>
  <si>
    <t>Calçados</t>
  </si>
  <si>
    <t>ALPARGATAS</t>
  </si>
  <si>
    <t>ALPA</t>
  </si>
  <si>
    <t>ALPA3</t>
  </si>
  <si>
    <t>ALPA4</t>
  </si>
  <si>
    <t>CAMBUCI</t>
  </si>
  <si>
    <t>CAMB</t>
  </si>
  <si>
    <t>CAMB3</t>
  </si>
  <si>
    <t>GRENDENE</t>
  </si>
  <si>
    <t>GRND</t>
  </si>
  <si>
    <t>VULCABRAS</t>
  </si>
  <si>
    <t>VULC</t>
  </si>
  <si>
    <t>VULC3</t>
  </si>
  <si>
    <t>Acessórios</t>
  </si>
  <si>
    <t>MUNDIAL</t>
  </si>
  <si>
    <t>MNDL</t>
  </si>
  <si>
    <t>TECHNOS</t>
  </si>
  <si>
    <t>TECN</t>
  </si>
  <si>
    <t>TECN3</t>
  </si>
  <si>
    <t>VIVA</t>
  </si>
  <si>
    <t>Utilidades Domésticas</t>
  </si>
  <si>
    <t>Eletrodomésticos</t>
  </si>
  <si>
    <t>WHRL</t>
  </si>
  <si>
    <t>Móveis</t>
  </si>
  <si>
    <t>UNICASA</t>
  </si>
  <si>
    <t>UCAS</t>
  </si>
  <si>
    <t>UCAS3</t>
  </si>
  <si>
    <t>Utensílios Domésticos</t>
  </si>
  <si>
    <t>HERCULES</t>
  </si>
  <si>
    <t>HETA</t>
  </si>
  <si>
    <t>HETA4</t>
  </si>
  <si>
    <t>Automóveis e Motocicletas</t>
  </si>
  <si>
    <t>MYPK</t>
  </si>
  <si>
    <t>MYPK11F</t>
  </si>
  <si>
    <t>MYPK12F</t>
  </si>
  <si>
    <t>METAL LEVE</t>
  </si>
  <si>
    <t>LEVE</t>
  </si>
  <si>
    <t>PLASCAR PART</t>
  </si>
  <si>
    <t>PLAS</t>
  </si>
  <si>
    <t>PLAS3</t>
  </si>
  <si>
    <t>PLAS11</t>
  </si>
  <si>
    <t>Hoteis e Restaurantes</t>
  </si>
  <si>
    <t>Hotelaria</t>
  </si>
  <si>
    <t>HOTEIS OTHON</t>
  </si>
  <si>
    <t>HOOT</t>
  </si>
  <si>
    <t>HOOT3</t>
  </si>
  <si>
    <t>HOOT4F</t>
  </si>
  <si>
    <t>HOOT3F</t>
  </si>
  <si>
    <t>Restaurante e Similares</t>
  </si>
  <si>
    <t>BK BRASIL</t>
  </si>
  <si>
    <t>BKBR</t>
  </si>
  <si>
    <t>BKBR3</t>
  </si>
  <si>
    <t>IMC S/A</t>
  </si>
  <si>
    <t>MEAL</t>
  </si>
  <si>
    <t>MEAL3</t>
  </si>
  <si>
    <t>Viagens e Lazer</t>
  </si>
  <si>
    <t>Bicicletas</t>
  </si>
  <si>
    <t>BIC MONARK</t>
  </si>
  <si>
    <t>BMKS</t>
  </si>
  <si>
    <t>BMKS3</t>
  </si>
  <si>
    <t>Brinquedos e Jogos</t>
  </si>
  <si>
    <t>ESTRELA</t>
  </si>
  <si>
    <t>ESTR</t>
  </si>
  <si>
    <t>Produção de Eventos e Shows</t>
  </si>
  <si>
    <t>SPTURIS</t>
  </si>
  <si>
    <t>AHEB</t>
  </si>
  <si>
    <t>AHEB3</t>
  </si>
  <si>
    <t>TIME FOR FUN</t>
  </si>
  <si>
    <t>SHOW</t>
  </si>
  <si>
    <t>SHOW3</t>
  </si>
  <si>
    <t>Viagens e Turismo</t>
  </si>
  <si>
    <t>CVCB</t>
  </si>
  <si>
    <t>CVCB3F</t>
  </si>
  <si>
    <t>CVCB11</t>
  </si>
  <si>
    <t>Atividades Esportivas</t>
  </si>
  <si>
    <t>SMART FIT</t>
  </si>
  <si>
    <t>SMFT</t>
  </si>
  <si>
    <t>SMTF3</t>
  </si>
  <si>
    <t>Diversos</t>
  </si>
  <si>
    <t>Serviços Educacionais</t>
  </si>
  <si>
    <t>ANIMA</t>
  </si>
  <si>
    <t>ANIM</t>
  </si>
  <si>
    <t>ANIM3</t>
  </si>
  <si>
    <t>BAHEMA</t>
  </si>
  <si>
    <t>BAHI</t>
  </si>
  <si>
    <t>BAHI3</t>
  </si>
  <si>
    <t>COGNA</t>
  </si>
  <si>
    <t>COGN</t>
  </si>
  <si>
    <t>SEER</t>
  </si>
  <si>
    <t>SEER3F</t>
  </si>
  <si>
    <t>YDUQ</t>
  </si>
  <si>
    <t>Aluguel de carros</t>
  </si>
  <si>
    <t>LOCALIZA</t>
  </si>
  <si>
    <t>RENT</t>
  </si>
  <si>
    <t>LOCAMERICA</t>
  </si>
  <si>
    <t>LCAM</t>
  </si>
  <si>
    <t>MAESTROLOC</t>
  </si>
  <si>
    <t>MSRO</t>
  </si>
  <si>
    <t>MSRO3</t>
  </si>
  <si>
    <t>MOVIDA</t>
  </si>
  <si>
    <t>MOVI</t>
  </si>
  <si>
    <t>UNIDAS</t>
  </si>
  <si>
    <t>UNID</t>
  </si>
  <si>
    <t>Programas de Fidelização</t>
  </si>
  <si>
    <t>SMILES</t>
  </si>
  <si>
    <t>SMLS</t>
  </si>
  <si>
    <t>ARZZ</t>
  </si>
  <si>
    <t>ARZZ3</t>
  </si>
  <si>
    <t>CEAB</t>
  </si>
  <si>
    <t>GRAZZIOTIN</t>
  </si>
  <si>
    <t>CGRA</t>
  </si>
  <si>
    <t>GRUPO SOMA</t>
  </si>
  <si>
    <t>SOMA</t>
  </si>
  <si>
    <t>GUARARAPES</t>
  </si>
  <si>
    <t>GUAR</t>
  </si>
  <si>
    <t>GUAR3</t>
  </si>
  <si>
    <t>LE LIS BLANC</t>
  </si>
  <si>
    <t>LLIS</t>
  </si>
  <si>
    <t>AMAR</t>
  </si>
  <si>
    <t>LOJAS RENNER</t>
  </si>
  <si>
    <t>LREN</t>
  </si>
  <si>
    <t>MGLU</t>
  </si>
  <si>
    <t>VVAR</t>
  </si>
  <si>
    <t>VVAR11F</t>
  </si>
  <si>
    <t>VVAR4F</t>
  </si>
  <si>
    <t>VIIA3</t>
  </si>
  <si>
    <t>Produtos Diversos</t>
  </si>
  <si>
    <t>B2W DIGITAL</t>
  </si>
  <si>
    <t>BTOW</t>
  </si>
  <si>
    <t>BTOW3</t>
  </si>
  <si>
    <t>CENTAURO</t>
  </si>
  <si>
    <t>CNTO</t>
  </si>
  <si>
    <t>CNTO3</t>
  </si>
  <si>
    <t>LAME</t>
  </si>
  <si>
    <t>PETZ</t>
  </si>
  <si>
    <t>QUERO-QUERO</t>
  </si>
  <si>
    <t>LJQQ</t>
  </si>
  <si>
    <t>SARAIVA LIVR</t>
  </si>
  <si>
    <t>SLED</t>
  </si>
  <si>
    <t>SLED11</t>
  </si>
  <si>
    <t>SLED12</t>
  </si>
  <si>
    <t>Medicamentos e Outros Produtos</t>
  </si>
  <si>
    <t>BIOMM</t>
  </si>
  <si>
    <t>BIOM</t>
  </si>
  <si>
    <t>BIOM1</t>
  </si>
  <si>
    <t>BIOTOSCANA</t>
  </si>
  <si>
    <t>GBIO</t>
  </si>
  <si>
    <t>NORTCQUIMICA</t>
  </si>
  <si>
    <t>NRTQ</t>
  </si>
  <si>
    <t>NRTQ3</t>
  </si>
  <si>
    <t>OUROFINO S/A</t>
  </si>
  <si>
    <t>OFSA</t>
  </si>
  <si>
    <t>Análises e Diagnósticos</t>
  </si>
  <si>
    <t>ADVANCED-DH</t>
  </si>
  <si>
    <t>ADHM</t>
  </si>
  <si>
    <t>ADHM3</t>
  </si>
  <si>
    <t>ALLIAR</t>
  </si>
  <si>
    <t>AALR</t>
  </si>
  <si>
    <t>DASA</t>
  </si>
  <si>
    <t>DASA3</t>
  </si>
  <si>
    <t>FLEURY</t>
  </si>
  <si>
    <t>FLRY</t>
  </si>
  <si>
    <t>FLRY3F</t>
  </si>
  <si>
    <t>HAPVIDA</t>
  </si>
  <si>
    <t>HAPV</t>
  </si>
  <si>
    <t>HAPV3</t>
  </si>
  <si>
    <t>PARD</t>
  </si>
  <si>
    <t>INTERMEDICA</t>
  </si>
  <si>
    <t>GNDI</t>
  </si>
  <si>
    <t>GNDI3</t>
  </si>
  <si>
    <t>ODONTOPREV</t>
  </si>
  <si>
    <t>ODPV</t>
  </si>
  <si>
    <t>QUALICORP</t>
  </si>
  <si>
    <t>QUAL</t>
  </si>
  <si>
    <t>Equipamentos</t>
  </si>
  <si>
    <t>BAUMER</t>
  </si>
  <si>
    <t>BALM</t>
  </si>
  <si>
    <t>LIFEMED</t>
  </si>
  <si>
    <t>LMED</t>
  </si>
  <si>
    <t>LMED3</t>
  </si>
  <si>
    <t>DIMED</t>
  </si>
  <si>
    <t>PNVL</t>
  </si>
  <si>
    <t>DMVF</t>
  </si>
  <si>
    <t>HYPE</t>
  </si>
  <si>
    <t>HYPE3F</t>
  </si>
  <si>
    <t>PAGUE MENOS</t>
  </si>
  <si>
    <t>PGMN</t>
  </si>
  <si>
    <t>PROFARMA</t>
  </si>
  <si>
    <t>PFRM</t>
  </si>
  <si>
    <t>PFRM3</t>
  </si>
  <si>
    <t>PFRM3F</t>
  </si>
  <si>
    <t>RADL</t>
  </si>
  <si>
    <t>Computadores e Equipamentos</t>
  </si>
  <si>
    <t>POSI</t>
  </si>
  <si>
    <t>Programas e Serviços</t>
  </si>
  <si>
    <t>BRQ</t>
  </si>
  <si>
    <t>BRQB</t>
  </si>
  <si>
    <t>BRQB3</t>
  </si>
  <si>
    <t>BRQB3F</t>
  </si>
  <si>
    <t>LINX</t>
  </si>
  <si>
    <t>LOCAWEB</t>
  </si>
  <si>
    <t>LWSA</t>
  </si>
  <si>
    <t>QUALITY SOFT</t>
  </si>
  <si>
    <t>QUSW</t>
  </si>
  <si>
    <t>QUSW3</t>
  </si>
  <si>
    <t>QUSW3F</t>
  </si>
  <si>
    <t>SINQIA</t>
  </si>
  <si>
    <t>SQIA</t>
  </si>
  <si>
    <t>SQIA3</t>
  </si>
  <si>
    <t>TOTVS</t>
  </si>
  <si>
    <t>TOTS</t>
  </si>
  <si>
    <t>Comunicações</t>
  </si>
  <si>
    <t>ALGAR TELEC</t>
  </si>
  <si>
    <t>ALGT</t>
  </si>
  <si>
    <t>OIBR3</t>
  </si>
  <si>
    <t>OIBR3F</t>
  </si>
  <si>
    <t>TELEBRAS</t>
  </si>
  <si>
    <t>TELB</t>
  </si>
  <si>
    <t>VIVT</t>
  </si>
  <si>
    <t>TIM</t>
  </si>
  <si>
    <t>TIMS</t>
  </si>
  <si>
    <t>TIMS3</t>
  </si>
  <si>
    <t>TIMP</t>
  </si>
  <si>
    <t>Mídia</t>
  </si>
  <si>
    <t>Produção e Difusão de Filmes e Programas</t>
  </si>
  <si>
    <t>CINESYSTEM</t>
  </si>
  <si>
    <t>CNSY</t>
  </si>
  <si>
    <t>CNSY3</t>
  </si>
  <si>
    <t>CNSY3F</t>
  </si>
  <si>
    <t>Energia Elétrica</t>
  </si>
  <si>
    <t>AES SUL</t>
  </si>
  <si>
    <t>AESL</t>
  </si>
  <si>
    <t>AESL3</t>
  </si>
  <si>
    <t>TIET</t>
  </si>
  <si>
    <t>AFLUENTE T</t>
  </si>
  <si>
    <t>AFLT</t>
  </si>
  <si>
    <t>ALUP</t>
  </si>
  <si>
    <t>AMPLA ENERG</t>
  </si>
  <si>
    <t>CBEE</t>
  </si>
  <si>
    <t>CBEE3</t>
  </si>
  <si>
    <t>CACHOEIRA</t>
  </si>
  <si>
    <t>CPTE</t>
  </si>
  <si>
    <t>CEBR</t>
  </si>
  <si>
    <t>CEED</t>
  </si>
  <si>
    <t>CEEE-GT</t>
  </si>
  <si>
    <t>EEEL</t>
  </si>
  <si>
    <t>CELESC</t>
  </si>
  <si>
    <t>CLSC</t>
  </si>
  <si>
    <t>CELGPAR</t>
  </si>
  <si>
    <t>GPAR</t>
  </si>
  <si>
    <t>GPAR3</t>
  </si>
  <si>
    <t>CELPE</t>
  </si>
  <si>
    <t>CEPE</t>
  </si>
  <si>
    <t>PNB</t>
  </si>
  <si>
    <t>CEMIG</t>
  </si>
  <si>
    <t>CMIG</t>
  </si>
  <si>
    <t>CMIG4F</t>
  </si>
  <si>
    <t>CMIG10F</t>
  </si>
  <si>
    <t>CMIG9F</t>
  </si>
  <si>
    <t>CEMIG DIST</t>
  </si>
  <si>
    <t>CMGD</t>
  </si>
  <si>
    <t>CEMIG GT</t>
  </si>
  <si>
    <t>CMGT</t>
  </si>
  <si>
    <t>CESP6F</t>
  </si>
  <si>
    <t>CESP5F</t>
  </si>
  <si>
    <t>COELBA</t>
  </si>
  <si>
    <t>CEEB</t>
  </si>
  <si>
    <t>CEEB5</t>
  </si>
  <si>
    <t>CEEB3</t>
  </si>
  <si>
    <t>CEEB6</t>
  </si>
  <si>
    <t>COELCE</t>
  </si>
  <si>
    <t>COCE</t>
  </si>
  <si>
    <t>COPEL</t>
  </si>
  <si>
    <t>CPLE</t>
  </si>
  <si>
    <t>COSERN</t>
  </si>
  <si>
    <t>CSRN</t>
  </si>
  <si>
    <t>CSRN3</t>
  </si>
  <si>
    <t>CSRN5</t>
  </si>
  <si>
    <t>CSRN6</t>
  </si>
  <si>
    <t>CPFL ENERGIA</t>
  </si>
  <si>
    <t>CPFE</t>
  </si>
  <si>
    <t>CPFL GERACAO</t>
  </si>
  <si>
    <t>CPFG</t>
  </si>
  <si>
    <t>CPFL PIRATIN</t>
  </si>
  <si>
    <t>CPFP</t>
  </si>
  <si>
    <t>CPFL RENOVAV</t>
  </si>
  <si>
    <t>CPRE</t>
  </si>
  <si>
    <t>EBE</t>
  </si>
  <si>
    <t>EBEN</t>
  </si>
  <si>
    <t>ELEKTRO</t>
  </si>
  <si>
    <t>EKTR</t>
  </si>
  <si>
    <t>EKTR3</t>
  </si>
  <si>
    <t>EKTR4</t>
  </si>
  <si>
    <t>ELETROBRAS</t>
  </si>
  <si>
    <t>ELET</t>
  </si>
  <si>
    <t>ELET3</t>
  </si>
  <si>
    <t>ELET5</t>
  </si>
  <si>
    <t>ELET6</t>
  </si>
  <si>
    <t>ELET3F</t>
  </si>
  <si>
    <t>ELET5F</t>
  </si>
  <si>
    <t>ELET6F</t>
  </si>
  <si>
    <t>ELETROPAR</t>
  </si>
  <si>
    <t>LIPR</t>
  </si>
  <si>
    <t>LIPR3</t>
  </si>
  <si>
    <t>EMAE</t>
  </si>
  <si>
    <t>EMAE4</t>
  </si>
  <si>
    <t>ENERGIAS BR</t>
  </si>
  <si>
    <t>ENBR</t>
  </si>
  <si>
    <t>ENBR3</t>
  </si>
  <si>
    <t>ENBR3F</t>
  </si>
  <si>
    <t>ENERGISA</t>
  </si>
  <si>
    <t>ENGI</t>
  </si>
  <si>
    <t>ENGI3</t>
  </si>
  <si>
    <t>ENGI4</t>
  </si>
  <si>
    <t>ENGI11</t>
  </si>
  <si>
    <t>ENERGISA MT</t>
  </si>
  <si>
    <t>ENMT</t>
  </si>
  <si>
    <t>ENMT3</t>
  </si>
  <si>
    <t>ENMT4</t>
  </si>
  <si>
    <t>ENERSUL</t>
  </si>
  <si>
    <t>ENER</t>
  </si>
  <si>
    <t>ENEVA</t>
  </si>
  <si>
    <t>ENEV</t>
  </si>
  <si>
    <t>EGIE</t>
  </si>
  <si>
    <t>EQTL PARA</t>
  </si>
  <si>
    <t>EQPA</t>
  </si>
  <si>
    <t>EQPA3</t>
  </si>
  <si>
    <t>EQPA5</t>
  </si>
  <si>
    <t>EQPA6</t>
  </si>
  <si>
    <t>EQPA7</t>
  </si>
  <si>
    <t>EQTLMARANHAO</t>
  </si>
  <si>
    <t>EQMA</t>
  </si>
  <si>
    <t>EQMA3B</t>
  </si>
  <si>
    <t>EQMA5B</t>
  </si>
  <si>
    <t>EQMA6B</t>
  </si>
  <si>
    <t>EQUATORIAL</t>
  </si>
  <si>
    <t>EQTL</t>
  </si>
  <si>
    <t>EQTL3</t>
  </si>
  <si>
    <t>EQTL3F</t>
  </si>
  <si>
    <t>ESCELSA</t>
  </si>
  <si>
    <t>ESCE</t>
  </si>
  <si>
    <t>FGENERGIA</t>
  </si>
  <si>
    <t>FGEN</t>
  </si>
  <si>
    <t>GEPA</t>
  </si>
  <si>
    <t>PN</t>
  </si>
  <si>
    <t>ITAPEBI</t>
  </si>
  <si>
    <t>ITPB</t>
  </si>
  <si>
    <t>LIGHT S/A</t>
  </si>
  <si>
    <t>LIGT</t>
  </si>
  <si>
    <t>LIGT3</t>
  </si>
  <si>
    <t>LIGT3F</t>
  </si>
  <si>
    <t>NEOENERGIA</t>
  </si>
  <si>
    <t>NEOE</t>
  </si>
  <si>
    <t>NEOE3BF</t>
  </si>
  <si>
    <t>OMEGA GER</t>
  </si>
  <si>
    <t>OMGE</t>
  </si>
  <si>
    <t>OMGE3</t>
  </si>
  <si>
    <t>OMGE3F</t>
  </si>
  <si>
    <t>PAUL F LUZ</t>
  </si>
  <si>
    <t>PALF</t>
  </si>
  <si>
    <t>PROMAN</t>
  </si>
  <si>
    <t>PRMN</t>
  </si>
  <si>
    <t>PRMN3B</t>
  </si>
  <si>
    <t>PRMN3BF</t>
  </si>
  <si>
    <t>REDE ENERGIA</t>
  </si>
  <si>
    <t>REDE</t>
  </si>
  <si>
    <t>REDE3</t>
  </si>
  <si>
    <t>REDE3F</t>
  </si>
  <si>
    <t>RENOVA</t>
  </si>
  <si>
    <t>RNEW</t>
  </si>
  <si>
    <t>RNEW3F</t>
  </si>
  <si>
    <t>STATKRAFT</t>
  </si>
  <si>
    <t>STKF</t>
  </si>
  <si>
    <t>STKF3</t>
  </si>
  <si>
    <t>STKF3F</t>
  </si>
  <si>
    <t>STO ANTONIO</t>
  </si>
  <si>
    <t>STEN</t>
  </si>
  <si>
    <t>TAESA</t>
  </si>
  <si>
    <t>TAEE</t>
  </si>
  <si>
    <t>TAEE11F</t>
  </si>
  <si>
    <t>TAEE3F</t>
  </si>
  <si>
    <t>TAEE4F</t>
  </si>
  <si>
    <t>TERMOPE</t>
  </si>
  <si>
    <t>TMPE</t>
  </si>
  <si>
    <t>TERM. PE III</t>
  </si>
  <si>
    <t>TEPE</t>
  </si>
  <si>
    <t>TRPL</t>
  </si>
  <si>
    <t>UPTICK</t>
  </si>
  <si>
    <t>UPKP</t>
  </si>
  <si>
    <t>UPKP3B</t>
  </si>
  <si>
    <t>UPKP3F</t>
  </si>
  <si>
    <t>Água e Saneamento</t>
  </si>
  <si>
    <t>CASAN</t>
  </si>
  <si>
    <t>CASN</t>
  </si>
  <si>
    <t>COPASA</t>
  </si>
  <si>
    <t>CSMG</t>
  </si>
  <si>
    <t>CSMG3</t>
  </si>
  <si>
    <t>CSMG3F</t>
  </si>
  <si>
    <t>IGUA SA</t>
  </si>
  <si>
    <t>IGSN</t>
  </si>
  <si>
    <t>IGSN3</t>
  </si>
  <si>
    <t>IGSN3F</t>
  </si>
  <si>
    <t>SABESP</t>
  </si>
  <si>
    <t>SBSP</t>
  </si>
  <si>
    <t>SANEPAR</t>
  </si>
  <si>
    <t>SAPR</t>
  </si>
  <si>
    <t>SANESALTO</t>
  </si>
  <si>
    <t>SNST</t>
  </si>
  <si>
    <t>Gás</t>
  </si>
  <si>
    <t>CEGR</t>
  </si>
  <si>
    <t>COMGÁS</t>
  </si>
  <si>
    <t>CGAS</t>
  </si>
  <si>
    <t>Intermediários Financeiros</t>
  </si>
  <si>
    <t>Bancos</t>
  </si>
  <si>
    <t>ABC BRASIL</t>
  </si>
  <si>
    <t>ABCB</t>
  </si>
  <si>
    <t>ABCB10</t>
  </si>
  <si>
    <t>ABCB4</t>
  </si>
  <si>
    <t>ABCB4F</t>
  </si>
  <si>
    <t>ALFA HOLDING</t>
  </si>
  <si>
    <t>RPAD</t>
  </si>
  <si>
    <t>RPAD3</t>
  </si>
  <si>
    <t>RPAD5</t>
  </si>
  <si>
    <t>RPAD6</t>
  </si>
  <si>
    <t>RPAD3F</t>
  </si>
  <si>
    <t>RPAD5F</t>
  </si>
  <si>
    <t>RPAD6F</t>
  </si>
  <si>
    <t>ALFA INVEST</t>
  </si>
  <si>
    <t>BRIV</t>
  </si>
  <si>
    <t>BRIV3</t>
  </si>
  <si>
    <t>BRIV4</t>
  </si>
  <si>
    <t>BRIV3F</t>
  </si>
  <si>
    <t>BRIV4F</t>
  </si>
  <si>
    <t>AMAZONIA</t>
  </si>
  <si>
    <t>BAZA</t>
  </si>
  <si>
    <t>BAZA3</t>
  </si>
  <si>
    <t>BAZA3F</t>
  </si>
  <si>
    <t>BMGB</t>
  </si>
  <si>
    <t>BANCO INTER</t>
  </si>
  <si>
    <t>BIDI</t>
  </si>
  <si>
    <t>BANCO PAN</t>
  </si>
  <si>
    <t>BPAN</t>
  </si>
  <si>
    <t>BPAN2F</t>
  </si>
  <si>
    <t>BANESE</t>
  </si>
  <si>
    <t>BGIP</t>
  </si>
  <si>
    <t>BGIP3</t>
  </si>
  <si>
    <t>BGIP4</t>
  </si>
  <si>
    <t>BGIP3F</t>
  </si>
  <si>
    <t>BGIP4F</t>
  </si>
  <si>
    <t>BANESTES</t>
  </si>
  <si>
    <t>BEES</t>
  </si>
  <si>
    <t>BEES3</t>
  </si>
  <si>
    <t>BEES4</t>
  </si>
  <si>
    <t>BEES3F</t>
  </si>
  <si>
    <t>BEES4F</t>
  </si>
  <si>
    <t>BANPARA</t>
  </si>
  <si>
    <t>BPAR</t>
  </si>
  <si>
    <t>BANRISUL</t>
  </si>
  <si>
    <t>BRSR</t>
  </si>
  <si>
    <t>BRADESCO</t>
  </si>
  <si>
    <t>BBDC</t>
  </si>
  <si>
    <t>BBDC3F</t>
  </si>
  <si>
    <t>BBAS</t>
  </si>
  <si>
    <t>BBAS11F</t>
  </si>
  <si>
    <t>BBAS12F</t>
  </si>
  <si>
    <t>BRB BANCO</t>
  </si>
  <si>
    <t>BSLI</t>
  </si>
  <si>
    <t>BTGP BANCO</t>
  </si>
  <si>
    <t>BPAC</t>
  </si>
  <si>
    <t>BPAC11</t>
  </si>
  <si>
    <t>BPAC3</t>
  </si>
  <si>
    <t>BPAC5</t>
  </si>
  <si>
    <t>BPAC11F</t>
  </si>
  <si>
    <t>BPAC3F</t>
  </si>
  <si>
    <t>BPAC5F</t>
  </si>
  <si>
    <t>INDUSVAL</t>
  </si>
  <si>
    <t>IDVL</t>
  </si>
  <si>
    <t>IDVL3</t>
  </si>
  <si>
    <t>IDVL4</t>
  </si>
  <si>
    <t>IDVL3F</t>
  </si>
  <si>
    <t>IDVL4F</t>
  </si>
  <si>
    <t>ITAÚSA</t>
  </si>
  <si>
    <t>ITSA</t>
  </si>
  <si>
    <t>ITSA3</t>
  </si>
  <si>
    <t>ITUB</t>
  </si>
  <si>
    <t>MERC BRASIL</t>
  </si>
  <si>
    <t>BMEB</t>
  </si>
  <si>
    <t>BMEB3</t>
  </si>
  <si>
    <t>BMEB4</t>
  </si>
  <si>
    <t>BMEB3F</t>
  </si>
  <si>
    <t>BMEB4F</t>
  </si>
  <si>
    <t>BMEB9F</t>
  </si>
  <si>
    <t>BMIN</t>
  </si>
  <si>
    <t>BMIN4</t>
  </si>
  <si>
    <t>BMIN3F</t>
  </si>
  <si>
    <t>BMIN4F</t>
  </si>
  <si>
    <t>NORD BRASIL</t>
  </si>
  <si>
    <t>BNBR</t>
  </si>
  <si>
    <t>BNBR3</t>
  </si>
  <si>
    <t>BNBR3F</t>
  </si>
  <si>
    <t>PARANA</t>
  </si>
  <si>
    <t>PRBC</t>
  </si>
  <si>
    <t>PINE</t>
  </si>
  <si>
    <t>PINE3</t>
  </si>
  <si>
    <t>PINE4</t>
  </si>
  <si>
    <t>PINE3F</t>
  </si>
  <si>
    <t>PINE4F</t>
  </si>
  <si>
    <t>SANTANDER BR</t>
  </si>
  <si>
    <t>SANB</t>
  </si>
  <si>
    <t>Soc. Crédito e Financiamento</t>
  </si>
  <si>
    <t>ALFA FINANC</t>
  </si>
  <si>
    <t>CRIV</t>
  </si>
  <si>
    <t>CRIV3</t>
  </si>
  <si>
    <t>CRIV4</t>
  </si>
  <si>
    <t>CRIV3F</t>
  </si>
  <si>
    <t>CRIV4F</t>
  </si>
  <si>
    <t>FINANSINOS</t>
  </si>
  <si>
    <t>FNCN</t>
  </si>
  <si>
    <t>FNCN3</t>
  </si>
  <si>
    <t>FNCN3F</t>
  </si>
  <si>
    <t>MERC</t>
  </si>
  <si>
    <t>MERC3</t>
  </si>
  <si>
    <t>MERC3F</t>
  </si>
  <si>
    <t>MERC4F</t>
  </si>
  <si>
    <t>Soc. Arrendamento Mercantil</t>
  </si>
  <si>
    <t>BRADESCO LSG</t>
  </si>
  <si>
    <t>BDLS</t>
  </si>
  <si>
    <t>DIBENS LSG</t>
  </si>
  <si>
    <t>DBEN</t>
  </si>
  <si>
    <t>Securitizadoras de Recebíveis</t>
  </si>
  <si>
    <t>BRAZIL REALT</t>
  </si>
  <si>
    <t>BZRS</t>
  </si>
  <si>
    <t>BRAZILIAN SC</t>
  </si>
  <si>
    <t>BSCS</t>
  </si>
  <si>
    <t>BRPR 56 SEC</t>
  </si>
  <si>
    <t>WTVR</t>
  </si>
  <si>
    <t>CIBRASEC</t>
  </si>
  <si>
    <t>CBSC</t>
  </si>
  <si>
    <t>ECO SEC AGRO</t>
  </si>
  <si>
    <t>ECOA</t>
  </si>
  <si>
    <t>GAIA AGRO</t>
  </si>
  <si>
    <t>GAFL</t>
  </si>
  <si>
    <t>GAIA SECURIT</t>
  </si>
  <si>
    <t>GAIA</t>
  </si>
  <si>
    <t>OCTANTE SEC</t>
  </si>
  <si>
    <t>OCTS</t>
  </si>
  <si>
    <t>PDG SECURIT</t>
  </si>
  <si>
    <t>PDGS</t>
  </si>
  <si>
    <t>POLO CAP SEC</t>
  </si>
  <si>
    <t>PLSC</t>
  </si>
  <si>
    <t>RBCAPITALRES</t>
  </si>
  <si>
    <t>RBRA</t>
  </si>
  <si>
    <t>TRUESEC</t>
  </si>
  <si>
    <t>APCS</t>
  </si>
  <si>
    <t>VERTCIASEC</t>
  </si>
  <si>
    <t>VERT</t>
  </si>
  <si>
    <t>WTORRE PIC</t>
  </si>
  <si>
    <t>WTPI</t>
  </si>
  <si>
    <t>Serviços Financeiros Diversos</t>
  </si>
  <si>
    <t>Gestão de Recursos e Investimentos</t>
  </si>
  <si>
    <t>BNDESPAR</t>
  </si>
  <si>
    <t>BNDP</t>
  </si>
  <si>
    <t>BRAZILIAN FR</t>
  </si>
  <si>
    <t>BFRE</t>
  </si>
  <si>
    <t>GP INVEST</t>
  </si>
  <si>
    <t>GPIV</t>
  </si>
  <si>
    <t>GPIV33</t>
  </si>
  <si>
    <t>GPIV33F</t>
  </si>
  <si>
    <t>PADTEC</t>
  </si>
  <si>
    <t>PDTC</t>
  </si>
  <si>
    <t>PDTC3</t>
  </si>
  <si>
    <t>PPLA</t>
  </si>
  <si>
    <t>PPLA11</t>
  </si>
  <si>
    <t>PPLA11F</t>
  </si>
  <si>
    <t>B3</t>
  </si>
  <si>
    <t>B3SA</t>
  </si>
  <si>
    <t>B3SA3</t>
  </si>
  <si>
    <t>BOA VISTA SCPC</t>
  </si>
  <si>
    <t>BOAS</t>
  </si>
  <si>
    <t>CIELO</t>
  </si>
  <si>
    <t>CIEL</t>
  </si>
  <si>
    <t>CIEL3</t>
  </si>
  <si>
    <t>CIEL3F</t>
  </si>
  <si>
    <t>Previdência e Seguros</t>
  </si>
  <si>
    <t>Seguradoras</t>
  </si>
  <si>
    <t>ALFA CONSORC</t>
  </si>
  <si>
    <t>BRGE</t>
  </si>
  <si>
    <t>BRGE11</t>
  </si>
  <si>
    <t>BRGE12</t>
  </si>
  <si>
    <t>BRGE3</t>
  </si>
  <si>
    <t>BRGE5</t>
  </si>
  <si>
    <t>BRGE6</t>
  </si>
  <si>
    <t>BRGE7</t>
  </si>
  <si>
    <t>BRGE8</t>
  </si>
  <si>
    <t>BR</t>
  </si>
  <si>
    <t>BBSEGURIDADE</t>
  </si>
  <si>
    <t>BBSE</t>
  </si>
  <si>
    <t>BBSE3F</t>
  </si>
  <si>
    <t>IRBR</t>
  </si>
  <si>
    <t>IRBR3F</t>
  </si>
  <si>
    <t>PORTO SEGURO</t>
  </si>
  <si>
    <t>PSSA</t>
  </si>
  <si>
    <t>SEG AL BAHIA</t>
  </si>
  <si>
    <t>CSAB</t>
  </si>
  <si>
    <t>CSAB3</t>
  </si>
  <si>
    <t>CSAB4</t>
  </si>
  <si>
    <t>CSAB3F</t>
  </si>
  <si>
    <t>CSAB4F</t>
  </si>
  <si>
    <t>SUL AMERICA</t>
  </si>
  <si>
    <t>SULA</t>
  </si>
  <si>
    <t>SULA11</t>
  </si>
  <si>
    <t>SULA3</t>
  </si>
  <si>
    <t>SULA4</t>
  </si>
  <si>
    <t>SULA11F</t>
  </si>
  <si>
    <t>SULA3F</t>
  </si>
  <si>
    <t>SULA4F</t>
  </si>
  <si>
    <t>Corretoras de Seguros</t>
  </si>
  <si>
    <t>APER</t>
  </si>
  <si>
    <t>WIZ S.A.</t>
  </si>
  <si>
    <t>WIZS</t>
  </si>
  <si>
    <t>WIZS3</t>
  </si>
  <si>
    <t>WIZS3F</t>
  </si>
  <si>
    <t>Exploração de Imóveis</t>
  </si>
  <si>
    <t>ALSO</t>
  </si>
  <si>
    <t>BRML</t>
  </si>
  <si>
    <t>BRML3F</t>
  </si>
  <si>
    <t>BRPR</t>
  </si>
  <si>
    <t>COR RIBEIRO</t>
  </si>
  <si>
    <t>CORR</t>
  </si>
  <si>
    <t>CORR3</t>
  </si>
  <si>
    <t>CORR4</t>
  </si>
  <si>
    <t>CORR3F</t>
  </si>
  <si>
    <t>CORR4F</t>
  </si>
  <si>
    <t>CYRE COM-CCP</t>
  </si>
  <si>
    <t>CCPR</t>
  </si>
  <si>
    <t>CCPR3</t>
  </si>
  <si>
    <t>CCPR3F</t>
  </si>
  <si>
    <t>GSHP</t>
  </si>
  <si>
    <t>HABITASUL</t>
  </si>
  <si>
    <t>HBTS</t>
  </si>
  <si>
    <t>HBTS3</t>
  </si>
  <si>
    <t>HBTS5</t>
  </si>
  <si>
    <t>HBTS6</t>
  </si>
  <si>
    <t>HBTS3F</t>
  </si>
  <si>
    <t>HBTS5F</t>
  </si>
  <si>
    <t>HBTS6F</t>
  </si>
  <si>
    <t>IGBR</t>
  </si>
  <si>
    <t>IGUATEMI</t>
  </si>
  <si>
    <t>IGTA</t>
  </si>
  <si>
    <t>IGTA3F</t>
  </si>
  <si>
    <t>JEREISSATI</t>
  </si>
  <si>
    <t>JPSA</t>
  </si>
  <si>
    <t>JPSA3</t>
  </si>
  <si>
    <t>LOG</t>
  </si>
  <si>
    <t>LOGG</t>
  </si>
  <si>
    <t>MENEZES CORT</t>
  </si>
  <si>
    <t>MNZC</t>
  </si>
  <si>
    <t>MNZC3B</t>
  </si>
  <si>
    <t>MNZC3BF</t>
  </si>
  <si>
    <t>MULTIPLAN</t>
  </si>
  <si>
    <t>MULT</t>
  </si>
  <si>
    <t>SAO CARLOS</t>
  </si>
  <si>
    <t>SCAR</t>
  </si>
  <si>
    <t>Intermediação Imobiliária</t>
  </si>
  <si>
    <t>BBRK</t>
  </si>
  <si>
    <t>LPSB</t>
  </si>
  <si>
    <t>Holdings Diversificadas</t>
  </si>
  <si>
    <t>MONT ARANHA</t>
  </si>
  <si>
    <t>MOAR</t>
  </si>
  <si>
    <t>MOAR3</t>
  </si>
  <si>
    <t>MOAR3F</t>
  </si>
  <si>
    <t>PAR AL BAHIA</t>
  </si>
  <si>
    <t>PEAB</t>
  </si>
  <si>
    <t>PEAB3</t>
  </si>
  <si>
    <t>PEAB4</t>
  </si>
  <si>
    <t>PEAB3F</t>
  </si>
  <si>
    <t>PEAB4F</t>
  </si>
  <si>
    <t>SIMPAR</t>
  </si>
  <si>
    <t>SIMH</t>
  </si>
  <si>
    <t>Outros Títulos</t>
  </si>
  <si>
    <t>CEPAC - CTBA</t>
  </si>
  <si>
    <t>CTBA</t>
  </si>
  <si>
    <t>CEPAC - MCRJ</t>
  </si>
  <si>
    <t>MCRJ</t>
  </si>
  <si>
    <t>CEPAC - PMSP</t>
  </si>
  <si>
    <t>PMSP</t>
  </si>
  <si>
    <t>524 PARTICIP</t>
  </si>
  <si>
    <t>QVQP</t>
  </si>
  <si>
    <t>QVQP3B</t>
  </si>
  <si>
    <t>QVQP3BF</t>
  </si>
  <si>
    <t>ALEF S/A</t>
  </si>
  <si>
    <t>ALEF</t>
  </si>
  <si>
    <t>ALEF3B</t>
  </si>
  <si>
    <t>ALEF3BF</t>
  </si>
  <si>
    <t>ATOMPAR</t>
  </si>
  <si>
    <t>ATOM</t>
  </si>
  <si>
    <t>ATOM3</t>
  </si>
  <si>
    <t>ATOM3F</t>
  </si>
  <si>
    <t>BETAPART</t>
  </si>
  <si>
    <t>BETP</t>
  </si>
  <si>
    <t>BETP3B</t>
  </si>
  <si>
    <t>BETP3BF</t>
  </si>
  <si>
    <t>CABINDA PART</t>
  </si>
  <si>
    <t>CABI</t>
  </si>
  <si>
    <t>CABI3B</t>
  </si>
  <si>
    <t>CABI3BF</t>
  </si>
  <si>
    <t>CACONDE PART</t>
  </si>
  <si>
    <t>CACO</t>
  </si>
  <si>
    <t>CACO3B</t>
  </si>
  <si>
    <t>CACO3BF</t>
  </si>
  <si>
    <t>CEMEPE</t>
  </si>
  <si>
    <t>MAPT</t>
  </si>
  <si>
    <t>MAPT3</t>
  </si>
  <si>
    <t>MAPT4</t>
  </si>
  <si>
    <t>MAPT3F</t>
  </si>
  <si>
    <t>MAPT4F</t>
  </si>
  <si>
    <t>CIMS</t>
  </si>
  <si>
    <t>CMSA</t>
  </si>
  <si>
    <t>CMSA3</t>
  </si>
  <si>
    <t>CMSA4</t>
  </si>
  <si>
    <t>CMSA3F</t>
  </si>
  <si>
    <t>CMSA4F</t>
  </si>
  <si>
    <t>GAMA PART</t>
  </si>
  <si>
    <t>OPGM</t>
  </si>
  <si>
    <t>OPGM3B</t>
  </si>
  <si>
    <t>OPGM3BF</t>
  </si>
  <si>
    <t>INVEST BEMGE</t>
  </si>
  <si>
    <t>FIGE</t>
  </si>
  <si>
    <t>FIGE3</t>
  </si>
  <si>
    <t>FIGE4</t>
  </si>
  <si>
    <t>FIGE3F</t>
  </si>
  <si>
    <t>FIGE4F</t>
  </si>
  <si>
    <t>J B DUARTE</t>
  </si>
  <si>
    <t>JBDU</t>
  </si>
  <si>
    <t>JBDU3</t>
  </si>
  <si>
    <t>JBDU4</t>
  </si>
  <si>
    <t>JBDU3F</t>
  </si>
  <si>
    <t>JBDU4F</t>
  </si>
  <si>
    <t>MGI PARTICIP</t>
  </si>
  <si>
    <t>MGIP</t>
  </si>
  <si>
    <t>OPPORT ENERG</t>
  </si>
  <si>
    <t>OPHE</t>
  </si>
  <si>
    <t>OPHE3B</t>
  </si>
  <si>
    <t>OPHE3BF</t>
  </si>
  <si>
    <t>POLPAR</t>
  </si>
  <si>
    <t>PPAR</t>
  </si>
  <si>
    <t>PPAR3</t>
  </si>
  <si>
    <t>PPAR3F</t>
  </si>
  <si>
    <t>PROMPT PART</t>
  </si>
  <si>
    <t>PRPT</t>
  </si>
  <si>
    <t>PRPT3B</t>
  </si>
  <si>
    <t>PRPT3BF</t>
  </si>
  <si>
    <t>SELECTPART</t>
  </si>
  <si>
    <t>SLCT</t>
  </si>
  <si>
    <t>SLCT3B</t>
  </si>
  <si>
    <t>SLCT3BF</t>
  </si>
  <si>
    <t>SUDESTE S/A</t>
  </si>
  <si>
    <t>OPSE</t>
  </si>
  <si>
    <t>OPSE3B</t>
  </si>
  <si>
    <t>OPSE3BF</t>
  </si>
  <si>
    <t>SUL 116 PART</t>
  </si>
  <si>
    <t>OPTS</t>
  </si>
  <si>
    <t>OPTS3B</t>
  </si>
  <si>
    <t>OPTS3BF</t>
  </si>
  <si>
    <t>PASS</t>
  </si>
  <si>
    <t>ATTB</t>
  </si>
  <si>
    <t>DRN</t>
  </si>
  <si>
    <t>VERZ</t>
  </si>
  <si>
    <t>BDR não patrocinado</t>
  </si>
  <si>
    <t>EBAY</t>
  </si>
  <si>
    <t>AAPL</t>
  </si>
  <si>
    <t>CSCO</t>
  </si>
  <si>
    <t>HPQB</t>
  </si>
  <si>
    <t>ITLC</t>
  </si>
  <si>
    <t>IBMB</t>
  </si>
  <si>
    <t>MSFT</t>
  </si>
  <si>
    <t>ORCL</t>
  </si>
  <si>
    <t>QCOM</t>
  </si>
  <si>
    <t>XRXB</t>
  </si>
  <si>
    <t>ABTT</t>
  </si>
  <si>
    <t>ABTT34</t>
  </si>
  <si>
    <t>BMYB</t>
  </si>
  <si>
    <t>JNJB</t>
  </si>
  <si>
    <t>MRCK</t>
  </si>
  <si>
    <t>PFIZ</t>
  </si>
  <si>
    <t>Petróleo. Gás e Biocombustíveis</t>
  </si>
  <si>
    <t>Exploração. Refino e Distribuição</t>
  </si>
  <si>
    <t>EXXO</t>
  </si>
  <si>
    <t>CHVX</t>
  </si>
  <si>
    <t>COPH</t>
  </si>
  <si>
    <t>COPH34F</t>
  </si>
  <si>
    <t>HALI</t>
  </si>
  <si>
    <t>SLBG</t>
  </si>
  <si>
    <t>Não Classificados</t>
  </si>
  <si>
    <t>TSNF</t>
  </si>
  <si>
    <t>TSNF34</t>
  </si>
  <si>
    <t>TWTR</t>
  </si>
  <si>
    <t>TXSA</t>
  </si>
  <si>
    <t>U1AI</t>
  </si>
  <si>
    <t>U1AL</t>
  </si>
  <si>
    <t>U1BE</t>
  </si>
  <si>
    <t>U1DR</t>
  </si>
  <si>
    <t>U1HS</t>
  </si>
  <si>
    <t>U1LT</t>
  </si>
  <si>
    <t>U1NM</t>
  </si>
  <si>
    <t>Bens Industriais</t>
  </si>
  <si>
    <t>UPSS</t>
  </si>
  <si>
    <t>LMTB</t>
  </si>
  <si>
    <t>FDXB</t>
  </si>
  <si>
    <t>U1RI</t>
  </si>
  <si>
    <t>UBSG</t>
  </si>
  <si>
    <t>UNSG34F</t>
  </si>
  <si>
    <t>ULEV</t>
  </si>
  <si>
    <t>CATP</t>
  </si>
  <si>
    <t>CATP34</t>
  </si>
  <si>
    <t>BOEI</t>
  </si>
  <si>
    <t>BOEI34</t>
  </si>
  <si>
    <t xml:space="preserve"> Siderurgia e Metalurgia</t>
  </si>
  <si>
    <t>ARMT</t>
  </si>
  <si>
    <t>AXPB</t>
  </si>
  <si>
    <t>UNHH</t>
  </si>
  <si>
    <t>UPAC</t>
  </si>
  <si>
    <t>USBC</t>
  </si>
  <si>
    <t>US Steel</t>
  </si>
  <si>
    <t>USSX</t>
  </si>
  <si>
    <t>USSX34</t>
  </si>
  <si>
    <t>V1AR</t>
  </si>
  <si>
    <t>V1MC</t>
  </si>
  <si>
    <t>V1NO</t>
  </si>
  <si>
    <t>V1RS</t>
  </si>
  <si>
    <t>V1TA</t>
  </si>
  <si>
    <t>VF Corp</t>
  </si>
  <si>
    <t>VFCO</t>
  </si>
  <si>
    <t>NFLX</t>
  </si>
  <si>
    <t>VLOE</t>
  </si>
  <si>
    <t>Tecidos. Vestuário e Calçados</t>
  </si>
  <si>
    <t>NIKE</t>
  </si>
  <si>
    <t>MCDC</t>
  </si>
  <si>
    <t>VLYB</t>
  </si>
  <si>
    <t>VRSN</t>
  </si>
  <si>
    <t>VRTX</t>
  </si>
  <si>
    <t>W1AB</t>
  </si>
  <si>
    <t>W1DA</t>
  </si>
  <si>
    <t>W1DC</t>
  </si>
  <si>
    <t>W1EC</t>
  </si>
  <si>
    <t>W1EL</t>
  </si>
  <si>
    <t>W1HR</t>
  </si>
  <si>
    <t>W1LT</t>
  </si>
  <si>
    <t>W1MB</t>
  </si>
  <si>
    <t>W1MC</t>
  </si>
  <si>
    <t>W1RK</t>
  </si>
  <si>
    <t>W1YC</t>
  </si>
  <si>
    <t>W1YN</t>
  </si>
  <si>
    <t>WABC</t>
  </si>
  <si>
    <t>WATC</t>
  </si>
  <si>
    <t>WGBA</t>
  </si>
  <si>
    <t>WUNI</t>
  </si>
  <si>
    <t>TRACK &amp; FIELD</t>
  </si>
  <si>
    <t>TFCO</t>
  </si>
  <si>
    <t>TFCO4</t>
  </si>
  <si>
    <t>X1EL</t>
  </si>
  <si>
    <t>HOME</t>
  </si>
  <si>
    <t>FDMO</t>
  </si>
  <si>
    <t>CMCS</t>
  </si>
  <si>
    <t>CMCS34</t>
  </si>
  <si>
    <t>AMZO</t>
  </si>
  <si>
    <t>AMZO34</t>
  </si>
  <si>
    <t>X1LN</t>
  </si>
  <si>
    <t>X1YL</t>
  </si>
  <si>
    <t>XRAY</t>
  </si>
  <si>
    <t>YUMR</t>
  </si>
  <si>
    <t>Z1BH</t>
  </si>
  <si>
    <t>Z1IO</t>
  </si>
  <si>
    <t>ZOETIS INC</t>
  </si>
  <si>
    <t>Z1TS</t>
  </si>
  <si>
    <t>FCXO</t>
  </si>
  <si>
    <t>Seguradora</t>
  </si>
  <si>
    <t>MMMC</t>
  </si>
  <si>
    <t>BOAC</t>
  </si>
  <si>
    <t>CTGP</t>
  </si>
  <si>
    <t>GSGI</t>
  </si>
  <si>
    <t>GEOO</t>
  </si>
  <si>
    <t>HONB</t>
  </si>
  <si>
    <t>JPMC</t>
  </si>
  <si>
    <t>MSCD</t>
  </si>
  <si>
    <t>MSBR</t>
  </si>
  <si>
    <t>VISA</t>
  </si>
  <si>
    <t>WFCO</t>
  </si>
  <si>
    <t>PGCO</t>
  </si>
  <si>
    <t>COCA</t>
  </si>
  <si>
    <t>COLG</t>
  </si>
  <si>
    <t>PEPB</t>
  </si>
  <si>
    <t>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 OR IBM OR Microsoft OR Oracle OR Qualcomm OR Xerox OR Abbott Laboratories OR Bristolmyers OR Johnson OR Merck OR Pfizer OR Exxon Mobile OR Chevron OR Cophillips OR Halliburton OR Schlumberger OR Tyson Foods OR Twitter OR Ternium sa OR Under Armour OR United Airlines OR Uber OR Udr Inc OR Universal Health OR Ulta Beauty OR Unum Group OR UPS OR Lockheed OR FEDEX CORPORATION OR United Rentals OR Ubs Group OR Unilever OR Caterpillar OR Boeing OR ARCELORMITTAL OR American Express OR Unitedhealth OR Unionpacific OR Us Bancorp OR US Steel OR Varian Medic OR Vulcan Mater OR Vornado Real OR Verisk Analy OR Ventas Inc OR VF Corp OR Netflix OR Valero Ener OR Nike OR MC Donald's OR Valley Ntion OR Verising Inc OR Vertex Pharm OR Wabtec Corp OR Workday Inc OR Western Dig OR Wec Energy G OR Welltower In OR Whirlpool Co OR Willis Tower OR Williams Cos OR Waste Manag OR Westrock Co OR Weyerhaeuser OR Wynn Resorts OR Western Bcor OR Waters Corp OR Walgreens OR Westernunion OR TRACK &amp; FIELD OR Xcel Energy OR Home Depot OR Ford Motors OR Comcast OR Amazon OR Starbucks OR Xilinx Inc OR Xylem Inc OR Dentsply Sir OR Yum Brands OR Zimmer Biome OR Zionsbancorp OR ZOETIS INC OR Freeport OR BB Seguridade OR 3M OR Bank America OR Citigroup OR Goldman Sachs OR GE OR Honeywell OR JPMorgan OR Mastercard OR Morgan Stanley OR Visa OR Wells Fargo OR PROCTER &amp; GAMBLE COMPANY OR Coca-Cola OR Colgate OR Pepsico Inc OR WALMART</t>
  </si>
  <si>
    <t>Código 7</t>
  </si>
  <si>
    <t>Código 8</t>
  </si>
  <si>
    <t>Código 9</t>
  </si>
  <si>
    <t>Código 10</t>
  </si>
  <si>
    <t>Código 11</t>
  </si>
  <si>
    <t>Código 12</t>
  </si>
  <si>
    <t>Código 13</t>
  </si>
  <si>
    <t>Código 14</t>
  </si>
  <si>
    <t>Regex</t>
  </si>
  <si>
    <t>BRGE11F</t>
  </si>
  <si>
    <t>BRGE12F</t>
  </si>
  <si>
    <t>BRGE3F</t>
  </si>
  <si>
    <t>BRGE5F</t>
  </si>
  <si>
    <t>BRGE6F</t>
  </si>
  <si>
    <t>BRGE7F</t>
  </si>
  <si>
    <t>BRGE8F</t>
  </si>
  <si>
    <t>CSAN3 OR CSAN3F</t>
  </si>
  <si>
    <t>CSAN3 OR CSAN3F OR DMMO11 OR DMMO3F OR DMMO3 OR DMMO1</t>
  </si>
  <si>
    <t>DMMO11 OR DMMO3F OR DMMO3 OR DMMO1</t>
  </si>
  <si>
    <t>CSAN3 OR CSAN3F OR DMMO11 OR DMMO3F OR DMMO3 OR DMMO1 OR ENAT3</t>
  </si>
  <si>
    <t>CSAN3 OR CSAN3F OR DMMO11 OR DMMO3F OR DMMO3 OR DMMO1 OR ENAT3 OR RPMG3F OR RPMG3</t>
  </si>
  <si>
    <t>RPMG3F OR RPMG3</t>
  </si>
  <si>
    <t>CSAN3 OR CSAN3F OR DMMO11 OR DMMO3F OR DMMO3 OR DMMO1 OR ENAT3 OR RPMG3F OR RPMG3 OR PETR4F OR PETR4 OR PETR3F OR PETR3</t>
  </si>
  <si>
    <t>PETR4F OR PETR4 OR PETR3F OR PETR3</t>
  </si>
  <si>
    <t>CSAN3 OR CSAN3F OR DMMO11 OR DMMO3F OR DMMO3 OR DMMO1 OR ENAT3 OR RPMG3F OR RPMG3 OR PETR4F OR PETR4 OR PETR3F OR PETR3 OR BRDT3</t>
  </si>
  <si>
    <t>CSAN3 OR CSAN3F OR DMMO11 OR DMMO3F OR DMMO3 OR DMMO1 OR ENAT3 OR RPMG3F OR RPMG3 OR PETR4F OR PETR4 OR PETR3F OR PETR3 OR BRDT3 OR PRIO3F OR PRIO3</t>
  </si>
  <si>
    <t>PRIO3F OR PRIO3</t>
  </si>
  <si>
    <t>CSAN3 OR CSAN3F OR DMMO11 OR DMMO3F OR DMMO3 OR DMMO1 OR ENAT3 OR RPMG3F OR RPMG3 OR PETR4F OR PETR4 OR PETR3F OR PETR3 OR BRDT3 OR PRIO3F OR PRIO3 OR UGPA3 OR UGPA3F</t>
  </si>
  <si>
    <t>UGPA3 OR UGPA3F</t>
  </si>
  <si>
    <t>CSAN3 OR CSAN3F OR DMMO11 OR DMMO3F OR DMMO3 OR DMMO1 OR ENAT3 OR RPMG3F OR RPMG3 OR PETR4F OR PETR4 OR PETR3F OR PETR3 OR BRDT3 OR PRIO3F OR PRIO3 OR UGPA3 OR UGPA3F OR LUPA3F OR LUPA3 OR LUPA11</t>
  </si>
  <si>
    <t>LUPA3F OR LUPA3 OR LUPA11</t>
  </si>
  <si>
    <t>CSAN3 OR CSAN3F OR DMMO11 OR DMMO3F OR DMMO3 OR DMMO1 OR ENAT3 OR RPMG3F OR RPMG3 OR PETR4F OR PETR4 OR PETR3F OR PETR3 OR BRDT3 OR PRIO3F OR PRIO3 OR UGPA3 OR UGPA3F OR LUPA3F OR LUPA3 OR LUPA11 OR OSXB3F OR OSXB3</t>
  </si>
  <si>
    <t>OSXB3F OR OSXB3</t>
  </si>
  <si>
    <t>CSAN3 OR CSAN3F OR DMMO11 OR DMMO3F OR DMMO3 OR DMMO1 OR ENAT3 OR RPMG3F OR RPMG3 OR PETR4F OR PETR4 OR PETR3F OR PETR3 OR BRDT3 OR PRIO3F OR PRIO3 OR UGPA3 OR UGPA3F OR LUPA3F OR LUPA3 OR LUPA11 OR OSXB3F OR OSXB3 OR BRAP4F OR BRAP4 OR BRAP3F OR BRAP3</t>
  </si>
  <si>
    <t>BRAP4F OR BRAP4 OR BRAP3F OR BRAP3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</si>
  <si>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t>
  </si>
  <si>
    <t>LTEL3B OR LTEL11BF OR LTEL3BF OR LTEL5BF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</si>
  <si>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</si>
  <si>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t>
  </si>
  <si>
    <t>MMXM11F OR MMXM3F OR MMXM11 OR MMXM3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</si>
  <si>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t>
  </si>
  <si>
    <t>VALE3 OR VALE3F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</si>
  <si>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t>
  </si>
  <si>
    <t>FESA4F OR FESA3F OR FESA4 OR FESA3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</si>
  <si>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t>
  </si>
  <si>
    <t>GOAU4 OR GOAU3 OR GOAU3F OR GOAU4F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</si>
  <si>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t>
  </si>
  <si>
    <t>GOAU3 OR GOAU4 OR GOAU3F OR GOAU4F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</si>
  <si>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t>
  </si>
  <si>
    <t>CSNA3F OR CSNA3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</si>
  <si>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t>
  </si>
  <si>
    <t>USIM6 OR USIM5 OR USIM3 OR USIM3F OR USIM5F OR USIM6F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</si>
  <si>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t>
  </si>
  <si>
    <t>MGEL3 OR MGEL4 OR MGEL3F OR MGEL4F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</si>
  <si>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t>
  </si>
  <si>
    <t>PATI3 OR PATI4 OR PATI0F OR PATI3F OR PATI4F OR PATI9F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</si>
  <si>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t>
  </si>
  <si>
    <t>TKNO3F OR TKNO4F OR TKNO3 OR TKNO4</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</si>
  <si>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t>
  </si>
  <si>
    <t>PMAM3F OR PMAM3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</si>
  <si>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t>
  </si>
  <si>
    <t>BRKM6 OR BRKM5F OR BRKM5 OR BRKM3 OR BRKM3F OR BRKM6F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</si>
  <si>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t>
  </si>
  <si>
    <t>GPCP3 OR GPCP4 OR GPCP3F OR GPCP4F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</si>
  <si>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t>
  </si>
  <si>
    <t>FHER3 OR FHER3F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</si>
  <si>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t>
  </si>
  <si>
    <t>NUTR3 OR NUTR3F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</si>
  <si>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t>
  </si>
  <si>
    <t>CRPG3 OR CRPG5 OR CRPG6 OR CRPG3F OR CRPG5F OR CRPG6F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</si>
  <si>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t>
  </si>
  <si>
    <t>UNIP3F OR UNIP5F OR UNIP6F OR UNIP3 OR UNIP5 OR UNIP6</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</si>
  <si>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t>
  </si>
  <si>
    <t>DTEX3 OR DTEX3F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</si>
  <si>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t>
  </si>
  <si>
    <t>EUCA4F OR EUCA3F OR EUCA4 OR EUCA3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</si>
  <si>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t>
  </si>
  <si>
    <t>RANI4 OR RANI3 OR RANI4F OR RANI3F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</si>
  <si>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t>
  </si>
  <si>
    <t>KLBN4F OR KLBN3F OR KLBN11F OR KLBN4 OR KLBN3 OR KLBN11</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</si>
  <si>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t>
  </si>
  <si>
    <t>MSPA3 OR MSPA4 OR MSPA3F OR MSPA4F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</si>
  <si>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</si>
  <si>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t>
  </si>
  <si>
    <t>NEMO5F OR NEMO5 OR NEMO3F OR NEMO3 OR NEMO6F OR NEMO6</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</si>
  <si>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t>
  </si>
  <si>
    <t>SUZB3F OR SUZB3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</si>
  <si>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t>
  </si>
  <si>
    <t>MTIG3 OR MTIG4 OR MTIG3F OR MTIG4F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</si>
  <si>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t>
  </si>
  <si>
    <t>SNSY3 OR SNSY5 OR SNSY6 OR SNSY3F OR SNSY5F OR SNSY6F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</si>
  <si>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t>
  </si>
  <si>
    <t>ETER3F OR ETER3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</si>
  <si>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t>
  </si>
  <si>
    <t>HAGA3 OR HAGA4 OR HAGA3F OR HAGA4F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</si>
  <si>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t>
  </si>
  <si>
    <t>PTBL3F OR PTBL3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</si>
  <si>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t>
  </si>
  <si>
    <t>AZEV3 OR AZEV4 OR AZEV3F OR AZEV4F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</si>
  <si>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t>
  </si>
  <si>
    <t>SOND3 OR SOND5 OR SOND6 OR SOND3F OR SOND5F OR SOND6F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</si>
  <si>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t>
  </si>
  <si>
    <t>TCNO3 OR TCNO4 OR TCNO3F OR TCNO4F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</si>
  <si>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t>
  </si>
  <si>
    <t>MILS3 OR MILS3F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</si>
  <si>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t>
  </si>
  <si>
    <t>EMBR3 OR EMBR3F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</si>
  <si>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t>
  </si>
  <si>
    <t>FRAS3F OR FRAS3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</si>
  <si>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t>
  </si>
  <si>
    <t>POMO4F OR POMO3F OR POMO4 OR POMO3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</si>
  <si>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t>
  </si>
  <si>
    <t>RAPT3F OR RAPT4F OR RAPT4 OR RAPT3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</si>
  <si>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t>
  </si>
  <si>
    <t>RCSL3 OR RCSL4 OR RCSL3F OR RCSL4F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</si>
  <si>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t>
  </si>
  <si>
    <t>RSUL3 OR RSUL4 OR RSUL3F OR RSUL4F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</si>
  <si>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t>
  </si>
  <si>
    <t>TUPY3 OR TUPY3F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</si>
  <si>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t>
  </si>
  <si>
    <t>MWET3 OR MWET4 OR MWET3F OR MWET4F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</si>
  <si>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t>
  </si>
  <si>
    <t>SHUL4F OR SHUL4 OR SHUL3 OR SHUL3F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</si>
  <si>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t>
  </si>
  <si>
    <t>WEGE3F OR WEGE3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</si>
  <si>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t>
  </si>
  <si>
    <t>EALT3F OR EALT4F OR EALT3 OR EALT4</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</si>
  <si>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t>
  </si>
  <si>
    <t>BDLL4F OR BDLL3F OR BDLL3 OR BDLL4</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</si>
  <si>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t>
  </si>
  <si>
    <t>ROMI3 OR ROMI3F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</si>
  <si>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t>
  </si>
  <si>
    <t>INEP4F OR INEP3F OR INEP4 OR INEP3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</si>
  <si>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t>
  </si>
  <si>
    <t>KEPL11 OR KEPL3 OR KEPL11F OR KEPL3F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</si>
  <si>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t>
  </si>
  <si>
    <t>FRIO3 OR FRIO3F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</si>
  <si>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t>
  </si>
  <si>
    <t>NORD3 OR NORD3F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</si>
  <si>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t>
  </si>
  <si>
    <t>PTCA11 OR PTCA3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</si>
  <si>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t>
  </si>
  <si>
    <t>MTSA3 OR MTSA4 OR MTSA3F OR MTSA4F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</si>
  <si>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t>
  </si>
  <si>
    <t>STTR3 OR STTR3F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</si>
  <si>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t>
  </si>
  <si>
    <t>TASA4F OR TASA3F OR TASA4 OR TASA3 OR TASA13 OR TASA15 OR TASA17</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</si>
  <si>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t>
  </si>
  <si>
    <t>AZUL4 OR AZUL4F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</si>
  <si>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t>
  </si>
  <si>
    <t>GOLL11 OR GOL4F OR GOLL4 OR GOLL12</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</si>
  <si>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t>
  </si>
  <si>
    <t>FRRN3B OR FRRN5B OR FRRN6B OR FRRN3BF OR FRRN5BF OR FRRN6BF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</si>
  <si>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</si>
  <si>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t>
  </si>
  <si>
    <t>RLOG3F OR RLOG3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</si>
  <si>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t>
  </si>
  <si>
    <t>VSPT1 OR VSPT3 OR VSPT4 OR VSPT3F OR VSPT4F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</si>
  <si>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</si>
  <si>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t>
  </si>
  <si>
    <t>RAIL3F OR RAIL3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</si>
  <si>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</si>
  <si>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t>
  </si>
  <si>
    <t>LOGN3 OR LOGN12F OR LOGN3F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</si>
  <si>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t>
  </si>
  <si>
    <t>LUXM3 OR LUXM4 OR LUXM3F OR LUXM4F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</si>
  <si>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t>
  </si>
  <si>
    <t>JSLG11 OR JSLG3F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</si>
  <si>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t>
  </si>
  <si>
    <t>TGMA3 OR TGMA3F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</si>
  <si>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</si>
  <si>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t>
  </si>
  <si>
    <t>CCRO3 OR CCRO3F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</si>
  <si>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</si>
  <si>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t>
  </si>
  <si>
    <t>CRTE3B OR CRTE5B OR CRTE3BF OR CRTE5BF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</si>
  <si>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</si>
  <si>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</si>
  <si>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</si>
  <si>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t>
  </si>
  <si>
    <t>ECOR3 OR ECOR3F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</si>
  <si>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</si>
  <si>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</si>
  <si>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</si>
  <si>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</si>
  <si>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</si>
  <si>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t>
  </si>
  <si>
    <t>TPIS3F OR TPIS3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</si>
  <si>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</si>
  <si>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</si>
  <si>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</si>
  <si>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t>
  </si>
  <si>
    <t>IVPR3B OR IVPR4B OR IVPR3BF OR IVPR4BF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</si>
  <si>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</si>
  <si>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t>
  </si>
  <si>
    <t>STBP3F OR STBP3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</si>
  <si>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t>
  </si>
  <si>
    <t>WSON33 OR WSON33F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</si>
  <si>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</si>
  <si>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</si>
  <si>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</si>
  <si>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t>
  </si>
  <si>
    <t>CARD3F OR CARD3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</si>
  <si>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</si>
  <si>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</si>
  <si>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</si>
  <si>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t>
  </si>
  <si>
    <t>PRNR3 OR PRNR3F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</si>
  <si>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</si>
  <si>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t>
  </si>
  <si>
    <t>VLID3F OR VLID3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</si>
  <si>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t>
  </si>
  <si>
    <t>BTTL3F OR BTTL3 OR BTTL4F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</si>
  <si>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t>
  </si>
  <si>
    <t>MMAQ3 OR MMAQ4 OR MMAQ3F OR MMAQ4F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</si>
  <si>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</si>
  <si>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t>
  </si>
  <si>
    <t>APTI3 OR APTI4</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</si>
  <si>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t>
  </si>
  <si>
    <t>AGRO3F OR AGRO3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</si>
  <si>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t>
  </si>
  <si>
    <t>FRTA3 OR FRTA3F OR FRTA1F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</si>
  <si>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t>
  </si>
  <si>
    <t>SLCE3 OR SLCE3F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</si>
  <si>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t>
  </si>
  <si>
    <t>TESA12 OR TESA3 OR TESA3F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</si>
  <si>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t>
  </si>
  <si>
    <t>BSEV3F OR BSEV3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</si>
  <si>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</si>
  <si>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t>
  </si>
  <si>
    <t>SMTO3F OR SMTO3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</si>
  <si>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t>
  </si>
  <si>
    <t>BRFS3 OR BRFS3F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</si>
  <si>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</si>
  <si>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t>
  </si>
  <si>
    <t>JBSS3F OR JBSS3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</si>
  <si>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t>
  </si>
  <si>
    <t>MRFG3F OR MRFG3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</si>
  <si>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t>
  </si>
  <si>
    <t>BEEF3F OR BEEF3 OR BEEF11</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</si>
  <si>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</si>
  <si>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t>
  </si>
  <si>
    <t>CAML3F OR CAML3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</si>
  <si>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</si>
  <si>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</si>
  <si>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t>
  </si>
  <si>
    <t>MDIA3F OR MDIA3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</si>
  <si>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t>
  </si>
  <si>
    <t>ODER3 OR ODER4</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</si>
  <si>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</si>
  <si>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t>
  </si>
  <si>
    <t>NTCO3F OR NTCO3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</si>
  <si>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</si>
  <si>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t>
  </si>
  <si>
    <t>CRFB3F OR CRFB3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</si>
  <si>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</si>
  <si>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t>
  </si>
  <si>
    <t>PCAR3F OR PCAR4F OR PCAR3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</si>
  <si>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t>
  </si>
  <si>
    <t>CALI3 OR CALI4</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</si>
  <si>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t>
  </si>
  <si>
    <t>CRDE3 OR CRDE3F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</si>
  <si>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</si>
  <si>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t>
  </si>
  <si>
    <t>CYRE3 OR CYRE3F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</si>
  <si>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t>
  </si>
  <si>
    <t>DIRR3F OR DIRR3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</si>
  <si>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t>
  </si>
  <si>
    <t>EVEN3F OR EVEN3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</si>
  <si>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t>
  </si>
  <si>
    <t>EZTC3F OR EZTC3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</si>
  <si>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t>
  </si>
  <si>
    <t>GFSA3 OR GFSA3F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</si>
  <si>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t>
  </si>
  <si>
    <t>HBOR3F OR HBOR3 OR HBOR9F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</si>
  <si>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</si>
  <si>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t>
  </si>
  <si>
    <t>JHSF3F OR JHSF3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</si>
  <si>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</si>
  <si>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</si>
  <si>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</si>
  <si>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</si>
  <si>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</si>
  <si>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t>
  </si>
  <si>
    <t>MRVE3F OR MRVE3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</si>
  <si>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t>
  </si>
  <si>
    <t>PDGR3F OR PDGR3 OR PDGR11F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</si>
  <si>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</si>
  <si>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t>
  </si>
  <si>
    <t>RDNI3F OR RDNI3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</si>
  <si>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t>
  </si>
  <si>
    <t>RSID3F OR RSID3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</si>
  <si>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t>
  </si>
  <si>
    <t>TCSA3F OR TCSA3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</si>
  <si>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</si>
  <si>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</si>
  <si>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</si>
  <si>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t>
  </si>
  <si>
    <t>CEDO4F OR CEDO3F OR CEDO4 OR CEDO3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</si>
  <si>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t>
  </si>
  <si>
    <t>CTNM3F OR CTNM4F OR CTNM4 OR CTNM3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</si>
  <si>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</si>
  <si>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</si>
  <si>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t>
  </si>
  <si>
    <t>CATA3 OR CATA4</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</si>
  <si>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t>
  </si>
  <si>
    <t>CTKA4F OR CTKA3F OR CTKA4 OR CTKA3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</si>
  <si>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</si>
  <si>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</si>
  <si>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</si>
  <si>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</si>
  <si>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</si>
  <si>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t>
  </si>
  <si>
    <t>HGTX3F OR HGTX3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</si>
  <si>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t>
  </si>
  <si>
    <t>ALPA3F OR ALPA4F OR ALPA3 OR ALPA4</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</si>
  <si>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</si>
  <si>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t>
  </si>
  <si>
    <t>GRND3F OR GRND3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</si>
  <si>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</si>
  <si>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t>
  </si>
  <si>
    <t>MNDL3F OR MNDL3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</si>
  <si>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</si>
  <si>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</si>
  <si>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t>
  </si>
  <si>
    <t>WHRL4F OR WHRL3F OR WHRL4 OR WHRL3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</si>
  <si>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</si>
  <si>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</si>
  <si>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t>
  </si>
  <si>
    <t>MYPK3F OR MYPK3 OR MYPK11F OR MYPK12F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</si>
  <si>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t>
  </si>
  <si>
    <t>LEVE3F OR LEVE3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</si>
  <si>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t>
  </si>
  <si>
    <t>PLAS3 OR PLAS11</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</si>
  <si>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t>
  </si>
  <si>
    <t>HOOT4 OR HOOT3 OR HOOT4F OR HOOT3F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</si>
  <si>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</si>
  <si>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</si>
  <si>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</si>
  <si>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t>
  </si>
  <si>
    <t>ESTR4F OR ESTR3F OR ESTR4 OR ESTR3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</si>
  <si>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</si>
  <si>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</si>
  <si>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t>
  </si>
  <si>
    <t>CVCB3 OR CVCB3F OR CVCB11</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</si>
  <si>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</si>
  <si>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t>
  </si>
  <si>
    <t>ANIM3F OR ANIM3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</si>
  <si>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</si>
  <si>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t>
  </si>
  <si>
    <t>COGN3F OR COGN3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</si>
  <si>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t>
  </si>
  <si>
    <t>SEER3 OR SEER3F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</si>
  <si>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</si>
  <si>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t>
  </si>
  <si>
    <t>RENT3F OR RENT3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</si>
  <si>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t>
  </si>
  <si>
    <t>LCAM3F OR LCAM3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</si>
  <si>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</si>
  <si>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t>
  </si>
  <si>
    <t>MOVI3F OR MOVI3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</si>
  <si>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</si>
  <si>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t>
  </si>
  <si>
    <t>SMLS3F OR SMLS3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</si>
  <si>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t>
  </si>
  <si>
    <t>ARZZ3F OR ARZZ3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</si>
  <si>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</si>
  <si>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t>
  </si>
  <si>
    <t>CGRA3F OR CGRA4F OR CGRA4 OR CGRA3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</si>
  <si>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</si>
  <si>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</si>
  <si>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t>
  </si>
  <si>
    <t>LLIS3F OR LLIS3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</si>
  <si>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t>
  </si>
  <si>
    <t>AMAR3F OR AMAR3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</si>
  <si>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t>
  </si>
  <si>
    <t>LREN3F OR LREN3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</si>
  <si>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t>
  </si>
  <si>
    <t>MGLU3F OR MGLU3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</si>
  <si>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t>
  </si>
  <si>
    <t>VVAR3F OR VVAR3 OR VVAR11F OR VVAR4F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</si>
  <si>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</si>
  <si>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</si>
  <si>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t>
  </si>
  <si>
    <t>LAME4F OR LAME4 OR LAME3F OR LAME3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</si>
  <si>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</si>
  <si>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</si>
  <si>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t>
  </si>
  <si>
    <t>SLED4F OR SLED3F OR SLED3 OR SLED11 OR SLED12 OR SLED4</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</si>
  <si>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t>
  </si>
  <si>
    <t>BIOM3F OR BIOM3 OR BIOM1</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</si>
  <si>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t>
  </si>
  <si>
    <t>GBIO33F OR GBIO33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</si>
  <si>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</si>
  <si>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t>
  </si>
  <si>
    <t>OFSA3F OR OFSA3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</si>
  <si>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</si>
  <si>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t>
  </si>
  <si>
    <t>AALR3F OR AALR3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</si>
  <si>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</si>
  <si>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t>
  </si>
  <si>
    <t>FLRY3 OR FLRY3F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</si>
  <si>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</si>
  <si>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t>
  </si>
  <si>
    <t>PARD3 OR FLRY3F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</si>
  <si>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</si>
  <si>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t>
  </si>
  <si>
    <t>ODPV3F OR ODPV3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</si>
  <si>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t>
  </si>
  <si>
    <t>QUAL3F OR QUAL3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</si>
  <si>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t>
  </si>
  <si>
    <t>BALM3F OR BALM4F OR BALM4 OR BALM3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</si>
  <si>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</si>
  <si>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t>
  </si>
  <si>
    <t>PNVL4F OR PNVL3F OR PNVL4 OR PNVL3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</si>
  <si>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</si>
  <si>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t>
  </si>
  <si>
    <t>HYPE3 OR HYPE3F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</si>
  <si>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</si>
  <si>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t>
  </si>
  <si>
    <t>PFRM3 OR PFRM3F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</si>
  <si>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t>
  </si>
  <si>
    <t>RADL3F OR RADL3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</si>
  <si>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t>
  </si>
  <si>
    <t>POSI3F OR POSI3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</si>
  <si>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t>
  </si>
  <si>
    <t>BRQB3 OR BRQB3F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</si>
  <si>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t>
  </si>
  <si>
    <t>LINX3F OR LINX3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</si>
  <si>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</si>
  <si>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t>
  </si>
  <si>
    <t>QUSW3 OR QUSW3F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</si>
  <si>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</si>
  <si>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t>
  </si>
  <si>
    <t>TOTS3F OR TOTS3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</si>
  <si>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</si>
  <si>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t>
  </si>
  <si>
    <t>OIBR4F OR OIBR4 OR OIBR3 OR OIBR3F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</si>
  <si>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t>
  </si>
  <si>
    <t>TELB4F OR TELB4 OR TELB3F OR TELB3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</si>
  <si>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t>
  </si>
  <si>
    <t>VIVT4F OR VIVT4 OR VIVT3F OR VIVT3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</si>
  <si>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</si>
  <si>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t>
  </si>
  <si>
    <t>TIMP3F OR TIMP3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</si>
  <si>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t>
  </si>
  <si>
    <t>CNSY3 OR CNSY3F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</si>
  <si>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</si>
  <si>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t>
  </si>
  <si>
    <t>TIET11F OR TIET3F OR TIET4F OR TIET4 OR TIET11 OR TIET3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</si>
  <si>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t>
  </si>
  <si>
    <t>AFLT3F OR AFLT3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</si>
  <si>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t>
  </si>
  <si>
    <t>ALUP4F OR ALUP3F OR ALUP11F OR ALUP4 OR ALUP3 OR ALUP11</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</si>
  <si>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</si>
  <si>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</si>
  <si>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t>
  </si>
  <si>
    <t>CEBR3F OR CEBR6F OR CEBR5F OR CEBR6 OR CEBR3 OR CEBR5</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</si>
  <si>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t>
  </si>
  <si>
    <t>CEED3F OR CEED4F OR CEED4 OR CEED3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</si>
  <si>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t>
  </si>
  <si>
    <t>EEEL4F OR EEEL3F OR EEEL4 OR EEEL3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</si>
  <si>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t>
  </si>
  <si>
    <t>CLSC4F OR CLSC3F OR CLSC4 OR CLSC3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</si>
  <si>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</si>
  <si>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t>
  </si>
  <si>
    <t>CEPE6F OR CEPE5F OR CEPE3F OR CEPE6 OR CEPE5 OR CEPE3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</si>
  <si>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t>
  </si>
  <si>
    <t>CMIG4 OR CMIG3F OR CMIG3 OR CMIG4F OR CMIG10F OR CMIG9F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</si>
  <si>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</si>
  <si>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</si>
  <si>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t>
  </si>
  <si>
    <t>CESP6 OR CESP5 OR CESP3F OR CESP3 OR CESP6F OR CESP5F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</si>
  <si>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t>
  </si>
  <si>
    <t>CEEB5 OR CEEB3 OR CEEB6</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</si>
  <si>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t>
  </si>
  <si>
    <t>COCE6F OR COCE5F OR COCE3F OR COCE6 OR COCE3 OR COCE5</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</si>
  <si>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t>
  </si>
  <si>
    <t>CPLE5F OR CPLE6F OR CPLE6 OR CPLE5 OR CPLE3 OR CPLE3F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</si>
  <si>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t>
  </si>
  <si>
    <t>CSRN3 OR CSRN5 OR CSRN6</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</si>
  <si>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t>
  </si>
  <si>
    <t>CPFE3F OR CPFE3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</si>
  <si>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</si>
  <si>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</si>
  <si>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t>
  </si>
  <si>
    <t>CPRE3F OR CPRE3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</si>
  <si>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</si>
  <si>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t>
  </si>
  <si>
    <t>EKTR3 OR EKTR4</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</si>
  <si>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t>
  </si>
  <si>
    <t>ELET3 OR ELET5 OR ELET6 OR ELET3F OR ELET5F OR ELET6F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</si>
  <si>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</si>
  <si>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</si>
  <si>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t>
  </si>
  <si>
    <t>ENBR3 OR ENBR3F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</si>
  <si>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t>
  </si>
  <si>
    <t>ENGI3 OR ENGI4 OR ENGI11</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</si>
  <si>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</si>
  <si>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</si>
  <si>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t>
  </si>
  <si>
    <t>ENEV3F OR ENEV3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</si>
  <si>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t>
  </si>
  <si>
    <t>EGIE3F OR EGIE3F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</si>
  <si>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t>
  </si>
  <si>
    <t>EQPA5 OR EQPA6 OR EQPA7</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</si>
  <si>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t>
  </si>
  <si>
    <t>EQMA3B OR EQMA5B OR EQMA6B</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</si>
  <si>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t>
  </si>
  <si>
    <t>EQTL3 OR EQTL3F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</si>
  <si>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</si>
  <si>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</si>
  <si>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t>
  </si>
  <si>
    <t>GEPA4F OR GEPA3F OR GEPA4 OR GEPA3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</si>
  <si>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</si>
  <si>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t>
  </si>
  <si>
    <t>LIGT3 OR LIGT3F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</si>
  <si>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t>
  </si>
  <si>
    <t>NEOE3 OR NEOE3BF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</si>
  <si>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t>
  </si>
  <si>
    <t>OMGE3 OR OMGE3F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</si>
  <si>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</si>
  <si>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t>
  </si>
  <si>
    <t>PRMN3B OR PRMN3BF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</si>
  <si>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t>
  </si>
  <si>
    <t>REDE3 OR REDE3F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</si>
  <si>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t>
  </si>
  <si>
    <t>RNEW11F OR RNEW11 OR RNEW4F OR RNEW4 OR RNEW3 OR RNEW3F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</si>
  <si>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t>
  </si>
  <si>
    <t>STKF3 OR STKF3F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</si>
  <si>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</si>
  <si>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t>
  </si>
  <si>
    <t>TAEE4 OR TAEE3 OR TAEE11 OR TAEE11F OR TAEE3F OR TAEE4F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</si>
  <si>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</si>
  <si>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</si>
  <si>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t>
  </si>
  <si>
    <t>TRPL4F OR TRPL4 OR TRPL3F OR TRPL3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</si>
  <si>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t>
  </si>
  <si>
    <t>UPKP3B OR UPKP3F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</si>
  <si>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t>
  </si>
  <si>
    <t>CASN4F OR CASN3F OR CASN4 OR CASN3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</si>
  <si>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t>
  </si>
  <si>
    <t>CSMG3 OR CSMG3F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</si>
  <si>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t>
  </si>
  <si>
    <t>IGSN3 OR IGSN3F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</si>
  <si>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t>
  </si>
  <si>
    <t>SBSP3F OR SBSP3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</si>
  <si>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t>
  </si>
  <si>
    <t>SAPR11F OR SAPR4F OR SAPR3F OR SAPR4 OR SAPR3 OR SAPR11</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</si>
  <si>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</si>
  <si>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t>
  </si>
  <si>
    <t>CEGR3F OR CEGR3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</si>
  <si>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t>
  </si>
  <si>
    <t>CGAS3F OR CGAS5F OR CGAS5 OR CGAS3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</si>
  <si>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t>
  </si>
  <si>
    <t>ABCB10 OR ABCB4 OR ABCB4F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</si>
  <si>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t>
  </si>
  <si>
    <t>RPAD3 OR RPAD5 OR RPAD6 OR RPAD3F OR RPAD5F OR RPAD6F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</si>
  <si>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t>
  </si>
  <si>
    <t>BRIV3 OR BRIV4 OR BRIV3F OR BRIV4F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</si>
  <si>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t>
  </si>
  <si>
    <t>BAZA3 OR BAZA3F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</si>
  <si>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t>
  </si>
  <si>
    <t>BMGB11 OR BMGB4</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</si>
  <si>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t>
  </si>
  <si>
    <t>BIDI3 OR BIDI11 OR BIDI4</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</si>
  <si>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t>
  </si>
  <si>
    <t>BPAN4F OR BPAN4 OR BPAN2F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</si>
  <si>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t>
  </si>
  <si>
    <t>BGIP3 OR BGIP4 OR BGIP3F OR BGIP4F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</si>
  <si>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t>
  </si>
  <si>
    <t>BEES3 OR BEES4 OR BEES3F OR BEES4F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</si>
  <si>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t>
  </si>
  <si>
    <t>BPAR3F OR BPAR3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</si>
  <si>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t>
  </si>
  <si>
    <t>BRSR6F OR BRSR5F OR BRSR3F OR BRSR6 OR BRSR5 OR BRSR3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</si>
  <si>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t>
  </si>
  <si>
    <t>BBDC4F OR BBDC4 OR BBDC3 OR BBDC3F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</si>
  <si>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t>
  </si>
  <si>
    <t>BBAS3F OR BBAS3 OR BBAS12 OR BBAS11 OR BBAS11F OR BBAS12F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</si>
  <si>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t>
  </si>
  <si>
    <t>BSLI4F OR BSLI3F OR BSLI4 OR BSLI3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</si>
  <si>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t>
  </si>
  <si>
    <t>BPAC11 OR BPAC3 OR BPAC5 OR BPAC11F OR BPAC3F OR BPAC5F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</si>
  <si>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t>
  </si>
  <si>
    <t>IDVL3 OR IDVL4 OR IDVL3F OR IDVL4F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</si>
  <si>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t>
  </si>
  <si>
    <t>ITSA4F OR ITSA4 OR ITSA3F OR ITSA3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</si>
  <si>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t>
  </si>
  <si>
    <t>ITUB3F OR ITUB4 OR ITUB3 OR ITUB4F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</si>
  <si>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t>
  </si>
  <si>
    <t>BMEB3 OR BMEB4 OR BMEB3F OR BMEB4F OR BMEB9F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</si>
  <si>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t>
  </si>
  <si>
    <t>BMIN3 OR BMIN4 OR BMIN3F OR BMIN4F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</si>
  <si>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t>
  </si>
  <si>
    <t>BNBR3 OR BNBR3F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</si>
  <si>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</si>
  <si>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t>
  </si>
  <si>
    <t>PINE3 OR PINE4 OR PINE3F OR PINE4F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</si>
  <si>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t>
  </si>
  <si>
    <t>SANB4F OR SANB3F OR SANB11F OR SANB4 OR SANB3 OR SANB11F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</si>
  <si>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t>
  </si>
  <si>
    <t>CRIV3 OR CRIV4 OR CRIV3F OR CRIV4F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</si>
  <si>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t>
  </si>
  <si>
    <t>FNCN3 OR FNCN3F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</si>
  <si>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t>
  </si>
  <si>
    <t>MERC4 OR MERC3 OR MERC3F OR MERC4F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</si>
  <si>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</si>
  <si>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</si>
  <si>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</si>
  <si>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</si>
  <si>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</si>
  <si>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</si>
  <si>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</si>
  <si>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</si>
  <si>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</si>
  <si>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</si>
  <si>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</si>
  <si>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</si>
  <si>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</si>
  <si>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</si>
  <si>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</si>
  <si>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</si>
  <si>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</si>
  <si>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</si>
  <si>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t>
  </si>
  <si>
    <t>GPIV33 OR GPIV33F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</si>
  <si>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</si>
  <si>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t>
  </si>
  <si>
    <t>PPLA11 OR PPLA11F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</si>
  <si>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</si>
  <si>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</si>
  <si>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t>
  </si>
  <si>
    <t>CIEL3 OR CIEL3F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</si>
  <si>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t>
  </si>
  <si>
    <t>BRGE11 OR BRGE12 OR BRGE3 OR BRGE5 OR BRGE6 OR BRGE7 OR BRGE8 OR BRGE11F OR BRGE12F OR BRGE3F OR BRGE5F OR BRGE6F OR BRGE7F OR BRGE8F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</si>
  <si>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t>
  </si>
  <si>
    <t>BBSE3 OR BBSE3F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</si>
  <si>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t>
  </si>
  <si>
    <t>IRBR3 OR IRBR3F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</si>
  <si>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t>
  </si>
  <si>
    <t>PSSA3F OR PSSA3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</si>
  <si>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t>
  </si>
  <si>
    <t>CSAB3 OR CSAB4 OR CSAB3F OR CSAB4F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</si>
  <si>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t>
  </si>
  <si>
    <t>SULA11 OR SULA3 OR SULA4 OR SULA11F OR SULA3F OR SULA4F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</si>
  <si>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t>
  </si>
  <si>
    <t>APER3F OR APER3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</si>
  <si>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t>
  </si>
  <si>
    <t>WIZS3 OR WIZS3F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</si>
  <si>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</si>
  <si>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t>
  </si>
  <si>
    <t>BRML3 OR BRML3F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</si>
  <si>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t>
  </si>
  <si>
    <t>BRPR3F OR BRPR3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</si>
  <si>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t>
  </si>
  <si>
    <t>CORR3 OR CORR4 OR CORR3F OR CORR4F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</si>
  <si>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t>
  </si>
  <si>
    <t>CCPR3 OR CCPR3F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</si>
  <si>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t>
  </si>
  <si>
    <t>GSHP3F OR GSHP3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</si>
  <si>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t>
  </si>
  <si>
    <t>HBTS3 OR HBTS5 OR HBTS6 OR HBTS3F OR HBTS5F OR HBTS6F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</si>
  <si>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t>
  </si>
  <si>
    <t>IGBR3F OR IGBR3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</si>
  <si>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t>
  </si>
  <si>
    <t>IGTA3 OR IGTA3F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</si>
  <si>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</si>
  <si>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</si>
  <si>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t>
  </si>
  <si>
    <t>MNZC3B OR MNZC3BF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</si>
  <si>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t>
  </si>
  <si>
    <t>MULT3F OR MULT3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</si>
  <si>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t>
  </si>
  <si>
    <t>SCAR3F OR SCAR3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</si>
  <si>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t>
  </si>
  <si>
    <t>BBRK3F OR BBRK3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</si>
  <si>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t>
  </si>
  <si>
    <t>LPSB3F OR LPSB3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</si>
  <si>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t>
  </si>
  <si>
    <t>MOAR3 OR MOAR3F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</si>
  <si>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t>
  </si>
  <si>
    <t>PEAB3 OR PEAB4 OR PEAB3F OR PEAB4F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</si>
  <si>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t>
  </si>
  <si>
    <t>SIMH3F OR SIMH3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</si>
  <si>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</si>
  <si>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</si>
  <si>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</si>
  <si>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t>
  </si>
  <si>
    <t>QVQP3B OR QVQP3BF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</si>
  <si>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t>
  </si>
  <si>
    <t>ALEF3B OR ALEF3BF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</si>
  <si>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t>
  </si>
  <si>
    <t>ATOM3 OR ATOM3F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</si>
  <si>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t>
  </si>
  <si>
    <t>BETP3B OR BETP3BF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</si>
  <si>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t>
  </si>
  <si>
    <t>CABI3B OR CABI3BF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</si>
  <si>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t>
  </si>
  <si>
    <t>CACO3B OR CACO3BF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</si>
  <si>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t>
  </si>
  <si>
    <t>MAPT3 OR MAPT4 OR MAPT3F OR MAPT4F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</si>
  <si>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t>
  </si>
  <si>
    <t>CMSA3 OR CMSA4 OR CMSA3F OR CMSA4F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</si>
  <si>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t>
  </si>
  <si>
    <t>OPGM3B OR OPGM3BF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</si>
  <si>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t>
  </si>
  <si>
    <t>FIGE3 OR FIGE4 OR FIGE3F OR FIGE4F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</si>
  <si>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t>
  </si>
  <si>
    <t>JBDU3 OR JBDU4 OR JBDU3F OR JBDU4F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</si>
  <si>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</si>
  <si>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t>
  </si>
  <si>
    <t>OPHE3B OR OPHE3BF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</si>
  <si>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t>
  </si>
  <si>
    <t>PPAR3 OR PPAR3F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</si>
  <si>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t>
  </si>
  <si>
    <t>PRPT3B OR PRPT3BF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</si>
  <si>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t>
  </si>
  <si>
    <t>SLCT3B OR SLCT3BF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</si>
  <si>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t>
  </si>
  <si>
    <t>OPSE3B OR OPSE3BF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</si>
  <si>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t>
  </si>
  <si>
    <t>OPTS3B OR OPTS3BF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</si>
  <si>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</si>
  <si>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t>
  </si>
  <si>
    <t>ATTB34F OR ATTB34</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</si>
  <si>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t>
  </si>
  <si>
    <t>VERZ34F OR VERZ34</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</si>
  <si>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t>
  </si>
  <si>
    <t>EBAY34F OR EBAY34</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</si>
  <si>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t>
  </si>
  <si>
    <t>AAPL34F OR AAPL34</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</si>
  <si>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t>
  </si>
  <si>
    <t>CSCO34F OR CSCO34</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</si>
  <si>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t>
  </si>
  <si>
    <t>HPQB34F OR HPQB34</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</si>
  <si>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t>
  </si>
  <si>
    <t>ITLC34F OR ITLC34</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</si>
  <si>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t>
  </si>
  <si>
    <t>IBMB34F OR IBMB34</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</si>
  <si>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t>
  </si>
  <si>
    <t>MSFT34F OR MSFT34</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</si>
  <si>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t>
  </si>
  <si>
    <t>ORCL34F OR ORCL34</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</si>
  <si>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t>
  </si>
  <si>
    <t>QCOM34F OR QCOM34</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</si>
  <si>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t>
  </si>
  <si>
    <t>XRXB34F OR XRXB34</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</si>
  <si>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</si>
  <si>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t>
  </si>
  <si>
    <t>BMYB34F OR BMYB34</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</si>
  <si>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t>
  </si>
  <si>
    <t>JNJB34F OR JNJB34</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</si>
  <si>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t>
  </si>
  <si>
    <t>MRCK34F OR MRCK34</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</si>
  <si>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t>
  </si>
  <si>
    <t>PFIZ34F OR PFIZ34</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</si>
  <si>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t>
  </si>
  <si>
    <t>EXXO34F OR EXXO34</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</si>
  <si>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t>
  </si>
  <si>
    <t>CHVX34F OR CHVX34</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</si>
  <si>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t>
  </si>
  <si>
    <t>COPH34 OR COPH34F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</si>
  <si>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t>
  </si>
  <si>
    <t>HALI34F OR HALI34</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</si>
  <si>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t>
  </si>
  <si>
    <t>SLBG34F OR SLBG34</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</si>
  <si>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</si>
  <si>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t>
  </si>
  <si>
    <t>TWTR34F OR TWTR34</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</si>
  <si>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t>
  </si>
  <si>
    <t>TXSA34F OR TXSA34</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</si>
  <si>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t>
  </si>
  <si>
    <t>U1AI34F OR U1AI34</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</si>
  <si>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t>
  </si>
  <si>
    <t>U1AL34 OR U1AL34F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</si>
  <si>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t>
  </si>
  <si>
    <t>U1BE34F OR U1BE34</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</si>
  <si>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t>
  </si>
  <si>
    <t>U1DR34F OR U1DR34</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</si>
  <si>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t>
  </si>
  <si>
    <t>U1HS34F OR U1HS34</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</si>
  <si>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t>
  </si>
  <si>
    <t>U1LT34F OR U1LT34</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</si>
  <si>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t>
  </si>
  <si>
    <t>U1NM34F OR U1NM34</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</si>
  <si>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t>
  </si>
  <si>
    <t>UPSS34 OR UPSS34F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</si>
  <si>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t>
  </si>
  <si>
    <t>LMTB34F OR LMTB34</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</si>
  <si>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t>
  </si>
  <si>
    <t>FDXB34F OR FDXB34</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</si>
  <si>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</si>
  <si>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t>
  </si>
  <si>
    <t>UBSG34 OR UNSG34F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</si>
  <si>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</si>
  <si>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t>
  </si>
  <si>
    <t>CATP34F OR CATP34</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</si>
  <si>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t>
  </si>
  <si>
    <t>BOEI34F OR BOEI34</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</si>
  <si>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t>
  </si>
  <si>
    <t>ARMT34F OR ARMT34</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</si>
  <si>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t>
  </si>
  <si>
    <t>AXPB34F OR AXPB34</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</si>
  <si>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t>
  </si>
  <si>
    <t>UNHH34F OR UNHH34</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</si>
  <si>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t>
  </si>
  <si>
    <t>UPAC34F OR UPAC34</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</si>
  <si>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t>
  </si>
  <si>
    <t>USBC34F OR USBC34</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</si>
  <si>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t>
  </si>
  <si>
    <t>USSX34F OR USSX34</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</si>
  <si>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</si>
  <si>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</si>
  <si>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</si>
  <si>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</si>
  <si>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</si>
  <si>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</si>
  <si>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t>
  </si>
  <si>
    <t>NFLX34F OR NFLX34</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</si>
  <si>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t>
  </si>
  <si>
    <t>VLOE34 OR VLOE34F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</si>
  <si>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t>
  </si>
  <si>
    <t>NIKE34F OR NIKE34</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</si>
  <si>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t>
  </si>
  <si>
    <t>MCDC34F OR MCDC34</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</si>
  <si>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</si>
  <si>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</si>
  <si>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</si>
  <si>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</si>
  <si>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</si>
  <si>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</si>
  <si>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</si>
  <si>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</si>
  <si>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</si>
  <si>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</si>
  <si>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</si>
  <si>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</si>
  <si>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</si>
  <si>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</si>
  <si>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</si>
  <si>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</si>
  <si>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</si>
  <si>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</si>
  <si>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t>
  </si>
  <si>
    <t>WUNI34 OR WUNI34F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</si>
  <si>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</si>
  <si>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</si>
  <si>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t>
  </si>
  <si>
    <t>HOME34F OR HOME34</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</si>
  <si>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t>
  </si>
  <si>
    <t>FDMO34F OR FDMO34</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</si>
  <si>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t>
  </si>
  <si>
    <t>CMCS34F OR CMCS34</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</si>
  <si>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t>
  </si>
  <si>
    <t>AMZO34F OR AMZO34</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</si>
  <si>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t>
  </si>
  <si>
    <t>SBUB34 OR SBUB34F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</si>
  <si>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t>
  </si>
  <si>
    <t>X1LN34 OR X1LN34F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</si>
  <si>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 OR X1YL34 OR X1YL34F</t>
  </si>
  <si>
    <t>X1YL34 OR X1YL34F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</si>
  <si>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 OR X1YL34 OR X1YL34F OR XRAY34 OR XRAY34F</t>
  </si>
  <si>
    <t>XRAY34 OR XRAY34F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</si>
  <si>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 OR X1YL34 OR X1YL34F OR XRAY34 OR XRAY34F OR YUMR34 OR YUMR34F</t>
  </si>
  <si>
    <t>YUMR34 OR YUMR34F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</si>
  <si>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 OR X1YL34 OR X1YL34F OR XRAY34 OR XRAY34F OR YUMR34 OR YUMR34F OR Z1BH34 OR Z1BH34F</t>
  </si>
  <si>
    <t>Z1BH34 OR Z1BH34F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</si>
  <si>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 OR X1YL34 OR X1YL34F OR XRAY34 OR XRAY34F OR YUMR34 OR YUMR34F OR Z1BH34 OR Z1BH34F OR Z1IO34 OR Z1IO34F</t>
  </si>
  <si>
    <t>Z1IO34 OR Z1IO34F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</si>
  <si>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 OR X1YL34 OR X1YL34F OR XRAY34 OR XRAY34F OR YUMR34 OR YUMR34F OR Z1BH34 OR Z1BH34F OR Z1IO34 OR Z1IO34F OR Z1TS34 OR Z1TS34F</t>
  </si>
  <si>
    <t>Z1TS34 OR Z1TS34F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</si>
  <si>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 OR X1YL34 OR X1YL34F OR XRAY34 OR XRAY34F OR YUMR34 OR YUMR34F OR Z1BH34 OR Z1BH34F OR Z1IO34 OR Z1IO34F OR Z1TS34 OR Z1TS34F OR FCXO34 OR FCXO34F</t>
  </si>
  <si>
    <t>FCXO34 OR FCXO34F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</si>
  <si>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 OR X1YL34 OR X1YL34F OR XRAY34 OR XRAY34F OR YUMR34 OR YUMR34F OR Z1BH34 OR Z1BH34F OR Z1IO34 OR Z1IO34F OR Z1TS34 OR Z1TS34F OR FCXO34 OR FCXO34F OR BBSE3 OR BBSE3F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</si>
  <si>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 OR X1YL34 OR X1YL34F OR XRAY34 OR XRAY34F OR YUMR34 OR YUMR34F OR Z1BH34 OR Z1BH34F OR Z1IO34 OR Z1IO34F OR Z1TS34 OR Z1TS34F OR FCXO34 OR FCXO34F OR BBSE3 OR BBSE3F OR MMMC34 OR MMMC34F</t>
  </si>
  <si>
    <t>MMMC34 OR MMMC34F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</si>
  <si>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 OR X1YL34 OR X1YL34F OR XRAY34 OR XRAY34F OR YUMR34 OR YUMR34F OR Z1BH34 OR Z1BH34F OR Z1IO34 OR Z1IO34F OR Z1TS34 OR Z1TS34F OR FCXO34 OR FCXO34F OR BBSE3 OR BBSE3F OR MMMC34 OR MMMC34F OR BOAC34 OR BOAC34F</t>
  </si>
  <si>
    <t>BOAC34 OR BOAC34F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</si>
  <si>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 OR X1YL34 OR X1YL34F OR XRAY34 OR XRAY34F OR YUMR34 OR YUMR34F OR Z1BH34 OR Z1BH34F OR Z1IO34 OR Z1IO34F OR Z1TS34 OR Z1TS34F OR FCXO34 OR FCXO34F OR BBSE3 OR BBSE3F OR MMMC34 OR MMMC34F OR BOAC34 OR BOAC34F OR CTGP34 OR CTGP34F</t>
  </si>
  <si>
    <t>CTGP34 OR CTGP34F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</si>
  <si>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 OR X1YL34 OR X1YL34F OR XRAY34 OR XRAY34F OR YUMR34 OR YUMR34F OR Z1BH34 OR Z1BH34F OR Z1IO34 OR Z1IO34F OR Z1TS34 OR Z1TS34F OR FCXO34 OR FCXO34F OR BBSE3 OR BBSE3F OR MMMC34 OR MMMC34F OR BOAC34 OR BOAC34F OR CTGP34 OR CTGP34F OR GSGI34 OR GSGI34F</t>
  </si>
  <si>
    <t>GSGI34 OR GSGI34F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</si>
  <si>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 OR X1YL34 OR X1YL34F OR XRAY34 OR XRAY34F OR YUMR34 OR YUMR34F OR Z1BH34 OR Z1BH34F OR Z1IO34 OR Z1IO34F OR Z1TS34 OR Z1TS34F OR FCXO34 OR FCXO34F OR BBSE3 OR BBSE3F OR MMMC34 OR MMMC34F OR BOAC34 OR BOAC34F OR CTGP34 OR CTGP34F OR GSGI34 OR GSGI34F OR GEOO34 OR GEOO34F</t>
  </si>
  <si>
    <t>GEOO34 OR GEOO34F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</si>
  <si>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 OR X1YL34 OR X1YL34F OR XRAY34 OR XRAY34F OR YUMR34 OR YUMR34F OR Z1BH34 OR Z1BH34F OR Z1IO34 OR Z1IO34F OR Z1TS34 OR Z1TS34F OR FCXO34 OR FCXO34F OR BBSE3 OR BBSE3F OR MMMC34 OR MMMC34F OR BOAC34 OR BOAC34F OR CTGP34 OR CTGP34F OR GSGI34 OR GSGI34F OR GEOO34 OR GEOO34F OR HONB34 OR HONB34F</t>
  </si>
  <si>
    <t>HONB34 OR HONB34F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</si>
  <si>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 OR X1YL34 OR X1YL34F OR XRAY34 OR XRAY34F OR YUMR34 OR YUMR34F OR Z1BH34 OR Z1BH34F OR Z1IO34 OR Z1IO34F OR Z1TS34 OR Z1TS34F OR FCXO34 OR FCXO34F OR BBSE3 OR BBSE3F OR MMMC34 OR MMMC34F OR BOAC34 OR BOAC34F OR CTGP34 OR CTGP34F OR GSGI34 OR GSGI34F OR GEOO34 OR GEOO34F OR HONB34 OR HONB34F OR JPMC34 OR JPMC34F</t>
  </si>
  <si>
    <t>JPMC34 OR JPMC34F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</si>
  <si>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 OR X1YL34 OR X1YL34F OR XRAY34 OR XRAY34F OR YUMR34 OR YUMR34F OR Z1BH34 OR Z1BH34F OR Z1IO34 OR Z1IO34F OR Z1TS34 OR Z1TS34F OR FCXO34 OR FCXO34F OR BBSE3 OR BBSE3F OR MMMC34 OR MMMC34F OR BOAC34 OR BOAC34F OR CTGP34 OR CTGP34F OR GSGI34 OR GSGI34F OR GEOO34 OR GEOO34F OR HONB34 OR HONB34F OR JPMC34 OR JPMC34F OR MSCD34 OR MSCD34F</t>
  </si>
  <si>
    <t>MSCD34 OR MSCD34F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</si>
  <si>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 OR X1YL34 OR X1YL34F OR XRAY34 OR XRAY34F OR YUMR34 OR YUMR34F OR Z1BH34 OR Z1BH34F OR Z1IO34 OR Z1IO34F OR Z1TS34 OR Z1TS34F OR FCXO34 OR FCXO34F OR BBSE3 OR BBSE3F OR MMMC34 OR MMMC34F OR BOAC34 OR BOAC34F OR CTGP34 OR CTGP34F OR GSGI34 OR GSGI34F OR GEOO34 OR GEOO34F OR HONB34 OR HONB34F OR JPMC34 OR JPMC34F OR MSCD34 OR MSCD34F OR MSBR34F OR MSBR34</t>
  </si>
  <si>
    <t>MSBR34F OR MSBR34</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</si>
  <si>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 OR X1YL34 OR X1YL34F OR XRAY34 OR XRAY34F OR YUMR34 OR YUMR34F OR Z1BH34 OR Z1BH34F OR Z1IO34 OR Z1IO34F OR Z1TS34 OR Z1TS34F OR FCXO34 OR FCXO34F OR BBSE3 OR BBSE3F OR MMMC34 OR MMMC34F OR BOAC34 OR BOAC34F OR CTGP34 OR CTGP34F OR GSGI34 OR GSGI34F OR GEOO34 OR GEOO34F OR HONB34 OR HONB34F OR JPMC34 OR JPMC34F OR MSCD34 OR MSCD34F OR MSBR34F OR MSBR34 OR VISA34 OR VISA34F</t>
  </si>
  <si>
    <t>VISA34 OR VISA34F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</si>
  <si>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 OR X1YL34 OR X1YL34F OR XRAY34 OR XRAY34F OR YUMR34 OR YUMR34F OR Z1BH34 OR Z1BH34F OR Z1IO34 OR Z1IO34F OR Z1TS34 OR Z1TS34F OR FCXO34 OR FCXO34F OR BBSE3 OR BBSE3F OR MMMC34 OR MMMC34F OR BOAC34 OR BOAC34F OR CTGP34 OR CTGP34F OR GSGI34 OR GSGI34F OR GEOO34 OR GEOO34F OR HONB34 OR HONB34F OR JPMC34 OR JPMC34F OR MSCD34 OR MSCD34F OR MSBR34F OR MSBR34 OR VISA34 OR VISA34F OR WFCO34 OR WFCO34F</t>
  </si>
  <si>
    <t>WFCO34 OR WFCO34F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</si>
  <si>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 OR X1YL34 OR X1YL34F OR XRAY34 OR XRAY34F OR YUMR34 OR YUMR34F OR Z1BH34 OR Z1BH34F OR Z1IO34 OR Z1IO34F OR Z1TS34 OR Z1TS34F OR FCXO34 OR FCXO34F OR BBSE3 OR BBSE3F OR MMMC34 OR MMMC34F OR BOAC34 OR BOAC34F OR CTGP34 OR CTGP34F OR GSGI34 OR GSGI34F OR GEOO34 OR GEOO34F OR HONB34 OR HONB34F OR JPMC34 OR JPMC34F OR MSCD34 OR MSCD34F OR MSBR34F OR MSBR34 OR VISA34 OR VISA34F OR WFCO34 OR WFCO34F OR PGCO34 OR PGCO34F</t>
  </si>
  <si>
    <t>PGCO34 OR PGCO34F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</si>
  <si>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 OR X1YL34 OR X1YL34F OR XRAY34 OR XRAY34F OR YUMR34 OR YUMR34F OR Z1BH34 OR Z1BH34F OR Z1IO34 OR Z1IO34F OR Z1TS34 OR Z1TS34F OR FCXO34 OR FCXO34F OR BBSE3 OR BBSE3F OR MMMC34 OR MMMC34F OR BOAC34 OR BOAC34F OR CTGP34 OR CTGP34F OR GSGI34 OR GSGI34F OR GEOO34 OR GEOO34F OR HONB34 OR HONB34F OR JPMC34 OR JPMC34F OR MSCD34 OR MSCD34F OR MSBR34F OR MSBR34 OR VISA34 OR VISA34F OR WFCO34 OR WFCO34F OR PGCO34 OR PGCO34F OR COCA34 OR COCA34F</t>
  </si>
  <si>
    <t>COCA34 OR COCA34F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</si>
  <si>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 OR X1YL34 OR X1YL34F OR XRAY34 OR XRAY34F OR YUMR34 OR YUMR34F OR Z1BH34 OR Z1BH34F OR Z1IO34 OR Z1IO34F OR Z1TS34 OR Z1TS34F OR FCXO34 OR FCXO34F OR BBSE3 OR BBSE3F OR MMMC34 OR MMMC34F OR BOAC34 OR BOAC34F OR CTGP34 OR CTGP34F OR GSGI34 OR GSGI34F OR GEOO34 OR GEOO34F OR HONB34 OR HONB34F OR JPMC34 OR JPMC34F OR MSCD34 OR MSCD34F OR MSBR34F OR MSBR34 OR VISA34 OR VISA34F OR WFCO34 OR WFCO34F OR PGCO34 OR PGCO34F OR COCA34 OR COCA34F OR COLG34 OR COLG34F</t>
  </si>
  <si>
    <t>COLG34 OR COLG34F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</si>
  <si>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 OR X1YL34 OR X1YL34F OR XRAY34 OR XRAY34F OR YUMR34 OR YUMR34F OR Z1BH34 OR Z1BH34F OR Z1IO34 OR Z1IO34F OR Z1TS34 OR Z1TS34F OR FCXO34 OR FCXO34F OR BBSE3 OR BBSE3F OR MMMC34 OR MMMC34F OR BOAC34 OR BOAC34F OR CTGP34 OR CTGP34F OR GSGI34 OR GSGI34F OR GEOO34 OR GEOO34F OR HONB34 OR HONB34F OR JPMC34 OR JPMC34F OR MSCD34 OR MSCD34F OR MSBR34F OR MSBR34 OR VISA34 OR VISA34F OR WFCO34 OR WFCO34F OR PGCO34 OR PGCO34F OR COCA34 OR COCA34F OR COLG34 OR COLG34F OR PEPB34 OR PEPB34F</t>
  </si>
  <si>
    <t>PEPB34 OR PEPB34F</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</si>
  <si>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 OR X1YL34 OR X1YL34F OR XRAY34 OR XRAY34F OR YUMR34 OR YUMR34F OR Z1BH34 OR Z1BH34F OR Z1IO34 OR Z1IO34F OR Z1TS34 OR Z1TS34F OR FCXO34 OR FCXO34F OR BBSE3 OR BBSE3F OR MMMC34 OR MMMC34F OR BOAC34 OR BOAC34F OR CTGP34 OR CTGP34F OR GSGI34 OR GSGI34F OR GEOO34 OR GEOO34F OR HONB34 OR HONB34F OR JPMC34 OR JPMC34F OR MSCD34 OR MSCD34F OR MSBR34F OR MSBR34 OR VISA34 OR VISA34F OR WFCO34 OR WFCO34F OR PGCO34 OR PGCO34F OR COCA34 OR COCA34F OR COLG34 OR COLG34F OR PEPB34 OR PEPB34F OR WALM34F OR WALM34</t>
  </si>
  <si>
    <t>WALM34F OR WALM34</t>
  </si>
  <si>
    <t xml:space="preserve">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 OR X1YL34 OR X1YL34F OR XRAY34 OR XRAY34F OR YUMR34 OR YUMR34F OR Z1BH34 OR Z1BH34F OR Z1IO34 OR Z1IO34F OR Z1TS34 OR Z1TS34F OR FCXO34 OR FCXO34F OR BBSE3 OR BBSE3F OR MMMC34 OR MMMC34F OR BOAC34 OR BOAC34F OR CTGP34 OR CTGP34F OR GSGI34 OR GSGI34F OR GEOO34 OR GEOO34F OR HONB34 OR HONB34F OR JPMC34 OR JPMC34F OR MSCD34 OR MSCD34F OR MSBR34F OR MSBR34 OR VISA34 OR VISA34F OR WFCO34 OR WFCO34F OR PGCO34 OR PGCO34F OR COCA34 OR COCA34F OR COLG34 OR COLG34F OR PEPB34 OR PEPB34F OR WALM34F OR WALM34 OR </t>
  </si>
  <si>
    <t>Nome_regex</t>
  </si>
  <si>
    <t>Nome</t>
  </si>
  <si>
    <t>Administrador</t>
  </si>
  <si>
    <t>Operadores Lógicos</t>
  </si>
  <si>
    <t>Grand Plaza Shopping</t>
  </si>
  <si>
    <t>Shopping/Varejo</t>
  </si>
  <si>
    <t>RIO BRAVO</t>
  </si>
  <si>
    <t>ABCP11</t>
  </si>
  <si>
    <t>(ABCP11)</t>
  </si>
  <si>
    <t>(grand plaza|ABCP11)</t>
  </si>
  <si>
    <t>AF Invest Recebíveis Imobiliários</t>
  </si>
  <si>
    <t>Recebíveis Imobiliários</t>
  </si>
  <si>
    <t>CM CAPITAL MARKETS</t>
  </si>
  <si>
    <t>AFCR11</t>
  </si>
  <si>
    <t>(AFCR11)</t>
  </si>
  <si>
    <t>(af invest|AFCR11)</t>
  </si>
  <si>
    <t>ALIANZA FOFII</t>
  </si>
  <si>
    <t>Fundo de Fundos</t>
  </si>
  <si>
    <t>BRL TRUST</t>
  </si>
  <si>
    <t>AFOF11</t>
  </si>
  <si>
    <t>(AFOF11)</t>
  </si>
  <si>
    <t>(alianza fofii|AFOF11)</t>
  </si>
  <si>
    <t>Autonomy Edifícios Corporativos</t>
  </si>
  <si>
    <t>Lajes Comerciais</t>
  </si>
  <si>
    <t>MODAL</t>
  </si>
  <si>
    <t>AIEC11</t>
  </si>
  <si>
    <t>(AIEC11)</t>
  </si>
  <si>
    <t>(autonomy edif(í|i)cios?|AIEC11)</t>
  </si>
  <si>
    <t>Torre Almirante</t>
  </si>
  <si>
    <t>BTG PACTUAL</t>
  </si>
  <si>
    <t>ALMI11</t>
  </si>
  <si>
    <t>(ALMI11)</t>
  </si>
  <si>
    <t>(torre almirante|ALMI11)</t>
  </si>
  <si>
    <t>Alianza Trust Renda Imobiliária</t>
  </si>
  <si>
    <t>Híbrido</t>
  </si>
  <si>
    <t>ALZR11</t>
  </si>
  <si>
    <t>(ALZR11)</t>
  </si>
  <si>
    <t>(alianza trust|ALZR11)</t>
  </si>
  <si>
    <t>Ancar IC</t>
  </si>
  <si>
    <t>GERAÇÃO FUTURO</t>
  </si>
  <si>
    <t>ANCR11B</t>
  </si>
  <si>
    <t>(ANCR11B)</t>
  </si>
  <si>
    <t>(ancar|ANCR11B|ANCR11)</t>
  </si>
  <si>
    <t>Áquilla</t>
  </si>
  <si>
    <t>Incorporação</t>
  </si>
  <si>
    <t>ÍNDIGO INVESTIMENTOS</t>
  </si>
  <si>
    <t>AQLL11</t>
  </si>
  <si>
    <t>(AQLL11)</t>
  </si>
  <si>
    <t>(á|a)quilla|AQLL11)</t>
  </si>
  <si>
    <t>Riza Arctium Real Estate</t>
  </si>
  <si>
    <t>Logisticos</t>
  </si>
  <si>
    <t>VÓRTX</t>
  </si>
  <si>
    <t>ARCT11</t>
  </si>
  <si>
    <t>(ARCT11)</t>
  </si>
  <si>
    <t>(riza arctium|ARCT11)</t>
  </si>
  <si>
    <t>AQ3 Renda</t>
  </si>
  <si>
    <t>ARFI11B</t>
  </si>
  <si>
    <t>(ARFI11B)</t>
  </si>
  <si>
    <t>(AQ3|ARFI11ARFI11B)</t>
  </si>
  <si>
    <t>Átrio Reit Recebíveis Imobiliários</t>
  </si>
  <si>
    <t>OLIVEIRA TRUST</t>
  </si>
  <si>
    <t>ARRI11</t>
  </si>
  <si>
    <t>(ARRI11)</t>
  </si>
  <si>
    <t>(á|a)trio reit|ARRI11)</t>
  </si>
  <si>
    <t>HAZ FII</t>
  </si>
  <si>
    <t>Hoteis</t>
  </si>
  <si>
    <t>GRADUAL</t>
  </si>
  <si>
    <t>ATCR11</t>
  </si>
  <si>
    <t>(ATCR11)</t>
  </si>
  <si>
    <t>(haz|ATCR11)</t>
  </si>
  <si>
    <t>Hedge Atrium Shopping Santo André</t>
  </si>
  <si>
    <t>HEDGE INVESTMENTS</t>
  </si>
  <si>
    <t>ATSA11</t>
  </si>
  <si>
    <t>(ATSA11)</t>
  </si>
  <si>
    <t>(hedge atrium|ATSA11)</t>
  </si>
  <si>
    <t>Barigui Rendimentos</t>
  </si>
  <si>
    <t>BARI11</t>
  </si>
  <si>
    <t>(BARI11)</t>
  </si>
  <si>
    <t>(barigui|BARI11)</t>
  </si>
  <si>
    <t>BB Progressivo</t>
  </si>
  <si>
    <t>Agencias Bancárias</t>
  </si>
  <si>
    <t>BBFI11B</t>
  </si>
  <si>
    <t>(BBFI11B)</t>
  </si>
  <si>
    <t>(bb progressivo|BBFI11BBFI11B)</t>
  </si>
  <si>
    <t>BB Recebíveis Imobiliários</t>
  </si>
  <si>
    <t>BB GESTAO DE RECURSOS DTVM</t>
  </si>
  <si>
    <t>BBIM11</t>
  </si>
  <si>
    <t>(BBIM11)</t>
  </si>
  <si>
    <t>(bb receb(í|i)veis|BBIM11)</t>
  </si>
  <si>
    <t>BB Progressivo II</t>
  </si>
  <si>
    <t>VOTORANTIM ASSET</t>
  </si>
  <si>
    <t>BBPO11</t>
  </si>
  <si>
    <t>(BBPO11)</t>
  </si>
  <si>
    <t>(bb progressivo II|BBPO11)</t>
  </si>
  <si>
    <t>BB Renda Corporativa</t>
  </si>
  <si>
    <t>BBRC11</t>
  </si>
  <si>
    <t>(BBRC11)</t>
  </si>
  <si>
    <t>(bb renda corporativa|BBRC11)</t>
  </si>
  <si>
    <t>Cidade Jardim Continental Tower</t>
  </si>
  <si>
    <t>BBVJ11</t>
  </si>
  <si>
    <t>(BBVJ11)</t>
  </si>
  <si>
    <t>(cidade jardim|BBVJ11)</t>
  </si>
  <si>
    <t>BTG Pactual Fundo de Fundos</t>
  </si>
  <si>
    <t>BCFF11</t>
  </si>
  <si>
    <t>(BCFF11)</t>
  </si>
  <si>
    <t>(btg pactual fundo de fundos|BCFF11)</t>
  </si>
  <si>
    <t>Bradesco Carteira Imobiliária Ativa</t>
  </si>
  <si>
    <t>BANCO BRADESCO</t>
  </si>
  <si>
    <t>BCIA11</t>
  </si>
  <si>
    <t>(BCIA11)</t>
  </si>
  <si>
    <t>(bradesco carteira imobili(á|a)ria|BCIA11)</t>
  </si>
  <si>
    <t>Banestes Recebíveis Imobiliários</t>
  </si>
  <si>
    <t>BCRI11</t>
  </si>
  <si>
    <t>(BCRI11)</t>
  </si>
  <si>
    <t>(Banestes|BCRI11)</t>
  </si>
  <si>
    <t>Inter Títulos Imobiliários</t>
  </si>
  <si>
    <t>INTER DTVM</t>
  </si>
  <si>
    <t>BICR11</t>
  </si>
  <si>
    <t>(BICR11)</t>
  </si>
  <si>
    <t>(Inter T(í|i)tulos Imobili(á|a)rios|BICR11)</t>
  </si>
  <si>
    <t>JS Real Estate Recebíveis Imobiliários</t>
  </si>
  <si>
    <t>BANCO J. SAFRA</t>
  </si>
  <si>
    <t>BJRC11</t>
  </si>
  <si>
    <t>(BJRC11)</t>
  </si>
  <si>
    <t>(JS Real|BJRC11)</t>
  </si>
  <si>
    <t>Bluecap Renda Logística</t>
  </si>
  <si>
    <t>BLCP11</t>
  </si>
  <si>
    <t>(BLCP11)</t>
  </si>
  <si>
    <t>(Bluecap|BLCP11)</t>
  </si>
  <si>
    <t>Bluemacaw Logística</t>
  </si>
  <si>
    <t>BLMG11</t>
  </si>
  <si>
    <t>(BLMG11)</t>
  </si>
  <si>
    <t>(Bluemacaw Logística|BLMG11)</t>
  </si>
  <si>
    <t>Bluemacaw Office Fund II</t>
  </si>
  <si>
    <t>BLMO11</t>
  </si>
  <si>
    <t>(BLMO11)</t>
  </si>
  <si>
    <t>(Bluemacaw Office Fund II|BLMO11)</t>
  </si>
  <si>
    <t>Bluemacaw Renda + FOF</t>
  </si>
  <si>
    <t>N/D</t>
  </si>
  <si>
    <t>BLMR11</t>
  </si>
  <si>
    <t>(BLMR11)</t>
  </si>
  <si>
    <t>(Bluemacaw Renda|BLMR11)</t>
  </si>
  <si>
    <t>Brasílio Machado</t>
  </si>
  <si>
    <t>BMII11</t>
  </si>
  <si>
    <t>(BMII11)</t>
  </si>
  <si>
    <t>(Bras(í|i)lio Machado|BMII11)</t>
  </si>
  <si>
    <t>BM Brascan Lajes Corporativas</t>
  </si>
  <si>
    <t>BMLC11B</t>
  </si>
  <si>
    <t>(BMLC11B)</t>
  </si>
  <si>
    <t>(BM Brascan|BMLC11BMLC11B)</t>
  </si>
  <si>
    <t>Banrisul Novas Fronteiras</t>
  </si>
  <si>
    <t>BNFS11</t>
  </si>
  <si>
    <t>(BNFS11)</t>
  </si>
  <si>
    <t>(Banrisul Novas Fronteiras|BNFS11)</t>
  </si>
  <si>
    <t>Brasil Plural Absoluto Fundo de Fundos</t>
  </si>
  <si>
    <t>GENIAL INVESTIMENTOS</t>
  </si>
  <si>
    <t>BPFF11</t>
  </si>
  <si>
    <t>(BPFF11)</t>
  </si>
  <si>
    <t>(Brasil Plural|BPFF11)</t>
  </si>
  <si>
    <t>Brio Prime Malls</t>
  </si>
  <si>
    <t>BPMA11</t>
  </si>
  <si>
    <t>(BPMA11)</t>
  </si>
  <si>
    <t>(Brio|BPMA11)</t>
  </si>
  <si>
    <t>BTG Pactual Shoppings</t>
  </si>
  <si>
    <t>BPML11</t>
  </si>
  <si>
    <t>(BPML11)</t>
  </si>
  <si>
    <t>(BTG Pactual Shoppings|BPML11)</t>
  </si>
  <si>
    <t>BRLPROP</t>
  </si>
  <si>
    <t>BPRP11</t>
  </si>
  <si>
    <t>(BPRP11)</t>
  </si>
  <si>
    <t>(BRLPROP|BPRP11)</t>
  </si>
  <si>
    <t>Bresco Logística</t>
  </si>
  <si>
    <t>BRCO11</t>
  </si>
  <si>
    <t>(BRCO11)</t>
  </si>
  <si>
    <t>(Bresco Log(í|i)stica|BRCO11)</t>
  </si>
  <si>
    <t>BTG Pactual Corporate Office Fund</t>
  </si>
  <si>
    <t>BRCR11</t>
  </si>
  <si>
    <t>(BRCR11)</t>
  </si>
  <si>
    <t>(BTG Pactual Corporate Office|BRCR11)</t>
  </si>
  <si>
    <t>Brazil Real Estate Victory Fund I</t>
  </si>
  <si>
    <t>BR-CAPITAL</t>
  </si>
  <si>
    <t>BREV11</t>
  </si>
  <si>
    <t>(BREV11)</t>
  </si>
  <si>
    <t>(Brazil Real Estate Victory|BREV11)</t>
  </si>
  <si>
    <t>BR Hoteis</t>
  </si>
  <si>
    <t>ELITE CCVM</t>
  </si>
  <si>
    <t>BRHT11B</t>
  </si>
  <si>
    <t>(BRHT11B)</t>
  </si>
  <si>
    <t>(BR Hot(é|e)is|BRHT11BRHT11B)</t>
  </si>
  <si>
    <t>Brio Real Estate II</t>
  </si>
  <si>
    <t>Incorporação Residencial</t>
  </si>
  <si>
    <t>BRIM11</t>
  </si>
  <si>
    <t>(BRIM11)</t>
  </si>
  <si>
    <t>(Brio Real Estate II|BRIM11)</t>
  </si>
  <si>
    <t>Brio Real Estate III</t>
  </si>
  <si>
    <t>BRIP11</t>
  </si>
  <si>
    <t>(BRIP11)</t>
  </si>
  <si>
    <t>(Brio Real Estate III|BRIP11)</t>
  </si>
  <si>
    <t>BRL PROP II</t>
  </si>
  <si>
    <t>BRLA11</t>
  </si>
  <si>
    <t>(BRLA11)</t>
  </si>
  <si>
    <t>(BRL PROP|BRLA11)</t>
  </si>
  <si>
    <t>BTG Pactual Crédito Imobiliário</t>
  </si>
  <si>
    <t>BTCR11</t>
  </si>
  <si>
    <t>(BTCR11)</t>
  </si>
  <si>
    <t>(BTG Pactual Cr(é|e)dito Imobili(á|a)rio|BTCR11)</t>
  </si>
  <si>
    <t>BTG Pactual Logística</t>
  </si>
  <si>
    <t>BTLG11</t>
  </si>
  <si>
    <t>(BTLG11)</t>
  </si>
  <si>
    <t>(BTG Pactual Log(í|i)stica|BTLG11)</t>
  </si>
  <si>
    <t>BTSP I</t>
  </si>
  <si>
    <t>INTER</t>
  </si>
  <si>
    <t>BTSG11</t>
  </si>
  <si>
    <t>(BTSG11)</t>
  </si>
  <si>
    <t>(BTSP I|BTSG11)</t>
  </si>
  <si>
    <t>Brasil Varejo</t>
  </si>
  <si>
    <t>BVAR11</t>
  </si>
  <si>
    <t>(BVAR11)</t>
  </si>
  <si>
    <t>(Brasil Varejo|BVAR11)</t>
  </si>
  <si>
    <t>BRAZIL REALTY</t>
  </si>
  <si>
    <t>BZLI11</t>
  </si>
  <si>
    <t>(BZLI11)</t>
  </si>
  <si>
    <t>(BRAZIL REALTY|BZLI11)</t>
  </si>
  <si>
    <t>Brazilian GraveyardDeath Care</t>
  </si>
  <si>
    <t>PLANNER</t>
  </si>
  <si>
    <t>CARE11</t>
  </si>
  <si>
    <t>(CARE11)</t>
  </si>
  <si>
    <t>(Brazilian Graveyard Death Care|CARE11)</t>
  </si>
  <si>
    <t>Castello Branco Office Park</t>
  </si>
  <si>
    <t>CREDIT SUISSE</t>
  </si>
  <si>
    <t>CBOP11</t>
  </si>
  <si>
    <t>(CBOP11)</t>
  </si>
  <si>
    <t>(Castello Branco Office Park|CBOP11)</t>
  </si>
  <si>
    <t>CEO Cyrela Commercial Properties</t>
  </si>
  <si>
    <t>CEOC11</t>
  </si>
  <si>
    <t>(CEOC11)</t>
  </si>
  <si>
    <t>(Cyrela Commercial Properties|CEOC11)</t>
  </si>
  <si>
    <t>CF2 FII</t>
  </si>
  <si>
    <t>CFHI11</t>
  </si>
  <si>
    <t>(CFHI11)</t>
  </si>
  <si>
    <t>(CF2 FII|CFHI11)</t>
  </si>
  <si>
    <t>CJ FII</t>
  </si>
  <si>
    <t>CJFI11</t>
  </si>
  <si>
    <t>(CJFI11)</t>
  </si>
  <si>
    <t>(CJ FII|CJFI11)</t>
  </si>
  <si>
    <t>Cenesp</t>
  </si>
  <si>
    <t>CNES11</t>
  </si>
  <si>
    <t>(CNES11)</t>
  </si>
  <si>
    <t>(Cenesp|CNES11)</t>
  </si>
  <si>
    <t>Capitânia REIT FOF</t>
  </si>
  <si>
    <t>CPFF11</t>
  </si>
  <si>
    <t>(CPFF11)</t>
  </si>
  <si>
    <t>(Capit(â|a)nia REIT FOF|CPFF11)</t>
  </si>
  <si>
    <t>Capitânia Securities II</t>
  </si>
  <si>
    <t>CPTS11</t>
  </si>
  <si>
    <t>(CPTS11)</t>
  </si>
  <si>
    <t>(Capitânia Securities II|CPTS11)</t>
  </si>
  <si>
    <t>Caixa Rio Bravo Fundo de Fundos II</t>
  </si>
  <si>
    <t>CAIXA ECONOMICA FEDERAL</t>
  </si>
  <si>
    <t>CRFF11</t>
  </si>
  <si>
    <t>(CRFF11)</t>
  </si>
  <si>
    <t>(Caixa Rio Bravo Fundo de Fundos II|CRFF11)</t>
  </si>
  <si>
    <t>Centro Têxtil Internacional</t>
  </si>
  <si>
    <t>CTXT11</t>
  </si>
  <si>
    <t>(CTXT11)</t>
  </si>
  <si>
    <t>(Centro Têxtil Internacional|CTXT11)</t>
  </si>
  <si>
    <t>VBI CRI</t>
  </si>
  <si>
    <t>CVBI11</t>
  </si>
  <si>
    <t>(CVBI11)</t>
  </si>
  <si>
    <t>(VBI CRI|CVBI11)</t>
  </si>
  <si>
    <t>Caixa Cedae</t>
  </si>
  <si>
    <t>CXCE11B</t>
  </si>
  <si>
    <t>(CXCE11B)</t>
  </si>
  <si>
    <t>(Caixa Cedae|CXCE11CXCE11B)</t>
  </si>
  <si>
    <t>Caixa Rio Bravo Fundo de Fundos</t>
  </si>
  <si>
    <t>CXRI11</t>
  </si>
  <si>
    <t>(CXRI11)</t>
  </si>
  <si>
    <t>(Caixa Rio Bravo Fundo de Fundos|CXRI11)</t>
  </si>
  <si>
    <t>Caixa TRX Logística Renda</t>
  </si>
  <si>
    <t>CXTL11</t>
  </si>
  <si>
    <t>(CXTL11)</t>
  </si>
  <si>
    <t>(Caixa TRX Logística Renda|CXTL11)</t>
  </si>
  <si>
    <t>Diamante</t>
  </si>
  <si>
    <t>BANCO MODAL S.A.</t>
  </si>
  <si>
    <t>DAMT11B</t>
  </si>
  <si>
    <t>(DAMT11B)</t>
  </si>
  <si>
    <t>(DAMT11DAMT11B)</t>
  </si>
  <si>
    <t>Devant Recebíveis Imobiliários</t>
  </si>
  <si>
    <t>DEVA11</t>
  </si>
  <si>
    <t>(DEVA11)</t>
  </si>
  <si>
    <t>(Devant|DEVA11)</t>
  </si>
  <si>
    <t>Del Monte Ajax</t>
  </si>
  <si>
    <t>DLMT11</t>
  </si>
  <si>
    <t>(DLMT11)</t>
  </si>
  <si>
    <t>(Del Monte|DLMT11)</t>
  </si>
  <si>
    <t>MAC FII</t>
  </si>
  <si>
    <t>DMAC11</t>
  </si>
  <si>
    <t>(DMAC11)</t>
  </si>
  <si>
    <t>(MAC FII|DMAC11)</t>
  </si>
  <si>
    <t>Dovel</t>
  </si>
  <si>
    <t>BNY MELLON</t>
  </si>
  <si>
    <t>DOVL11B</t>
  </si>
  <si>
    <t>(DOVL11B)</t>
  </si>
  <si>
    <t>(Dovel|DOVL11DOVL11B)</t>
  </si>
  <si>
    <t>Multigestão Renda Comercial</t>
  </si>
  <si>
    <t>BANCO DAYCOVAL</t>
  </si>
  <si>
    <t>DRIT11B</t>
  </si>
  <si>
    <t>(DRIT11B)</t>
  </si>
  <si>
    <t>(Multigestão Renda Comercial|DRIT11DRIT11B)</t>
  </si>
  <si>
    <t>Edifício Ourinvest</t>
  </si>
  <si>
    <t>EDFO11B</t>
  </si>
  <si>
    <t>(EDFO11B)</t>
  </si>
  <si>
    <t>(Edifício Ourinvest|EDFO11EDFO11B)</t>
  </si>
  <si>
    <t>Edifício Galeria</t>
  </si>
  <si>
    <t>EDGA11</t>
  </si>
  <si>
    <t>(EDGA11)</t>
  </si>
  <si>
    <t>(Edifício Galeria|EDGA11)</t>
  </si>
  <si>
    <t>Energy Resort</t>
  </si>
  <si>
    <t>MONETAR</t>
  </si>
  <si>
    <t>EGYR11</t>
  </si>
  <si>
    <t>(EGYR11)</t>
  </si>
  <si>
    <t>(Energy Resort|EGYR11)</t>
  </si>
  <si>
    <t>Eldorado</t>
  </si>
  <si>
    <t>ELDO11B</t>
  </si>
  <si>
    <t>(ELDO11B)</t>
  </si>
  <si>
    <t>(Eldorado|ELDO11ELDO11B)</t>
  </si>
  <si>
    <t>AYLES</t>
  </si>
  <si>
    <t>ERCR11</t>
  </si>
  <si>
    <t>(ERCR11)</t>
  </si>
  <si>
    <t>(AYLES|ERCR11)</t>
  </si>
  <si>
    <t>EUROPA 105</t>
  </si>
  <si>
    <t>ERPA11</t>
  </si>
  <si>
    <t>(ERPA11)</t>
  </si>
  <si>
    <t>(EUROPA 105|ERPA11)</t>
  </si>
  <si>
    <t>Polo Estoque II</t>
  </si>
  <si>
    <t>ESTQ11</t>
  </si>
  <si>
    <t>(ESTQ11)</t>
  </si>
  <si>
    <t>(Polo Estoque II|ESTQ11)</t>
  </si>
  <si>
    <t>Europar</t>
  </si>
  <si>
    <t>COINVALORES</t>
  </si>
  <si>
    <t>EURO11</t>
  </si>
  <si>
    <t>(EURO11)</t>
  </si>
  <si>
    <t>(Europar|EURO11)</t>
  </si>
  <si>
    <t>VBI Consumo Essencial</t>
  </si>
  <si>
    <t>EVBI11</t>
  </si>
  <si>
    <t>(EVBI11)</t>
  </si>
  <si>
    <t>(VBI Consumo Essencial|EVBI11)</t>
  </si>
  <si>
    <t>Even Hotel Fasano Itaim</t>
  </si>
  <si>
    <t>EVHF11</t>
  </si>
  <si>
    <t>(EVHF11)</t>
  </si>
  <si>
    <t>(Hotel Fasano Itaim|EVHF11)</t>
  </si>
  <si>
    <t>Anhanguera Educacional</t>
  </si>
  <si>
    <t>Educacional</t>
  </si>
  <si>
    <t>FAED11</t>
  </si>
  <si>
    <t>(FAED11)</t>
  </si>
  <si>
    <t>(Anhanguera Educacional|FAED11)</t>
  </si>
  <si>
    <t>Edifício Almirante Barroso</t>
  </si>
  <si>
    <t>FAMB11B</t>
  </si>
  <si>
    <t>(FAMB11B)</t>
  </si>
  <si>
    <t>(Edifício Almirante Barroso|FAMB11FAMB11B)</t>
  </si>
  <si>
    <t>ATHENA I</t>
  </si>
  <si>
    <t>FATN11</t>
  </si>
  <si>
    <t>(FATN11)</t>
  </si>
  <si>
    <t>(ATHENA I|FATN11)</t>
  </si>
  <si>
    <t>Edifício Castelo</t>
  </si>
  <si>
    <t>FCAS11</t>
  </si>
  <si>
    <t>(FCAS11)</t>
  </si>
  <si>
    <t>(Edifício Castelo|FCAS11)</t>
  </si>
  <si>
    <t>Campus Faria Lima</t>
  </si>
  <si>
    <t>FCFL11</t>
  </si>
  <si>
    <t>(FCFL11)</t>
  </si>
  <si>
    <t>(Campus Faria Lima|FCFL11)</t>
  </si>
  <si>
    <t>BTG Pactual Fundo de CRI</t>
  </si>
  <si>
    <t>FEXC11</t>
  </si>
  <si>
    <t>(FEXC11)</t>
  </si>
  <si>
    <t>(BTG Pactual Fundo de CRI|FEXC11)</t>
  </si>
  <si>
    <t>General Shopping Ativo e Renda</t>
  </si>
  <si>
    <t>FIGS11</t>
  </si>
  <si>
    <t>(FIGS11)</t>
  </si>
  <si>
    <t>(General Shopping Ativo e Renda|FIGS11)</t>
  </si>
  <si>
    <t>Industrial do Brasil</t>
  </si>
  <si>
    <t>FIIB11</t>
  </si>
  <si>
    <t>(FIIB11)</t>
  </si>
  <si>
    <t>(Industrial do Brasil|FIIB11)</t>
  </si>
  <si>
    <t>RB Capital Renda I</t>
  </si>
  <si>
    <t>FIIP11B</t>
  </si>
  <si>
    <t>(FIIP11B)</t>
  </si>
  <si>
    <t>(RB Capital Renda I|FIIP11FIIP11B)</t>
  </si>
  <si>
    <t>Infra Real Estate</t>
  </si>
  <si>
    <t>FINF11</t>
  </si>
  <si>
    <t>(FINF11)</t>
  </si>
  <si>
    <t>(Infra Real Estate|FINF11)</t>
  </si>
  <si>
    <t>SC 401</t>
  </si>
  <si>
    <t>BR-CAPITAL DTVM</t>
  </si>
  <si>
    <t>FISC11</t>
  </si>
  <si>
    <t>(FISC11)</t>
  </si>
  <si>
    <t>(SC 401|FISC11)</t>
  </si>
  <si>
    <t>São Domingos</t>
  </si>
  <si>
    <t>FOCO</t>
  </si>
  <si>
    <t>FISD11</t>
  </si>
  <si>
    <t>(FISD11)</t>
  </si>
  <si>
    <t>(São Domingos|FISD11)</t>
  </si>
  <si>
    <t>Vida Nova</t>
  </si>
  <si>
    <t>FIVN11</t>
  </si>
  <si>
    <t>(FIVN11)</t>
  </si>
  <si>
    <t>(Vida Nova|FIVN11)</t>
  </si>
  <si>
    <t>Faria Lima Capital Recebíveis Imobiliários I</t>
  </si>
  <si>
    <t>FLCR11</t>
  </si>
  <si>
    <t>(FLCR11)</t>
  </si>
  <si>
    <t>(Faria Lima Capital|FLCR11)</t>
  </si>
  <si>
    <t>Continental Square Faria Lima</t>
  </si>
  <si>
    <t>FLMA11</t>
  </si>
  <si>
    <t>(FLMA11)</t>
  </si>
  <si>
    <t>(Continental Square Faria Lima|FLMA11)</t>
  </si>
  <si>
    <t>Floripa Shopping</t>
  </si>
  <si>
    <t>FLRP11</t>
  </si>
  <si>
    <t>(FLRP11)</t>
  </si>
  <si>
    <t>(Floripa Shopping|FLRP11)</t>
  </si>
  <si>
    <t>Memorial Office</t>
  </si>
  <si>
    <t>FMOF11</t>
  </si>
  <si>
    <t>(FMOF11)</t>
  </si>
  <si>
    <t>(Memorial Office|FMOF11)</t>
  </si>
  <si>
    <t>Hedge TOP FOFII 2</t>
  </si>
  <si>
    <t>FOFT11</t>
  </si>
  <si>
    <t>(FOFT11)</t>
  </si>
  <si>
    <t>(Hedge TOP FOFII 2|FOFT11)</t>
  </si>
  <si>
    <t>Projeto Água Branca</t>
  </si>
  <si>
    <t>FPAB11</t>
  </si>
  <si>
    <t>(FPAB11)</t>
  </si>
  <si>
    <t>(Projeto Água Branca|FPAB11)</t>
  </si>
  <si>
    <t>Pedra Negra Renda Imobiliária</t>
  </si>
  <si>
    <t>FPNG11</t>
  </si>
  <si>
    <t>(FPNG11)</t>
  </si>
  <si>
    <t>(Pedra Negra Renda Imobiliária|FPNG11)</t>
  </si>
  <si>
    <t>Opportunity</t>
  </si>
  <si>
    <t>BANCO OPPORTUNITY</t>
  </si>
  <si>
    <t>FTCE11B</t>
  </si>
  <si>
    <t>(FTCE11B)</t>
  </si>
  <si>
    <t>(Opportunity|FTCE11FTCE11B)</t>
  </si>
  <si>
    <t>TMJ FII</t>
  </si>
  <si>
    <t>FTMJ11</t>
  </si>
  <si>
    <t>(FTMJ11)</t>
  </si>
  <si>
    <t>(TMJ FII|FTMJ11)</t>
  </si>
  <si>
    <t>Fundo VBI FL 4440</t>
  </si>
  <si>
    <t>FVBI11</t>
  </si>
  <si>
    <t>(FVBI11)</t>
  </si>
  <si>
    <t>(Fundo VBI FL 4440|FVBI11)</t>
  </si>
  <si>
    <t>Via Parque</t>
  </si>
  <si>
    <t>FVPQ11</t>
  </si>
  <si>
    <t>(FVPQ11)</t>
  </si>
  <si>
    <t>(Via Parque|FVPQ11)</t>
  </si>
  <si>
    <t>Guardian Logística</t>
  </si>
  <si>
    <t>GALG11</t>
  </si>
  <si>
    <t>(GALG11)</t>
  </si>
  <si>
    <t>(Guardian Logística|GALG11)</t>
  </si>
  <si>
    <t>Galapagos Fundo de Fundos</t>
  </si>
  <si>
    <t>GCFF11</t>
  </si>
  <si>
    <t>(GCFF11)</t>
  </si>
  <si>
    <t>(Galapagos Fundo de Fundos|GCFF11)</t>
  </si>
  <si>
    <t>General Severiano</t>
  </si>
  <si>
    <t>GESE11B</t>
  </si>
  <si>
    <t>(GESE11B)</t>
  </si>
  <si>
    <t>(General Severiano|GESE11GESE11B)</t>
  </si>
  <si>
    <t>GGR COVEPI</t>
  </si>
  <si>
    <t>GGRC11</t>
  </si>
  <si>
    <t>(GGRC11)</t>
  </si>
  <si>
    <t>(GGR COVEPI|GGRC11)</t>
  </si>
  <si>
    <t>GR Louveira</t>
  </si>
  <si>
    <t>GRLV11</t>
  </si>
  <si>
    <t>(GRLV11)</t>
  </si>
  <si>
    <t>(GR Louveira|GRLV11)</t>
  </si>
  <si>
    <t>General Shopping e Outlets</t>
  </si>
  <si>
    <t>GSFI11</t>
  </si>
  <si>
    <t>(GSFI11)</t>
  </si>
  <si>
    <t>(General Shopping e Outlets|GSFI11)</t>
  </si>
  <si>
    <t>Green Towers</t>
  </si>
  <si>
    <t>GTWR11</t>
  </si>
  <si>
    <t>(GTWR11)</t>
  </si>
  <si>
    <t>(Green Towers|GTWR11)</t>
  </si>
  <si>
    <t>GWI Condomínios Logísticos</t>
  </si>
  <si>
    <t>GWIC11</t>
  </si>
  <si>
    <t>(GWIC11)</t>
  </si>
  <si>
    <t>(GWI Condomínios Logísticos|GWIC11)</t>
  </si>
  <si>
    <t>Hedge AAA</t>
  </si>
  <si>
    <t>HAAA11</t>
  </si>
  <si>
    <t>(HAAA11)</t>
  </si>
  <si>
    <t>(Hedge AAA|HAAA11)</t>
  </si>
  <si>
    <t>Habitat Recebíveis Pulverizados</t>
  </si>
  <si>
    <t>HABT11</t>
  </si>
  <si>
    <t>(HABT11)</t>
  </si>
  <si>
    <t>(Habitat Recebíveis Pulverizados|HABT11)</t>
  </si>
  <si>
    <t>Multi Renda Urbana</t>
  </si>
  <si>
    <t>HBRH11</t>
  </si>
  <si>
    <t>(HBRH11)</t>
  </si>
  <si>
    <t>(Multi Renda Urbana|HBRH11)</t>
  </si>
  <si>
    <t>Habitat I</t>
  </si>
  <si>
    <t>HBTT11</t>
  </si>
  <si>
    <t>(HBTT11)</t>
  </si>
  <si>
    <t>(Habitat I|HBTT11)</t>
  </si>
  <si>
    <t>Hospital da Criança</t>
  </si>
  <si>
    <t>Hospital</t>
  </si>
  <si>
    <t>HCRI11</t>
  </si>
  <si>
    <t>(HCRI11)</t>
  </si>
  <si>
    <t>(Hospital da Criança|HCRI11)</t>
  </si>
  <si>
    <t>Hectare Desenvolvimento Student Housing</t>
  </si>
  <si>
    <t>HCST11</t>
  </si>
  <si>
    <t>(HCST11)</t>
  </si>
  <si>
    <t>(Student Housing|HCST11)</t>
  </si>
  <si>
    <t>HECTARE CE</t>
  </si>
  <si>
    <t>HCTR11</t>
  </si>
  <si>
    <t>(HCTR11)</t>
  </si>
  <si>
    <t>(HECTARE CE|HCTR11)</t>
  </si>
  <si>
    <t>Hedge Design Offices</t>
  </si>
  <si>
    <t>HDOF11</t>
  </si>
  <si>
    <t>(HDOF11)</t>
  </si>
  <si>
    <t>(Hedge Design Offices|HDOF11)</t>
  </si>
  <si>
    <t>Hedge TOP FOFII 3</t>
  </si>
  <si>
    <t>HFOF11</t>
  </si>
  <si>
    <t>(HFOF11)</t>
  </si>
  <si>
    <t>(Hedge TOP FOFII 3|HFOF11)</t>
  </si>
  <si>
    <t>Hedge Brasil Shopping</t>
  </si>
  <si>
    <t>HGBS11</t>
  </si>
  <si>
    <t>(HGBS11)</t>
  </si>
  <si>
    <t>(Hedge Brasil Shopping|HGBS11)</t>
  </si>
  <si>
    <t>CSHG Recebíveis Imobiliários</t>
  </si>
  <si>
    <t>HGCR11</t>
  </si>
  <si>
    <t>(HGCR11)</t>
  </si>
  <si>
    <t>(CSHG Recebíveis Imobiliários|HGCR11)</t>
  </si>
  <si>
    <t>CSHG Imobiliário FOF</t>
  </si>
  <si>
    <t>HGFF11</t>
  </si>
  <si>
    <t>(HGFF11)</t>
  </si>
  <si>
    <t>(CSHG Imobiliário FOF|HGFF11)</t>
  </si>
  <si>
    <t>CSHG Logística</t>
  </si>
  <si>
    <t>HGLG11</t>
  </si>
  <si>
    <t>(HGLG11)</t>
  </si>
  <si>
    <t>(CSHG Logística|HGLG11)</t>
  </si>
  <si>
    <t>CSHG Prime Offices</t>
  </si>
  <si>
    <t>HGPO11</t>
  </si>
  <si>
    <t>(HGPO11)</t>
  </si>
  <si>
    <t>(CSHG Prime Offices|HGPO11)</t>
  </si>
  <si>
    <t>CSHG Real Estate</t>
  </si>
  <si>
    <t>HGRE11</t>
  </si>
  <si>
    <t>(HGRE11)</t>
  </si>
  <si>
    <t>(CSHG Real Estate|HGRE11)</t>
  </si>
  <si>
    <t>CSHG Renda Urbana</t>
  </si>
  <si>
    <t>HGRU11</t>
  </si>
  <si>
    <t>(HGRU11)</t>
  </si>
  <si>
    <t>(CSHG Renda Urbana|HGRU11)</t>
  </si>
  <si>
    <t>Hedge Logística</t>
  </si>
  <si>
    <t>HLOG11</t>
  </si>
  <si>
    <t>(HLOG11)</t>
  </si>
  <si>
    <t>(Hedge Logística|HLOG11)</t>
  </si>
  <si>
    <t>Hedge Shopping Praça da Moça</t>
  </si>
  <si>
    <t>HMOC11</t>
  </si>
  <si>
    <t>(HMOC11)</t>
  </si>
  <si>
    <t>(Praça da Moça|HMOC11)</t>
  </si>
  <si>
    <t>Housi</t>
  </si>
  <si>
    <t>HOSI11</t>
  </si>
  <si>
    <t>(HOSI11)</t>
  </si>
  <si>
    <t>(Housi|HOSI11)</t>
  </si>
  <si>
    <t>Hedge Shopping Parque Dom Pedro</t>
  </si>
  <si>
    <t>HPDP11</t>
  </si>
  <si>
    <t>(HPDP11)</t>
  </si>
  <si>
    <t>(Hedge Shopping Parque Dom Pedro|HPDP11)</t>
  </si>
  <si>
    <t>Hedge Realty Development</t>
  </si>
  <si>
    <t>HRDF11</t>
  </si>
  <si>
    <t>(HRDF11)</t>
  </si>
  <si>
    <t>(Hedge Realty Development|HRDF11)</t>
  </si>
  <si>
    <t>Hedge Recebíveis Imobiliários</t>
  </si>
  <si>
    <t>HREC11</t>
  </si>
  <si>
    <t>(HREC11)</t>
  </si>
  <si>
    <t>(Hedge Recebíveis Imobiliários|HREC11)</t>
  </si>
  <si>
    <t>HSI Ativos Financeiros</t>
  </si>
  <si>
    <t>HSAF11</t>
  </si>
  <si>
    <t>(HSAF11)</t>
  </si>
  <si>
    <t>(HSI Ativos Financeiros|HSAF11)</t>
  </si>
  <si>
    <t>HSI Logística</t>
  </si>
  <si>
    <t>HSLG11</t>
  </si>
  <si>
    <t>(HSLG11)</t>
  </si>
  <si>
    <t>(HSI Logística|HSLG11)</t>
  </si>
  <si>
    <t>HSI Malls</t>
  </si>
  <si>
    <t>Santander Securities Services</t>
  </si>
  <si>
    <t>HSML11</t>
  </si>
  <si>
    <t>(HSML11)</t>
  </si>
  <si>
    <t>(HSI Malls|HSML11)</t>
  </si>
  <si>
    <t>HSI Renda Imobiliária</t>
  </si>
  <si>
    <t>HSRE11</t>
  </si>
  <si>
    <t>(HSRE11)</t>
  </si>
  <si>
    <t>(HSI Renda Imobiliária|HSRE11)</t>
  </si>
  <si>
    <t>Hotel Maxinvest</t>
  </si>
  <si>
    <t>HTMX11</t>
  </si>
  <si>
    <t>(HTMX11)</t>
  </si>
  <si>
    <t>(Hotel Maxinvest|HTMX11)</t>
  </si>
  <si>
    <t>Hospital Unimed Sul Capixaba</t>
  </si>
  <si>
    <t>HUSC11</t>
  </si>
  <si>
    <t>(HUSC11)</t>
  </si>
  <si>
    <t>(Hospital Unimed|HUSC11)</t>
  </si>
  <si>
    <t>HUSI</t>
  </si>
  <si>
    <t>HUSI11</t>
  </si>
  <si>
    <t>(HUSI11)</t>
  </si>
  <si>
    <t>(HUSI|HUSI11)</t>
  </si>
  <si>
    <t>FOF Integral Brei</t>
  </si>
  <si>
    <t>IBFF11</t>
  </si>
  <si>
    <t>(IBFF11)</t>
  </si>
  <si>
    <t>(FOF Integral Brei|IBFF11)</t>
  </si>
  <si>
    <t>IFI-D</t>
  </si>
  <si>
    <t>IFID11</t>
  </si>
  <si>
    <t>(IFID11)</t>
  </si>
  <si>
    <t>(IFI-D|IFID11)</t>
  </si>
  <si>
    <t>IFI-E</t>
  </si>
  <si>
    <t>IFIE11</t>
  </si>
  <si>
    <t>(IFIE11)</t>
  </si>
  <si>
    <t>(IFI-E|IFIE11)</t>
  </si>
  <si>
    <t>IFIX Índice de Fundos Imobiliários</t>
  </si>
  <si>
    <t>IFIX</t>
  </si>
  <si>
    <t>(IFIX)</t>
  </si>
  <si>
    <t>(Índice de Fundos Imobiliários|IFIX)</t>
  </si>
  <si>
    <t>Iridium Recebíveis Imobiliários</t>
  </si>
  <si>
    <t>IRDM11</t>
  </si>
  <si>
    <t>(IRDM11)</t>
  </si>
  <si>
    <t>(Iridium|IRDM11)</t>
  </si>
  <si>
    <t>JBFO FOF</t>
  </si>
  <si>
    <t>BEM DTVM</t>
  </si>
  <si>
    <t>JBFO11</t>
  </si>
  <si>
    <t>(JBFO11)</t>
  </si>
  <si>
    <t>(JBFO|JBFO11)</t>
  </si>
  <si>
    <t>JFL Living</t>
  </si>
  <si>
    <t>PLURAL</t>
  </si>
  <si>
    <t>JFLL11</t>
  </si>
  <si>
    <t>(JFLL11)</t>
  </si>
  <si>
    <t>(JFL|JFLL11)</t>
  </si>
  <si>
    <t>JPP Allocaton Mogno</t>
  </si>
  <si>
    <t>JPPA11</t>
  </si>
  <si>
    <t>(JPPA11)</t>
  </si>
  <si>
    <t>(Allocaton Mogno|JPPA11)</t>
  </si>
  <si>
    <t>JPP Capital</t>
  </si>
  <si>
    <t>BANCO FINAXIS</t>
  </si>
  <si>
    <t>JPPC11</t>
  </si>
  <si>
    <t>(JPPC11)</t>
  </si>
  <si>
    <t>(JPP Capital|JPPC11)</t>
  </si>
  <si>
    <t>Shopping Jardim Sul</t>
  </si>
  <si>
    <t>JRDM11</t>
  </si>
  <si>
    <t>(JRDM11)</t>
  </si>
  <si>
    <t>(Shopping Jardim Sul|JRDM11)</t>
  </si>
  <si>
    <t>JS Real Estate Renda Imobiliária</t>
  </si>
  <si>
    <t>JSIM11</t>
  </si>
  <si>
    <t>(JSIM11)</t>
  </si>
  <si>
    <t>(JS Real Estate Renda Imobiliária|JSIM11)</t>
  </si>
  <si>
    <t>JS Real Estate Multigestão</t>
  </si>
  <si>
    <t>JSRE11</t>
  </si>
  <si>
    <t>(JSRE11)</t>
  </si>
  <si>
    <t>(JS Real Estate Multigestão|JSRE11)</t>
  </si>
  <si>
    <t>JT PREV Desenvolvimento Habitacional</t>
  </si>
  <si>
    <t>JTPR11</t>
  </si>
  <si>
    <t>(JTPR11)</t>
  </si>
  <si>
    <t>(JT PREV Desenvolvimento Habitacional|JTPR11)</t>
  </si>
  <si>
    <t>Even II</t>
  </si>
  <si>
    <t>INTRAG</t>
  </si>
  <si>
    <t>KEVE11</t>
  </si>
  <si>
    <t>(KEVE11)</t>
  </si>
  <si>
    <t>(Even II|KEVE11)</t>
  </si>
  <si>
    <t>Kinea Fundo de Fundos</t>
  </si>
  <si>
    <t>KFOF11</t>
  </si>
  <si>
    <t>(KFOF11)</t>
  </si>
  <si>
    <t>(Kinea Fundo de Fundos|KFOF11)</t>
  </si>
  <si>
    <t>Even Permuta Kinea</t>
  </si>
  <si>
    <t>KINP11</t>
  </si>
  <si>
    <t>(KINP11)</t>
  </si>
  <si>
    <t>(Even Permuta Kinea|KINP11)</t>
  </si>
  <si>
    <t>Kilima FoF Suno 30</t>
  </si>
  <si>
    <t>KISU11</t>
  </si>
  <si>
    <t>(KISU11)</t>
  </si>
  <si>
    <t>(Kilima|KISU11)</t>
  </si>
  <si>
    <t>Kinea Rendimentos Imobiliários FII</t>
  </si>
  <si>
    <t>KNCR11</t>
  </si>
  <si>
    <t>(KNCR11)</t>
  </si>
  <si>
    <t>(Kinea Rendimentos Imobiliários FII|KNCR11)</t>
  </si>
  <si>
    <t>Kinea High Yield CRI</t>
  </si>
  <si>
    <t>KNHY11</t>
  </si>
  <si>
    <t>(KNHY11)</t>
  </si>
  <si>
    <t>(Kinea High Yield CRI|KNHY11)</t>
  </si>
  <si>
    <t>Kinea Índices de Preços</t>
  </si>
  <si>
    <t>KNIP11</t>
  </si>
  <si>
    <t>(KNIP11)</t>
  </si>
  <si>
    <t>(Kinea Índices de Preços|KNIP11)</t>
  </si>
  <si>
    <t>Kinea II Real Estate Equity</t>
  </si>
  <si>
    <t>KNRE11</t>
  </si>
  <si>
    <t>(KNRE11)</t>
  </si>
  <si>
    <t>(Kinea II Real Estate Equity|KNRE11)</t>
  </si>
  <si>
    <t>Kinea Renda Imobiliária</t>
  </si>
  <si>
    <t>KNRI11</t>
  </si>
  <si>
    <t>(KNRI11)</t>
  </si>
  <si>
    <t>(Kinea Renda Imobiliária|KNRI11)</t>
  </si>
  <si>
    <t>Kinea Securities</t>
  </si>
  <si>
    <t>KNSC11</t>
  </si>
  <si>
    <t>(KNSC11)</t>
  </si>
  <si>
    <t>(Kinea Securities|KNSC11)</t>
  </si>
  <si>
    <t>Legatus Shoppings</t>
  </si>
  <si>
    <t>LASC11</t>
  </si>
  <si>
    <t>(LASC11)</t>
  </si>
  <si>
    <t>(Legatus Shoppings|LASC11)</t>
  </si>
  <si>
    <t>Lateres</t>
  </si>
  <si>
    <t>LATR11B</t>
  </si>
  <si>
    <t>(LATR11B)</t>
  </si>
  <si>
    <t>(Lateres|LATR11LATR11B)</t>
  </si>
  <si>
    <t>LOFT II</t>
  </si>
  <si>
    <t>LFTT11</t>
  </si>
  <si>
    <t>(LFTT11)</t>
  </si>
  <si>
    <t>(LOFT II|LFTT11)</t>
  </si>
  <si>
    <t>LOG CP Inter</t>
  </si>
  <si>
    <t>LGCP11</t>
  </si>
  <si>
    <t>(LGCP11)</t>
  </si>
  <si>
    <t>(LOG CP Inter|LGCP11)</t>
  </si>
  <si>
    <t>LOFT I (Cota Sênior)</t>
  </si>
  <si>
    <t>LOFT11B</t>
  </si>
  <si>
    <t>(LOFT11B)</t>
  </si>
  <si>
    <t>(LOFT I Cota S(ê|e)nior|LOFT11LOFT11B)</t>
  </si>
  <si>
    <t>LOFT I (Cota Subordinada)</t>
  </si>
  <si>
    <t>LOFT13B</t>
  </si>
  <si>
    <t>(LOFT13B)</t>
  </si>
  <si>
    <t>(LOFT I Cota Subordinada|LOFT13LOFT13B)</t>
  </si>
  <si>
    <t>Luggo</t>
  </si>
  <si>
    <t>LUGG11</t>
  </si>
  <si>
    <t>(LUGG11)</t>
  </si>
  <si>
    <t>(Luggo|LUGG11)</t>
  </si>
  <si>
    <t>VBI Logístico</t>
  </si>
  <si>
    <t>LVBI11</t>
  </si>
  <si>
    <t>(LVBI11)</t>
  </si>
  <si>
    <t>(VBI Logístico|LVBI11)</t>
  </si>
  <si>
    <t>MALLS BRASIL PLURAL</t>
  </si>
  <si>
    <t>MALL11</t>
  </si>
  <si>
    <t>(MALL11)</t>
  </si>
  <si>
    <t>(MALLS BRASIL|MALL11)</t>
  </si>
  <si>
    <t>Max Retail</t>
  </si>
  <si>
    <t>MAXR11</t>
  </si>
  <si>
    <t>(MAXR11)</t>
  </si>
  <si>
    <t>(Max Retail|MAXR11)</t>
  </si>
  <si>
    <t>Mercantil do Brasil</t>
  </si>
  <si>
    <t>MBRF11</t>
  </si>
  <si>
    <t>(MBRF11)</t>
  </si>
  <si>
    <t>(Mercantil do Brasil|MBRF11)</t>
  </si>
  <si>
    <t>Mauá Capital Recebíveis Imobiliários</t>
  </si>
  <si>
    <t>MCCI11</t>
  </si>
  <si>
    <t>(MCCI11)</t>
  </si>
  <si>
    <t>(Mauá Capital Recebíveis Imobiliários|MCCI11)</t>
  </si>
  <si>
    <t>Mauá Capital FoF</t>
  </si>
  <si>
    <t>MCFF11</t>
  </si>
  <si>
    <t>(MCFF11)</t>
  </si>
  <si>
    <t>(Mauá Capital FoF|MCFF11)</t>
  </si>
  <si>
    <t>Mérito Fundos e Ações Imobiliárias</t>
  </si>
  <si>
    <t>MFAI11</t>
  </si>
  <si>
    <t>(MFAI11)</t>
  </si>
  <si>
    <t>(Mérito Fundos e Ações Imobiliárias|MFAI11)</t>
  </si>
  <si>
    <t>Mérito Desenvolvimento Imobiliário I</t>
  </si>
  <si>
    <t>MFII11</t>
  </si>
  <si>
    <t>(MFII11)</t>
  </si>
  <si>
    <t>(Mérito Desenvolvimento Imobiliário|MFII11)</t>
  </si>
  <si>
    <t>Mogno CRIs High Grade</t>
  </si>
  <si>
    <t>MGCR11</t>
  </si>
  <si>
    <t>(MGCR11)</t>
  </si>
  <si>
    <t>(Mogno CRIs High Grade|MGCR11)</t>
  </si>
  <si>
    <t>Mogno Fundo de Fundos</t>
  </si>
  <si>
    <t>MGFF11</t>
  </si>
  <si>
    <t>(MGFF11)</t>
  </si>
  <si>
    <t>(Mogno Fundo de Fundos|MGFF11)</t>
  </si>
  <si>
    <t>Mogno Hoteis</t>
  </si>
  <si>
    <t>MGHT11</t>
  </si>
  <si>
    <t>(MGHT11)</t>
  </si>
  <si>
    <t>(Mogno Hoteis|MGHT11)</t>
  </si>
  <si>
    <t>Mint Educacional</t>
  </si>
  <si>
    <t>MINT11</t>
  </si>
  <si>
    <t>(MINT11)</t>
  </si>
  <si>
    <t>(Mint Educacional|MINT11)</t>
  </si>
  <si>
    <t>MULTIOFFICES 2</t>
  </si>
  <si>
    <t>MOFF11</t>
  </si>
  <si>
    <t>(MOFF11)</t>
  </si>
  <si>
    <t>(MULTIOFFICES 2|MOFF11)</t>
  </si>
  <si>
    <t>More Real Estate FOF</t>
  </si>
  <si>
    <t>MORE11</t>
  </si>
  <si>
    <t>(MORE11)</t>
  </si>
  <si>
    <t>(More Real Estate FOF|MORE11)</t>
  </si>
  <si>
    <t>Mais Shopping Largo 13</t>
  </si>
  <si>
    <t>MSHP11</t>
  </si>
  <si>
    <t>(MSHP11)</t>
  </si>
  <si>
    <t>(Mais Shopping Largo 13|MSHP11)</t>
  </si>
  <si>
    <t>MULTIOFFICES 1</t>
  </si>
  <si>
    <t>MTOF11</t>
  </si>
  <si>
    <t>(MTOF11)</t>
  </si>
  <si>
    <t>(MULTIOFFICES 1|MTOF11)</t>
  </si>
  <si>
    <t>Metropolis</t>
  </si>
  <si>
    <t>MTRS11</t>
  </si>
  <si>
    <t>(MTRS11)</t>
  </si>
  <si>
    <t>(Metropolis|MTRS11)</t>
  </si>
  <si>
    <t>MV9 FII</t>
  </si>
  <si>
    <t>MVFI11</t>
  </si>
  <si>
    <t>(MVFI11)</t>
  </si>
  <si>
    <t>(MV9 FII|MVFI11)</t>
  </si>
  <si>
    <t>Maxi Renda</t>
  </si>
  <si>
    <t>MXRF11</t>
  </si>
  <si>
    <t>(MXRF11)</t>
  </si>
  <si>
    <t>(Maxi Renda|MXRF11)</t>
  </si>
  <si>
    <t>NCH Brasil Recebíveis Imobiliários</t>
  </si>
  <si>
    <t>NCHB11</t>
  </si>
  <si>
    <t>(NCHB11)</t>
  </si>
  <si>
    <t>(NCH Brasil|NCHB11)</t>
  </si>
  <si>
    <t>Newport Logística</t>
  </si>
  <si>
    <t>NEWL11</t>
  </si>
  <si>
    <t>(NEWL11)</t>
  </si>
  <si>
    <t>(Newport Logística|NEWL11)</t>
  </si>
  <si>
    <t>Newport Renda Urbana</t>
  </si>
  <si>
    <t>BRASIL PLURAL</t>
  </si>
  <si>
    <t>NEWU11</t>
  </si>
  <si>
    <t>(NEWU11)</t>
  </si>
  <si>
    <t>(Newport Renda Urbana|NEWU11)</t>
  </si>
  <si>
    <t>NESTPAR</t>
  </si>
  <si>
    <t>NPAR11</t>
  </si>
  <si>
    <t>(NPAR11)</t>
  </si>
  <si>
    <t>(NESTPAR|NPAR11)</t>
  </si>
  <si>
    <t>Hospital Nossa Senhora de Lourdes</t>
  </si>
  <si>
    <t>NSLU11</t>
  </si>
  <si>
    <t>(NSLU11)</t>
  </si>
  <si>
    <t>(Hospital Nossa Senhora de Lourdes|NSLU11)</t>
  </si>
  <si>
    <t>Novo Horizonte</t>
  </si>
  <si>
    <t>NVHO11</t>
  </si>
  <si>
    <t>(NVHO11)</t>
  </si>
  <si>
    <t>Nova I</t>
  </si>
  <si>
    <t>NVIF11B</t>
  </si>
  <si>
    <t>(NVIF11B)</t>
  </si>
  <si>
    <t>(Nova I|NVIF11NVIF11B)</t>
  </si>
  <si>
    <t>The One</t>
  </si>
  <si>
    <t>ONEF11</t>
  </si>
  <si>
    <t>(ONEF11)</t>
  </si>
  <si>
    <t>(The One|ONEF11)</t>
  </si>
  <si>
    <t>Ouro Verde Desenvolvimento Imobiliário</t>
  </si>
  <si>
    <t>ORPD11</t>
  </si>
  <si>
    <t>(ORPD11)</t>
  </si>
  <si>
    <t>(Ouro Verde|ORPD11)</t>
  </si>
  <si>
    <t>OURINVEST CYRELA</t>
  </si>
  <si>
    <t>BANCO OURINVEST S.A.</t>
  </si>
  <si>
    <t>OUCY11</t>
  </si>
  <si>
    <t>(OUCY11)</t>
  </si>
  <si>
    <t>(OURINVEST CYRELA|OUCY11)</t>
  </si>
  <si>
    <t>Ourinvest Fundo de Fundos</t>
  </si>
  <si>
    <t>OUFF11</t>
  </si>
  <si>
    <t>(OUFF11)</t>
  </si>
  <si>
    <t>(Ourinvest Fundo de Fundos|OUFF11)</t>
  </si>
  <si>
    <t>Ourinvest JPP</t>
  </si>
  <si>
    <t>FINAXIS CORRETORA</t>
  </si>
  <si>
    <t>OUJP11</t>
  </si>
  <si>
    <t>(OUJP11)</t>
  </si>
  <si>
    <t>(Ourinvest JPP|OUJP11)</t>
  </si>
  <si>
    <t>Ourinvest Logística</t>
  </si>
  <si>
    <t>OULG11</t>
  </si>
  <si>
    <t>(OULG11)</t>
  </si>
  <si>
    <t>(Ourinvest Logística|OULG11)</t>
  </si>
  <si>
    <t>Panamby</t>
  </si>
  <si>
    <t>BRKB DTVM</t>
  </si>
  <si>
    <t>PABY11</t>
  </si>
  <si>
    <t>(PABY11)</t>
  </si>
  <si>
    <t>(Panamby|PABY11)</t>
  </si>
  <si>
    <t>Pateo Bandeirantes</t>
  </si>
  <si>
    <t>PATB11</t>
  </si>
  <si>
    <t>(PATB11)</t>
  </si>
  <si>
    <t>(Pateo Bandeirantes|PATB11)</t>
  </si>
  <si>
    <t>Pátria Edifícios Corporativos</t>
  </si>
  <si>
    <t>PATC11</t>
  </si>
  <si>
    <t>(PATC11)</t>
  </si>
  <si>
    <t>(Pátria Edifícios|PATC11)</t>
  </si>
  <si>
    <t>Pátria Logística</t>
  </si>
  <si>
    <t>PATL11</t>
  </si>
  <si>
    <t>(PATL11)</t>
  </si>
  <si>
    <t>(Pátria Logística|PATL11)</t>
  </si>
  <si>
    <t>Prologis Brazil Logistics Venture</t>
  </si>
  <si>
    <t>PBLV11</t>
  </si>
  <si>
    <t>(PBLV11)</t>
  </si>
  <si>
    <t>(Prologis Brazil|PBLV11)</t>
  </si>
  <si>
    <t>Panamby Renda Master</t>
  </si>
  <si>
    <t>PBYR11</t>
  </si>
  <si>
    <t>(PBYR11)</t>
  </si>
  <si>
    <t>(Panamby Renda Master|PBYR11)</t>
  </si>
  <si>
    <t>Plural Recebíveis Imobiliários</t>
  </si>
  <si>
    <t>PLCR11</t>
  </si>
  <si>
    <t>(PLCR11)</t>
  </si>
  <si>
    <t>(Plural Recebíveis Imobiliários|PLCR11)</t>
  </si>
  <si>
    <t>Polo</t>
  </si>
  <si>
    <t>PLRI11</t>
  </si>
  <si>
    <t>(PLRI11)</t>
  </si>
  <si>
    <t>Panorama Desenvolvimento Logístico</t>
  </si>
  <si>
    <t>PNDL11</t>
  </si>
  <si>
    <t>(PNDL11)</t>
  </si>
  <si>
    <t>(Panorama Desenvolvimento Logístico|PNDL11)</t>
  </si>
  <si>
    <t>Polo CRI II</t>
  </si>
  <si>
    <t>PORD11</t>
  </si>
  <si>
    <t>(PORD11)</t>
  </si>
  <si>
    <t>(Polo CRI II|PORD11)</t>
  </si>
  <si>
    <t>Parque Anhanguera</t>
  </si>
  <si>
    <t>PQAG11</t>
  </si>
  <si>
    <t>(PQAG11)</t>
  </si>
  <si>
    <t>(Parque Anhanguera|PQAG11)</t>
  </si>
  <si>
    <t>Parque Dom Pedro Shopping Center</t>
  </si>
  <si>
    <t>PQDP11</t>
  </si>
  <si>
    <t>(PQDP11)</t>
  </si>
  <si>
    <t>(Parque Dom Pedro Shopping Center|PQDP11)</t>
  </si>
  <si>
    <t>PERSONALE I</t>
  </si>
  <si>
    <t>PRSN11B</t>
  </si>
  <si>
    <t>(PRSN11B)</t>
  </si>
  <si>
    <t>(PERSONALE|PRSN11PRSN11B)</t>
  </si>
  <si>
    <t>Presidente Vargas</t>
  </si>
  <si>
    <t>PRSV11</t>
  </si>
  <si>
    <t>(PRSV11)</t>
  </si>
  <si>
    <t>Multi Properties</t>
  </si>
  <si>
    <t>PRTS11</t>
  </si>
  <si>
    <t>(PRTS11)</t>
  </si>
  <si>
    <t>(Multi Properties|PRTS11)</t>
  </si>
  <si>
    <t>VBI Prime Properties</t>
  </si>
  <si>
    <t>PVBI11</t>
  </si>
  <si>
    <t>(PVBI11)</t>
  </si>
  <si>
    <t>(VBI Prime Properties|PVBI11)</t>
  </si>
  <si>
    <t>Quasar Agro</t>
  </si>
  <si>
    <t>QAGR11</t>
  </si>
  <si>
    <t>(QAGR11)</t>
  </si>
  <si>
    <t>(Quasar Agro|QAGR11)</t>
  </si>
  <si>
    <t>Quatá Imob</t>
  </si>
  <si>
    <t>QMFF11</t>
  </si>
  <si>
    <t>(QMFF11)</t>
  </si>
  <si>
    <t>(Quatá Imob|QMFF11)</t>
  </si>
  <si>
    <t>Quasar Crédito Imobiliário</t>
  </si>
  <si>
    <t>QREC11</t>
  </si>
  <si>
    <t>(QREC11)</t>
  </si>
  <si>
    <t>(Quasar Crédito Imobiliário|QREC11)</t>
  </si>
  <si>
    <t>RB Capital Agre</t>
  </si>
  <si>
    <t>CITIBANK DTVM</t>
  </si>
  <si>
    <t>RBAG11</t>
  </si>
  <si>
    <t>(RBAG11)</t>
  </si>
  <si>
    <t>(RB Capital Agre|RBAG11)</t>
  </si>
  <si>
    <t>JHSF Rio Bravo Fazenda Boa Vista</t>
  </si>
  <si>
    <t>RBBV11</t>
  </si>
  <si>
    <t>(RBBV11)</t>
  </si>
  <si>
    <t>(JHSF Rio Bravo Fazenda Boa Vista|RBBV11)</t>
  </si>
  <si>
    <t>Rio Bravo Crédito Imobiliário I</t>
  </si>
  <si>
    <t>RBCB11</t>
  </si>
  <si>
    <t>(RBCB11)</t>
  </si>
  <si>
    <t>(Rio Bravo Crédito Imobiliário I|RBCB11)</t>
  </si>
  <si>
    <t>RB Capital Office Income</t>
  </si>
  <si>
    <t>RBCO11</t>
  </si>
  <si>
    <t>(RBCO11)</t>
  </si>
  <si>
    <t>(RB Capital Office Income|RBCO11)</t>
  </si>
  <si>
    <t>RB Capital Desenvolvimento Residencial II</t>
  </si>
  <si>
    <t>RBDS11</t>
  </si>
  <si>
    <t>(RBDS11)</t>
  </si>
  <si>
    <t>(RB Capital Desenvolvimento Residencial II|RBDS11)</t>
  </si>
  <si>
    <t>Rio Bravo Renda Educacional</t>
  </si>
  <si>
    <t>RBED11</t>
  </si>
  <si>
    <t>(RBED11)</t>
  </si>
  <si>
    <t>(Rio Bravo Renda Educacional|RBED11)</t>
  </si>
  <si>
    <t>Rio Bravo IFIX</t>
  </si>
  <si>
    <t>RBFF11</t>
  </si>
  <si>
    <t>(RBFF11)</t>
  </si>
  <si>
    <t>(Rio Bravo IFIX|RBFF11)</t>
  </si>
  <si>
    <t>RB Capital General Shopping Sulacap</t>
  </si>
  <si>
    <t>RBGS11</t>
  </si>
  <si>
    <t>(RBGS11)</t>
  </si>
  <si>
    <t>(RB Capital General Shopping Sulacap|RBGS11)</t>
  </si>
  <si>
    <t>RB Capital Desenvolvimento Residencial IV</t>
  </si>
  <si>
    <t>RBIR11</t>
  </si>
  <si>
    <t>(RBIR11)</t>
  </si>
  <si>
    <t>(RB Capital Desenvolvimento Residencial IV|RBIR11)</t>
  </si>
  <si>
    <t>Rio Bravo Crédito Imobiliário IV</t>
  </si>
  <si>
    <t>RBIV11</t>
  </si>
  <si>
    <t>(RBIV11)</t>
  </si>
  <si>
    <t>(Rio Bravo Crédito Imobiliário IV|RBIV11)</t>
  </si>
  <si>
    <t>RB Capital Logístico</t>
  </si>
  <si>
    <t>RBLG11</t>
  </si>
  <si>
    <t>(RBLG11)</t>
  </si>
  <si>
    <t>(RB Capital Logístico|RBLG11)</t>
  </si>
  <si>
    <t>RB Capital Prime Realty II</t>
  </si>
  <si>
    <t>RBPD11</t>
  </si>
  <si>
    <t>(RBPD11)</t>
  </si>
  <si>
    <t>(RB Capital Prime Realty II|RBPD11)</t>
  </si>
  <si>
    <t>RB Capital Prime Realty I</t>
  </si>
  <si>
    <t>RBPR11</t>
  </si>
  <si>
    <t>(RBPR11)</t>
  </si>
  <si>
    <t>(RB Capital Prime Realty I|RBPR11)</t>
  </si>
  <si>
    <t>RB Capital Renda II</t>
  </si>
  <si>
    <t>RBRD11</t>
  </si>
  <si>
    <t>(RBRD11)</t>
  </si>
  <si>
    <t>(RB Capital Renda II|RBRD11)</t>
  </si>
  <si>
    <t>RBR Alpha Multiestratégia Real Estate</t>
  </si>
  <si>
    <t>RBRF11</t>
  </si>
  <si>
    <t>(RBRF11)</t>
  </si>
  <si>
    <t>(RBR Alpha Multiestratégia Real Estate|RBRF11)</t>
  </si>
  <si>
    <t>RBR LOG</t>
  </si>
  <si>
    <t>RBRL11</t>
  </si>
  <si>
    <t>(RBRL11)</t>
  </si>
  <si>
    <t>(RBR LOG|RBRL11)</t>
  </si>
  <si>
    <t>RBR Desenvolvimento</t>
  </si>
  <si>
    <t>RBRM11</t>
  </si>
  <si>
    <t>(RBRM11)</t>
  </si>
  <si>
    <t>(RBR Desenvolvimento|RBRM11)</t>
  </si>
  <si>
    <t>RBR Properties FII</t>
  </si>
  <si>
    <t>RBRP11</t>
  </si>
  <si>
    <t>(RBRP11)</t>
  </si>
  <si>
    <t>(RBR Properties FII|RBRP11)</t>
  </si>
  <si>
    <t>RBR Rendimentos High Grade</t>
  </si>
  <si>
    <t>RBRR11</t>
  </si>
  <si>
    <t>(RBRR11)</t>
  </si>
  <si>
    <t>(RBR Rendimentos High Grade|RBRR11)</t>
  </si>
  <si>
    <t>Rio Bravo Renda Residencial</t>
  </si>
  <si>
    <t>RBRS11</t>
  </si>
  <si>
    <t>(RBRS11)</t>
  </si>
  <si>
    <t>(Rio Bravo Renda Residencial|RBRS11)</t>
  </si>
  <si>
    <t>RBR Crédito Imobiliário High Yield</t>
  </si>
  <si>
    <t>RBRY11</t>
  </si>
  <si>
    <t>(RBRY11)</t>
  </si>
  <si>
    <t>(RBR Crédito Imobiliário|RBRY11)</t>
  </si>
  <si>
    <t>RB Capital TFO Situs</t>
  </si>
  <si>
    <t>RBTS11</t>
  </si>
  <si>
    <t>(RBTS11)</t>
  </si>
  <si>
    <t>(RB Capital TFO Situs|RBTS11)</t>
  </si>
  <si>
    <t>Rio Bravo Renda Varejo</t>
  </si>
  <si>
    <t>RBVA11</t>
  </si>
  <si>
    <t>(RBVA11)</t>
  </si>
  <si>
    <t>(Rio Bravo Renda Varejo|RBVA11)</t>
  </si>
  <si>
    <t>Rio Bravo Crédito Imobiliário II</t>
  </si>
  <si>
    <t>RBVO11</t>
  </si>
  <si>
    <t>(RBVO11)</t>
  </si>
  <si>
    <t>(Rio Bravo Crédito Imobiliário II|RBVO11)</t>
  </si>
  <si>
    <t>REP 1 CCS</t>
  </si>
  <si>
    <t>RCCS11</t>
  </si>
  <si>
    <t>(RCCS11)</t>
  </si>
  <si>
    <t>(REP 1 CCS|RCCS11)</t>
  </si>
  <si>
    <t>Grupo RCFA</t>
  </si>
  <si>
    <t>Fram Capital</t>
  </si>
  <si>
    <t>RCFA11</t>
  </si>
  <si>
    <t>(RCFA11)</t>
  </si>
  <si>
    <t>(Grupo RCFA|RCFA11)</t>
  </si>
  <si>
    <t>RBR Desenvolvimento Comercial Feeder FOF</t>
  </si>
  <si>
    <t>RCFF11</t>
  </si>
  <si>
    <t>(RCFF11)</t>
  </si>
  <si>
    <t>(RBR Desenvolvimento Comercial|RCFF11)</t>
  </si>
  <si>
    <t>Rio Bravo Renda Corporativa</t>
  </si>
  <si>
    <t>RCRB11</t>
  </si>
  <si>
    <t>(RCRB11)</t>
  </si>
  <si>
    <t>(Rio Bravo Renda Corporativa|RCRB11)</t>
  </si>
  <si>
    <t>RB Capital Rendimentos</t>
  </si>
  <si>
    <t>RCRI11</t>
  </si>
  <si>
    <t>(RCRI11)</t>
  </si>
  <si>
    <t>(RB Capital Rendimentos|RCRI11)</t>
  </si>
  <si>
    <t>Fundo BB Renda de Papéis II</t>
  </si>
  <si>
    <t>RDPD11</t>
  </si>
  <si>
    <t>(RDPD11)</t>
  </si>
  <si>
    <t>(Fundo BB Renda de Papéis II|RDPD11)</t>
  </si>
  <si>
    <t>REC Hotelaria</t>
  </si>
  <si>
    <t>RECH11</t>
  </si>
  <si>
    <t>(RECH11)</t>
  </si>
  <si>
    <t>(REC Hotelaria|RECH11)</t>
  </si>
  <si>
    <t>REC Recebíveis Imobiliários</t>
  </si>
  <si>
    <t>RECR11</t>
  </si>
  <si>
    <t>(RECR11)</t>
  </si>
  <si>
    <t>(REC Recebíveis Imobiliários|RECR11)</t>
  </si>
  <si>
    <t>REC Renda Imobiliária</t>
  </si>
  <si>
    <t>RECT11</t>
  </si>
  <si>
    <t>(RECT11)</t>
  </si>
  <si>
    <t>(REC Renda Imobiliária|RECT11)</t>
  </si>
  <si>
    <t>SOCOPA FII</t>
  </si>
  <si>
    <t>REIT11</t>
  </si>
  <si>
    <t>(REIT11)</t>
  </si>
  <si>
    <t>(SOCOPA FII|REIT11)</t>
  </si>
  <si>
    <t>REC Logística</t>
  </si>
  <si>
    <t>RELG11</t>
  </si>
  <si>
    <t>(RELG11)</t>
  </si>
  <si>
    <t>(REC Logística|RELG11)</t>
  </si>
  <si>
    <t>RB Capital I Fundo de Fundos</t>
  </si>
  <si>
    <t>RFOF11</t>
  </si>
  <si>
    <t>(RFOF11)</t>
  </si>
  <si>
    <t>(RB Capital I Fundo de Fundos|RFOF11)</t>
  </si>
  <si>
    <t>REAG Renda Imobiliária</t>
  </si>
  <si>
    <t>RMAI11</t>
  </si>
  <si>
    <t>(RMAI11)</t>
  </si>
  <si>
    <t>(REAG Renda Imobiliária|RMAI11)</t>
  </si>
  <si>
    <t>Fundo BB Renda de Papéis</t>
  </si>
  <si>
    <t>RNDP11</t>
  </si>
  <si>
    <t>(RNDP11)</t>
  </si>
  <si>
    <t>(Fundo BB Renda de Papéis|RNDP11)</t>
  </si>
  <si>
    <t>Rio Negro</t>
  </si>
  <si>
    <t>RNGO11</t>
  </si>
  <si>
    <t>(RNGO11)</t>
  </si>
  <si>
    <t>(Rio Negro|RNGO11)</t>
  </si>
  <si>
    <t>RB Capital Recebíveis Imobiliários</t>
  </si>
  <si>
    <t>RRCI11</t>
  </si>
  <si>
    <t>(RRCI11)</t>
  </si>
  <si>
    <t>(RB Capital Recebíveis Imobiliários|RRCI11)</t>
  </si>
  <si>
    <t>RSB 1</t>
  </si>
  <si>
    <t>NSG CAPITAL DTVM</t>
  </si>
  <si>
    <t>RSBU11B</t>
  </si>
  <si>
    <t>(RSBU11B)</t>
  </si>
  <si>
    <t>(RSB 1|RSBU11RSBU11B)</t>
  </si>
  <si>
    <t>RB Capital Desenvolvimento Residencial III</t>
  </si>
  <si>
    <t>RSPD11</t>
  </si>
  <si>
    <t>(RSPD11)</t>
  </si>
  <si>
    <t>(RB Capital Desenvolvimento Residencial III|RSPD11)</t>
  </si>
  <si>
    <t>VBI REITS FOF</t>
  </si>
  <si>
    <t>RVBI11</t>
  </si>
  <si>
    <t>(RVBI11)</t>
  </si>
  <si>
    <t>(VBI REITS FOF|RVBI11)</t>
  </si>
  <si>
    <t>RIZA AKIN</t>
  </si>
  <si>
    <t>RZAK11</t>
  </si>
  <si>
    <t>(RZAK11)</t>
  </si>
  <si>
    <t>(RIZA AKIN|RZAK11)</t>
  </si>
  <si>
    <t>Riza Terrax</t>
  </si>
  <si>
    <t>RZTR11</t>
  </si>
  <si>
    <t>(RZTR11)</t>
  </si>
  <si>
    <t>(Riza Terrax|RZTR11)</t>
  </si>
  <si>
    <t>Santander Agências</t>
  </si>
  <si>
    <t>SAAG11</t>
  </si>
  <si>
    <t>(SAAG11)</t>
  </si>
  <si>
    <t>(Santander Agências|SAAG11)</t>
  </si>
  <si>
    <t>Santander Papéis Imobiliários CDI</t>
  </si>
  <si>
    <t>SADI11</t>
  </si>
  <si>
    <t>(SADI11)</t>
  </si>
  <si>
    <t>(Santander Papéis Imobiliários CDI|SADI11)</t>
  </si>
  <si>
    <t>SIA Corporate</t>
  </si>
  <si>
    <t>BRB DTVM</t>
  </si>
  <si>
    <t>SAIC11B</t>
  </si>
  <si>
    <t>(SAIC11B)</t>
  </si>
  <si>
    <t>(SIA Corporate|SAIC11SAIC11B)</t>
  </si>
  <si>
    <t>Santander Renda de Aluguéis</t>
  </si>
  <si>
    <t>SARE11</t>
  </si>
  <si>
    <t>(SARE11)</t>
  </si>
  <si>
    <t>(Santander Renda de Aluguéis|SARE11)</t>
  </si>
  <si>
    <t>SCP</t>
  </si>
  <si>
    <t>SCPF11</t>
  </si>
  <si>
    <t>(SCPF11)</t>
  </si>
  <si>
    <t>(SCP|SCPF11)</t>
  </si>
  <si>
    <t>SDI Rio Bravo Renda Logística</t>
  </si>
  <si>
    <t>SDIL11</t>
  </si>
  <si>
    <t>(SDIL11)</t>
  </si>
  <si>
    <t>(SDI Rio Bravo Renda Logística|SDIL11)</t>
  </si>
  <si>
    <t>São Fernando</t>
  </si>
  <si>
    <t>SFND11</t>
  </si>
  <si>
    <t>(SFND11)</t>
  </si>
  <si>
    <t>(São Fernando|SFND11)</t>
  </si>
  <si>
    <t>Shopping Parque Dom Pedro</t>
  </si>
  <si>
    <t>SHDP11B</t>
  </si>
  <si>
    <t>(SHDP11B)</t>
  </si>
  <si>
    <t>(Shopping Parque Dom Pedro|SHDP11SHDP11B)</t>
  </si>
  <si>
    <t>Multi Shoppings</t>
  </si>
  <si>
    <t>SHOP11</t>
  </si>
  <si>
    <t>(SHOP11)</t>
  </si>
  <si>
    <t>(Multi Shoppings|SHOP11)</t>
  </si>
  <si>
    <t>Shopping Pátio Higienópolis</t>
  </si>
  <si>
    <t>SHPH11</t>
  </si>
  <si>
    <t>(SHPH11)</t>
  </si>
  <si>
    <t>(Shopping Pátio Higienópolis|SHPH11)</t>
  </si>
  <si>
    <t>Solarium</t>
  </si>
  <si>
    <t>SOLR11</t>
  </si>
  <si>
    <t>(SOLR11)</t>
  </si>
  <si>
    <t>(Solarium|SOLR11)</t>
  </si>
  <si>
    <t>Spa</t>
  </si>
  <si>
    <t>SPAF11</t>
  </si>
  <si>
    <t>(SPAF11)</t>
  </si>
  <si>
    <t>(Spa|SPAF11)</t>
  </si>
  <si>
    <t>SP Downtown</t>
  </si>
  <si>
    <t>SPTW11</t>
  </si>
  <si>
    <t>(SPTW11)</t>
  </si>
  <si>
    <t>(SP Downtown|SPTW11)</t>
  </si>
  <si>
    <t>Succespar Varejo</t>
  </si>
  <si>
    <t>SPVJ11</t>
  </si>
  <si>
    <t>(SPVJ11)</t>
  </si>
  <si>
    <t>(Succespar Varejo|SPVJ11)</t>
  </si>
  <si>
    <t>Santander Recebíveis Imobiliários</t>
  </si>
  <si>
    <t>STFI11</t>
  </si>
  <si>
    <t>(STFI11)</t>
  </si>
  <si>
    <t>(Santander Recebíveis Imobiliários|STFI11)</t>
  </si>
  <si>
    <t>StarX</t>
  </si>
  <si>
    <t>STRX11</t>
  </si>
  <si>
    <t>(STRX11)</t>
  </si>
  <si>
    <t>(StarX|STRX11)</t>
  </si>
  <si>
    <t>TB Office</t>
  </si>
  <si>
    <t>TBOF11</t>
  </si>
  <si>
    <t>(TBOF11)</t>
  </si>
  <si>
    <t>(TB Office|TBOF11)</t>
  </si>
  <si>
    <t>Tourmalet V</t>
  </si>
  <si>
    <t>Socopa</t>
  </si>
  <si>
    <t>TCIN11</t>
  </si>
  <si>
    <t>(TCIN11)</t>
  </si>
  <si>
    <t>(Tourmalet V|TCIN11)</t>
  </si>
  <si>
    <t>Tourmalet V (Cota Ordinária)</t>
  </si>
  <si>
    <t>TCIN12</t>
  </si>
  <si>
    <t>(TCIN12)</t>
  </si>
  <si>
    <t>(Tourmalet V (Cota Ordinária)|TCIN12)</t>
  </si>
  <si>
    <t>Treecorp Real Estate I</t>
  </si>
  <si>
    <t>TCPF11</t>
  </si>
  <si>
    <t>(TCPF11)</t>
  </si>
  <si>
    <t>(Treecorp Real Estate I|TCPF11)</t>
  </si>
  <si>
    <t>Tellus Desenvolvimento Logístico</t>
  </si>
  <si>
    <t>TELD11</t>
  </si>
  <si>
    <t>(TELD11)</t>
  </si>
  <si>
    <t>(Tellus Desenvolvimento Logístico|TELD11)</t>
  </si>
  <si>
    <t>Tellus Properties</t>
  </si>
  <si>
    <t>TEPP11</t>
  </si>
  <si>
    <t>(TEPP11)</t>
  </si>
  <si>
    <t>(Tellus Properties|TEPP11)</t>
  </si>
  <si>
    <t>Hedge TOP FOFII</t>
  </si>
  <si>
    <t>TFOF11</t>
  </si>
  <si>
    <t>(TFOF11)</t>
  </si>
  <si>
    <t>(Hedge TOP FOFII|TFOF11)</t>
  </si>
  <si>
    <t>TG Ativo Real</t>
  </si>
  <si>
    <t>TGAR11</t>
  </si>
  <si>
    <t>(TGAR11)</t>
  </si>
  <si>
    <t>(TG Ativo Real|TGAR11)</t>
  </si>
  <si>
    <t>BM Cyrela Thera Corporate</t>
  </si>
  <si>
    <t>THRA11</t>
  </si>
  <si>
    <t>(THRA11)</t>
  </si>
  <si>
    <t>(BM Cyrela Thera Corporate|THRA11)</t>
  </si>
  <si>
    <t>TORDESILHAS EI</t>
  </si>
  <si>
    <t>TORD11</t>
  </si>
  <si>
    <t>(TORD11)</t>
  </si>
  <si>
    <t>(TORDESILHAS EI|TORD11)</t>
  </si>
  <si>
    <t>Tourmalet I</t>
  </si>
  <si>
    <t>TORM11</t>
  </si>
  <si>
    <t>(TORM11)</t>
  </si>
  <si>
    <t>(Tourmalet I|TORM11)</t>
  </si>
  <si>
    <t>Tourmalet II</t>
  </si>
  <si>
    <t>TOUR11</t>
  </si>
  <si>
    <t>(TOUR11)</t>
  </si>
  <si>
    <t>(Tourmalet II|TOUR11)</t>
  </si>
  <si>
    <t>Torre Norte</t>
  </si>
  <si>
    <t>TRNT11</t>
  </si>
  <si>
    <t>(TRNT11)</t>
  </si>
  <si>
    <t>(Torre Norte|TRNT11)</t>
  </si>
  <si>
    <t>TRX Real Estate II</t>
  </si>
  <si>
    <t>TRXB11</t>
  </si>
  <si>
    <t>(TRXB11)</t>
  </si>
  <si>
    <t>(TRX Real Estate II|TRXB11)</t>
  </si>
  <si>
    <t>TRX Real Estate</t>
  </si>
  <si>
    <t>TRXF11</t>
  </si>
  <si>
    <t>(TRXF11)</t>
  </si>
  <si>
    <t>(TRX Real Estate|TRXF11)</t>
  </si>
  <si>
    <t>Transinc</t>
  </si>
  <si>
    <t>TSNC11</t>
  </si>
  <si>
    <t>(TSNC11)</t>
  </si>
  <si>
    <t>(Transinc|TSNC11)</t>
  </si>
  <si>
    <t>Urbaniza</t>
  </si>
  <si>
    <t>URBN11</t>
  </si>
  <si>
    <t>(URBN11)</t>
  </si>
  <si>
    <t>(Urbaniza|URBN11)</t>
  </si>
  <si>
    <t>Urca Prime Renda</t>
  </si>
  <si>
    <t>URPR11</t>
  </si>
  <si>
    <t>(URPR11)</t>
  </si>
  <si>
    <t>(Urca Prime Renda|URPR11)</t>
  </si>
  <si>
    <t>Vectis Juros Real</t>
  </si>
  <si>
    <t>VCJR11</t>
  </si>
  <si>
    <t>(VCJR11)</t>
  </si>
  <si>
    <t>(Vectis Juros Real|VCJR11)</t>
  </si>
  <si>
    <t>VEREDA</t>
  </si>
  <si>
    <t>VERE11</t>
  </si>
  <si>
    <t>(VERE11)</t>
  </si>
  <si>
    <t>(VEREDA|VERE11)</t>
  </si>
  <si>
    <t>Valora CRI Índice de Preço</t>
  </si>
  <si>
    <t>VGIP11</t>
  </si>
  <si>
    <t>(VGIP11)</t>
  </si>
  <si>
    <t>(Valora CRI Índice de Preço|VGIP11)</t>
  </si>
  <si>
    <t>VALORA RE III</t>
  </si>
  <si>
    <t>VGIR11</t>
  </si>
  <si>
    <t>(VGIR11)</t>
  </si>
  <si>
    <t>(VALORA RE III|VGIR11)</t>
  </si>
  <si>
    <t>Vic Desenvolvimento - Vintage 20/21</t>
  </si>
  <si>
    <t>VIDS11</t>
  </si>
  <si>
    <t>(VIDS11)</t>
  </si>
  <si>
    <t>(Vic Desenvolvimento|VIDS11)</t>
  </si>
  <si>
    <t>Vinci Instrumentos Financeiros</t>
  </si>
  <si>
    <t>VIFI11</t>
  </si>
  <si>
    <t>(VIFI11)</t>
  </si>
  <si>
    <t>(Vinci Instrumentos|VIFI11)</t>
  </si>
  <si>
    <t>Vinci Logística</t>
  </si>
  <si>
    <t>VILG11</t>
  </si>
  <si>
    <t>(VILG11)</t>
  </si>
  <si>
    <t>(Vinci Logística|VILG11)</t>
  </si>
  <si>
    <t>Vinci Offices</t>
  </si>
  <si>
    <t>VINO11</t>
  </si>
  <si>
    <t>(VINO11)</t>
  </si>
  <si>
    <t>(Vinci Offices|VINO11)</t>
  </si>
  <si>
    <t>Vinci Shopping Centers</t>
  </si>
  <si>
    <t>VISC11</t>
  </si>
  <si>
    <t>(VISC11)</t>
  </si>
  <si>
    <t>(Vinci Shopping|VISC11)</t>
  </si>
  <si>
    <t>Vector Queluz Lajes Corporativas</t>
  </si>
  <si>
    <t>VLJS11</t>
  </si>
  <si>
    <t>(VLJS11)</t>
  </si>
  <si>
    <t>(Vector Queluz|VLJS11)</t>
  </si>
  <si>
    <t>Vila Olímpia Corporate</t>
  </si>
  <si>
    <t>VLOL11</t>
  </si>
  <si>
    <t>(VLOL11)</t>
  </si>
  <si>
    <t>(Vila Olímpia Corporate|VLOL11)</t>
  </si>
  <si>
    <t>Votorantim Securities Master</t>
  </si>
  <si>
    <t>VOTS11</t>
  </si>
  <si>
    <t>(VOTS11)</t>
  </si>
  <si>
    <t>(Votorantim Securities Master|VOTS11)</t>
  </si>
  <si>
    <t>Polo Shopping Indaiatuba</t>
  </si>
  <si>
    <t>VPSI11</t>
  </si>
  <si>
    <t>(VPSI11)</t>
  </si>
  <si>
    <t>(Polo Shopping Indaiatuba|VPSI11)</t>
  </si>
  <si>
    <t>Fator Verità</t>
  </si>
  <si>
    <t>BANCO FATOR</t>
  </si>
  <si>
    <t>VRTA11</t>
  </si>
  <si>
    <t>(VRTA11)</t>
  </si>
  <si>
    <t>(Fator Verità|VRTA11)</t>
  </si>
  <si>
    <t>Votorantim Securities</t>
  </si>
  <si>
    <t>VSEC11</t>
  </si>
  <si>
    <t>(VSEC11)</t>
  </si>
  <si>
    <t>(Votorantim Securities|VSEC11)</t>
  </si>
  <si>
    <t>Votorantim Shopping</t>
  </si>
  <si>
    <t>VSHO11</t>
  </si>
  <si>
    <t>(VSHO11)</t>
  </si>
  <si>
    <t>(Votorantim Shopping|VSHO11)</t>
  </si>
  <si>
    <t>Votorantim Logística</t>
  </si>
  <si>
    <t>VTLT11</t>
  </si>
  <si>
    <t>(VTLT11)</t>
  </si>
  <si>
    <t>(Votorantim Logística|VTLT11)</t>
  </si>
  <si>
    <t>Votorantim Patrimonial V</t>
  </si>
  <si>
    <t>VTPA11</t>
  </si>
  <si>
    <t>(VTPA11)</t>
  </si>
  <si>
    <t>(Votorantim Patrimonial V|VTPA11)</t>
  </si>
  <si>
    <t>FII PLUS</t>
  </si>
  <si>
    <t>VTPL11</t>
  </si>
  <si>
    <t>(VTPL11)</t>
  </si>
  <si>
    <t>(FII PLUS|VTPL11)</t>
  </si>
  <si>
    <t>Parking Partners</t>
  </si>
  <si>
    <t>VTVI11</t>
  </si>
  <si>
    <t>(VTVI11)</t>
  </si>
  <si>
    <t>(Parking Partners|VTVI11)</t>
  </si>
  <si>
    <t>Votorantim Patrimonial XII</t>
  </si>
  <si>
    <t>VTXI11</t>
  </si>
  <si>
    <t>(VTXI11)</t>
  </si>
  <si>
    <t>(Votorantim Patrimonial XII|VTXI11)</t>
  </si>
  <si>
    <t>V2 Properties</t>
  </si>
  <si>
    <t>VVPR11</t>
  </si>
  <si>
    <t>(VVPR11)</t>
  </si>
  <si>
    <t>(V2 Properties|VVPR11)</t>
  </si>
  <si>
    <t>VX XVI</t>
  </si>
  <si>
    <t>VXXV11</t>
  </si>
  <si>
    <t>(VXXV11)</t>
  </si>
  <si>
    <t>(VX XVI|VXXV11)</t>
  </si>
  <si>
    <t>WM RB Capital</t>
  </si>
  <si>
    <t>WMRB11B</t>
  </si>
  <si>
    <t>(WMRB11B)</t>
  </si>
  <si>
    <t>(WM RB Capital|WMRB11WMRB11B)</t>
  </si>
  <si>
    <t>West Plaza</t>
  </si>
  <si>
    <t>WPLZ11</t>
  </si>
  <si>
    <t>(WPLZ11)</t>
  </si>
  <si>
    <t>(West Plaza|WPLZ11)</t>
  </si>
  <si>
    <t>Ourinvest RE I</t>
  </si>
  <si>
    <t>WTSP11B</t>
  </si>
  <si>
    <t>(WTSP11B)</t>
  </si>
  <si>
    <t>(Ourinvest RE I|WTSP11WTSP11B)</t>
  </si>
  <si>
    <t>XP Crédito</t>
  </si>
  <si>
    <t>XPCI11</t>
  </si>
  <si>
    <t>(XPCI11)</t>
  </si>
  <si>
    <t>(XP Crédito|XPCI11)</t>
  </si>
  <si>
    <t>XP Corporate Macaé</t>
  </si>
  <si>
    <t>XPCM11</t>
  </si>
  <si>
    <t>(XPCM11)</t>
  </si>
  <si>
    <t>(XP Corporate Macaé|XPCM11)</t>
  </si>
  <si>
    <t>XP Recebíveis</t>
  </si>
  <si>
    <t>XPGA11</t>
  </si>
  <si>
    <t>(XPGA11)</t>
  </si>
  <si>
    <t>(XP Recebíveis|XPGA11)</t>
  </si>
  <si>
    <t>XP Hotéis (Cota Sênior)</t>
  </si>
  <si>
    <t>XPHT11</t>
  </si>
  <si>
    <t>(XPHT11)</t>
  </si>
  <si>
    <t>(XP Hotéis (Cota Sênior)|XPHT11)</t>
  </si>
  <si>
    <t>XP Hotéis (Cota Ordinária)</t>
  </si>
  <si>
    <t>XPHT12</t>
  </si>
  <si>
    <t>(XPHT12)</t>
  </si>
  <si>
    <t>(XP Hotéis (Cota Ordinária)|XPHT12)</t>
  </si>
  <si>
    <t>XP Industrial</t>
  </si>
  <si>
    <t>XPIN11</t>
  </si>
  <si>
    <t>(XPIN11)</t>
  </si>
  <si>
    <t>(XP Industrial|XPIN11)</t>
  </si>
  <si>
    <t>XP LOG</t>
  </si>
  <si>
    <t>XPLG11</t>
  </si>
  <si>
    <t>(XPLG11)</t>
  </si>
  <si>
    <t>(XP LOG|XPLG11)</t>
  </si>
  <si>
    <t>XP Malls</t>
  </si>
  <si>
    <t>XPML11</t>
  </si>
  <si>
    <t>(XPML11)</t>
  </si>
  <si>
    <t>(XP Malls|XPML11)</t>
  </si>
  <si>
    <t>XP Properties</t>
  </si>
  <si>
    <t>XPPR11</t>
  </si>
  <si>
    <t>(XPPR11)</t>
  </si>
  <si>
    <t>(XP Properties|XPPR11)</t>
  </si>
  <si>
    <t>XP Selection</t>
  </si>
  <si>
    <t>XPSF11</t>
  </si>
  <si>
    <t>(XPSF11)</t>
  </si>
  <si>
    <t>(XP Selection|XPSF11)</t>
  </si>
  <si>
    <t>TRX Edifícios Corporativos</t>
  </si>
  <si>
    <t>XTED11</t>
  </si>
  <si>
    <t>(XTED11)</t>
  </si>
  <si>
    <t>(TRX Edifícios Corporativos|XTED11)</t>
  </si>
  <si>
    <t>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 OR X1YL34 OR X1YL34F OR XRAY34 OR XRAY34F OR YUMR34 OR YUMR34F OR Z1BH34 OR Z1BH34F OR Z1IO34 OR Z1IO34F OR Z1TS34 OR Z1TS34F OR FCXO34 OR FCXO34F OR BBSE3 OR BBSE3F OR MMMC34 OR MMMC34F OR BOAC34 OR BOAC34F OR CTGP34 OR CTGP34F OR GSGI34 OR GSGI34F OR GEOO34 OR GEOO34F OR HONB34 OR HONB34F OR JPMC34 OR JPMC34F OR MSCD34 OR MSCD34F OR MSBR34F OR MSBR34 OR VISA34 OR VISA34F OR WFCO34 OR WFCO34F OR PGCO34 OR PGCO34F OR COCA34 OR COCA34F OR COLG34 OR COLG34F OR PEPB34 OR PEPB34F OR WALM34F OR WALM34</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</si>
</sst>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scheme val="minor"/>
    </font>
    <font>
      <color rgb="FFFFFFFF"/>
      <name val="Arial"/>
      <scheme val="minor"/>
    </font>
    <font>
      <color theme="1"/>
      <name val="Arial"/>
      <scheme val="minor"/>
    </font>
    <font>
      <color rgb="FF000000"/>
      <name val="Montserrat"/>
    </font>
    <font>
      <b/>
      <u/>
      <color rgb="FF0091FF"/>
      <name val="Montserrat"/>
    </font>
    <font>
      <b/>
      <u/>
      <color rgb="FF0091FF"/>
      <name val="Montserrat"/>
    </font>
    <font>
      <b/>
      <u/>
      <color rgb="FF0091FF"/>
      <name val="Montserrat"/>
    </font>
    <font>
      <u/>
      <color rgb="FF0000FF"/>
    </font>
    <font>
      <color rgb="FF000000"/>
      <name val="Arial"/>
      <scheme val="minor"/>
    </font>
    <font>
      <color rgb="FF000000"/>
      <name val="Arial"/>
    </font>
    <font>
      <b/>
      <color rgb="FF0091FF"/>
      <name val="Montserrat"/>
    </font>
    <font>
      <sz val="11.0"/>
      <color rgb="FF005CA9"/>
      <name val="Montserrat"/>
    </font>
    <font>
      <b/>
      <u/>
      <color rgb="FF0091FF"/>
      <name val="Montserrat"/>
    </font>
    <font>
      <b/>
      <u/>
      <color rgb="FF0091FF"/>
      <name val="Montserrat"/>
    </font>
    <font>
      <b/>
      <u/>
      <color rgb="FF0091FF"/>
      <name val="Montserrat"/>
    </font>
    <font>
      <color rgb="FF5C5F60"/>
      <name val="Montserrat"/>
    </font>
    <font>
      <color rgb="FF004685"/>
      <name val="Montserrat"/>
    </font>
    <font>
      <sz val="11.0"/>
      <color rgb="FF000000"/>
      <name val="Calibri"/>
    </font>
    <font>
      <u/>
      <color rgb="FF1155CC"/>
    </font>
  </fonts>
  <fills count="18">
    <fill>
      <patternFill patternType="none"/>
    </fill>
    <fill>
      <patternFill patternType="lightGray"/>
    </fill>
    <fill>
      <patternFill patternType="solid">
        <fgColor rgb="FF1C4587"/>
        <bgColor rgb="FF1C4587"/>
      </patternFill>
    </fill>
    <fill>
      <patternFill patternType="solid">
        <fgColor rgb="FFD9D2E9"/>
        <bgColor rgb="FFD9D2E9"/>
      </patternFill>
    </fill>
    <fill>
      <patternFill patternType="solid">
        <fgColor rgb="FFFFFF00"/>
        <bgColor rgb="FFFFFF00"/>
      </patternFill>
    </fill>
    <fill>
      <patternFill patternType="solid">
        <fgColor rgb="FFFFFFFF"/>
        <bgColor rgb="FFFFFFFF"/>
      </patternFill>
    </fill>
    <fill>
      <patternFill patternType="solid">
        <fgColor rgb="FFEA9999"/>
        <bgColor rgb="FFEA9999"/>
      </patternFill>
    </fill>
    <fill>
      <patternFill patternType="solid">
        <fgColor rgb="FFFFF2CC"/>
        <bgColor rgb="FFFFF2CC"/>
      </patternFill>
    </fill>
    <fill>
      <patternFill patternType="solid">
        <fgColor rgb="FFFF0000"/>
        <bgColor rgb="FFFF0000"/>
      </patternFill>
    </fill>
    <fill>
      <patternFill patternType="solid">
        <fgColor rgb="FFD9EAD3"/>
        <bgColor rgb="FFD9EAD3"/>
      </patternFill>
    </fill>
    <fill>
      <patternFill patternType="solid">
        <fgColor rgb="FFEAD1DC"/>
        <bgColor rgb="FFEAD1DC"/>
      </patternFill>
    </fill>
    <fill>
      <patternFill patternType="solid">
        <fgColor rgb="FFD0E0E3"/>
        <bgColor rgb="FFD0E0E3"/>
      </patternFill>
    </fill>
    <fill>
      <patternFill patternType="solid">
        <fgColor rgb="FFC9DAF8"/>
        <bgColor rgb="FFC9DAF8"/>
      </patternFill>
    </fill>
    <fill>
      <patternFill patternType="solid">
        <fgColor rgb="FFCFE2F3"/>
        <bgColor rgb="FFCFE2F3"/>
      </patternFill>
    </fill>
    <fill>
      <patternFill patternType="solid">
        <fgColor rgb="FFD9D9D9"/>
        <bgColor rgb="FFD9D9D9"/>
      </patternFill>
    </fill>
    <fill>
      <patternFill patternType="solid">
        <fgColor rgb="FFFCE5CD"/>
        <bgColor rgb="FFFCE5CD"/>
      </patternFill>
    </fill>
    <fill>
      <patternFill patternType="solid">
        <fgColor rgb="FFA64D79"/>
        <bgColor rgb="FFA64D79"/>
      </patternFill>
    </fill>
    <fill>
      <patternFill patternType="solid">
        <fgColor rgb="FFF7F7F7"/>
        <bgColor rgb="FFF7F7F7"/>
      </patternFill>
    </fill>
  </fills>
  <borders count="1">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0" fontId="2" numFmtId="0" xfId="0" applyAlignment="1" applyFont="1">
      <alignment readingOrder="0"/>
    </xf>
    <xf borderId="0" fillId="3" fontId="2" numFmtId="0" xfId="0" applyAlignment="1" applyFill="1" applyFont="1">
      <alignment readingOrder="0"/>
    </xf>
    <xf borderId="0" fillId="0" fontId="3" numFmtId="0" xfId="0" applyAlignment="1" applyFont="1">
      <alignment horizontal="left" readingOrder="0"/>
    </xf>
    <xf borderId="0" fillId="0" fontId="4" numFmtId="0" xfId="0" applyAlignment="1" applyFont="1">
      <alignment horizontal="right" readingOrder="0"/>
    </xf>
    <xf borderId="0" fillId="0" fontId="2" numFmtId="0" xfId="0" applyFont="1"/>
    <xf borderId="0" fillId="4" fontId="3" numFmtId="0" xfId="0" applyAlignment="1" applyFill="1" applyFont="1">
      <alignment horizontal="left" readingOrder="0"/>
    </xf>
    <xf borderId="0" fillId="4" fontId="5" numFmtId="0" xfId="0" applyAlignment="1" applyFont="1">
      <alignment horizontal="right" readingOrder="0"/>
    </xf>
    <xf borderId="0" fillId="4" fontId="2" numFmtId="0" xfId="0" applyAlignment="1" applyFont="1">
      <alignment readingOrder="0"/>
    </xf>
    <xf borderId="0" fillId="5" fontId="3" numFmtId="0" xfId="0" applyAlignment="1" applyFill="1" applyFont="1">
      <alignment horizontal="left" readingOrder="0"/>
    </xf>
    <xf borderId="0" fillId="6" fontId="2" numFmtId="0" xfId="0" applyAlignment="1" applyFill="1" applyFont="1">
      <alignment readingOrder="0"/>
    </xf>
    <xf borderId="0" fillId="0" fontId="6" numFmtId="0" xfId="0" applyAlignment="1" applyFont="1">
      <alignment horizontal="right" readingOrder="0"/>
    </xf>
    <xf borderId="0" fillId="7" fontId="2" numFmtId="0" xfId="0" applyAlignment="1" applyFill="1" applyFont="1">
      <alignment readingOrder="0"/>
    </xf>
    <xf borderId="0" fillId="8" fontId="3" numFmtId="0" xfId="0" applyAlignment="1" applyFill="1" applyFont="1">
      <alignment horizontal="left" readingOrder="0"/>
    </xf>
    <xf borderId="0" fillId="9" fontId="2" numFmtId="0" xfId="0" applyAlignment="1" applyFill="1" applyFont="1">
      <alignment readingOrder="0"/>
    </xf>
    <xf borderId="0" fillId="10" fontId="2" numFmtId="0" xfId="0" applyAlignment="1" applyFill="1" applyFont="1">
      <alignment readingOrder="0"/>
    </xf>
    <xf borderId="0" fillId="11" fontId="2" numFmtId="0" xfId="0" applyAlignment="1" applyFill="1" applyFont="1">
      <alignment readingOrder="0"/>
    </xf>
    <xf borderId="0" fillId="12" fontId="2" numFmtId="0" xfId="0" applyAlignment="1" applyFill="1" applyFont="1">
      <alignment readingOrder="0"/>
    </xf>
    <xf borderId="0" fillId="13" fontId="2" numFmtId="0" xfId="0" applyAlignment="1" applyFill="1" applyFont="1">
      <alignment readingOrder="0"/>
    </xf>
    <xf borderId="0" fillId="14" fontId="2" numFmtId="0" xfId="0" applyAlignment="1" applyFill="1" applyFont="1">
      <alignment readingOrder="0"/>
    </xf>
    <xf borderId="0" fillId="15" fontId="2" numFmtId="0" xfId="0" applyAlignment="1" applyFill="1" applyFont="1">
      <alignment readingOrder="0"/>
    </xf>
    <xf borderId="0" fillId="0" fontId="7" numFmtId="0" xfId="0" applyFont="1"/>
    <xf borderId="0" fillId="0" fontId="8" numFmtId="0" xfId="0" applyAlignment="1" applyFont="1">
      <alignment readingOrder="0"/>
    </xf>
    <xf borderId="0" fillId="8" fontId="2" numFmtId="0" xfId="0" applyAlignment="1" applyFont="1">
      <alignment readingOrder="0"/>
    </xf>
    <xf borderId="0" fillId="0" fontId="2" numFmtId="0" xfId="0" applyAlignment="1" applyFont="1">
      <alignment readingOrder="0"/>
    </xf>
    <xf borderId="0" fillId="5" fontId="0" numFmtId="0" xfId="0" applyAlignment="1" applyFont="1">
      <alignment horizontal="left" readingOrder="0"/>
    </xf>
    <xf borderId="0" fillId="16" fontId="2" numFmtId="0" xfId="0" applyAlignment="1" applyFill="1" applyFont="1">
      <alignment readingOrder="0"/>
    </xf>
    <xf borderId="0" fillId="5" fontId="9" numFmtId="0" xfId="0" applyAlignment="1" applyFont="1">
      <alignment horizontal="left" readingOrder="0"/>
    </xf>
    <xf borderId="0" fillId="5" fontId="0" numFmtId="0" xfId="0" applyAlignment="1" applyFont="1">
      <alignment readingOrder="0"/>
    </xf>
    <xf borderId="0" fillId="0" fontId="10" numFmtId="0" xfId="0" applyAlignment="1" applyFont="1">
      <alignment horizontal="right"/>
    </xf>
    <xf borderId="0" fillId="0" fontId="9" numFmtId="0" xfId="0" applyAlignment="1" applyFont="1">
      <alignment horizontal="left" readingOrder="0"/>
    </xf>
    <xf borderId="0" fillId="5" fontId="11" numFmtId="0" xfId="0" applyAlignment="1" applyFont="1">
      <alignment horizontal="left"/>
    </xf>
    <xf borderId="0" fillId="0" fontId="12" numFmtId="0" xfId="0" applyAlignment="1" applyFont="1">
      <alignment horizontal="right"/>
    </xf>
    <xf borderId="0" fillId="0" fontId="2" numFmtId="0" xfId="0" applyFont="1"/>
    <xf borderId="0" fillId="5" fontId="2" numFmtId="0" xfId="0" applyAlignment="1" applyFont="1">
      <alignment readingOrder="0"/>
    </xf>
    <xf borderId="0" fillId="0" fontId="13" numFmtId="0" xfId="0" applyAlignment="1" applyFont="1">
      <alignment horizontal="right" vertical="bottom"/>
    </xf>
    <xf borderId="0" fillId="0" fontId="14" numFmtId="0" xfId="0" applyAlignment="1" applyFont="1">
      <alignment horizontal="right" vertical="bottom"/>
    </xf>
    <xf borderId="0" fillId="5" fontId="11" numFmtId="0" xfId="0" applyAlignment="1" applyFont="1">
      <alignment horizontal="left" readingOrder="0"/>
    </xf>
    <xf borderId="0" fillId="0" fontId="10" numFmtId="0" xfId="0" applyAlignment="1" applyFont="1">
      <alignment horizontal="right"/>
    </xf>
    <xf borderId="0" fillId="5" fontId="15" numFmtId="0" xfId="0" applyAlignment="1" applyFont="1">
      <alignment readingOrder="0"/>
    </xf>
    <xf borderId="0" fillId="17" fontId="16" numFmtId="0" xfId="0" applyFill="1" applyFont="1"/>
    <xf borderId="0" fillId="0" fontId="2" numFmtId="0" xfId="0" applyFont="1"/>
    <xf borderId="0" fillId="0" fontId="10" numFmtId="0" xfId="0" applyAlignment="1" applyFont="1">
      <alignment horizontal="right" readingOrder="0"/>
    </xf>
    <xf borderId="0" fillId="0" fontId="17" numFmtId="0" xfId="0" applyAlignment="1" applyFont="1">
      <alignment readingOrder="0" shrinkToFit="0" vertical="bottom" wrapText="0"/>
    </xf>
    <xf borderId="0" fillId="0" fontId="18"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infomoney.com.br/cotacoes/lojas-americanas-lame4/" TargetMode="External"/><Relationship Id="rId194" Type="http://schemas.openxmlformats.org/officeDocument/2006/relationships/hyperlink" Target="https://www.infomoney.com.br/cotacoes/gafisa-gfsa3/" TargetMode="External"/><Relationship Id="rId193" Type="http://schemas.openxmlformats.org/officeDocument/2006/relationships/hyperlink" Target="https://www.infomoney.com.br/cotacoes/hoteis-othon-hoot4/" TargetMode="External"/><Relationship Id="rId192" Type="http://schemas.openxmlformats.org/officeDocument/2006/relationships/hyperlink" Target="https://www.infomoney.com.br/cotacoes/lojas-americanas-lame3/" TargetMode="External"/><Relationship Id="rId191" Type="http://schemas.openxmlformats.org/officeDocument/2006/relationships/hyperlink" Target="https://www.infomoney.com.br/cotacoes/lojas-americanas-lame3f/" TargetMode="External"/><Relationship Id="rId187" Type="http://schemas.openxmlformats.org/officeDocument/2006/relationships/hyperlink" Target="https://www.infomoney.com.br/cotacoes/ser-educa-seer3/" TargetMode="External"/><Relationship Id="rId186" Type="http://schemas.openxmlformats.org/officeDocument/2006/relationships/hyperlink" Target="https://www.infomoney.com.br/cotacoes/starbucks-sbub34/" TargetMode="External"/><Relationship Id="rId185" Type="http://schemas.openxmlformats.org/officeDocument/2006/relationships/hyperlink" Target="https://www.infomoney.com.br/cotacoes/tecnisa-tcsa3/" TargetMode="External"/><Relationship Id="rId184" Type="http://schemas.openxmlformats.org/officeDocument/2006/relationships/hyperlink" Target="https://www.infomoney.com.br/cotacoes/viavarejo-vvar3/" TargetMode="External"/><Relationship Id="rId189" Type="http://schemas.openxmlformats.org/officeDocument/2006/relationships/hyperlink" Target="https://www.infomoney.com.br/cotacoes/lojas-americanas-lame4f/" TargetMode="External"/><Relationship Id="rId188" Type="http://schemas.openxmlformats.org/officeDocument/2006/relationships/hyperlink" Target="https://www.infomoney.com.br/cotacoes/saraiva-livr-sled4/" TargetMode="External"/><Relationship Id="rId183" Type="http://schemas.openxmlformats.org/officeDocument/2006/relationships/hyperlink" Target="https://www.infomoney.com.br/cotacoes/whirlpool-whrl3/" TargetMode="External"/><Relationship Id="rId182" Type="http://schemas.openxmlformats.org/officeDocument/2006/relationships/hyperlink" Target="https://www.infomoney.com.br/cotacoes/whirlpool-whrl4/" TargetMode="External"/><Relationship Id="rId181" Type="http://schemas.openxmlformats.org/officeDocument/2006/relationships/hyperlink" Target="https://www.infomoney.com.br/cotacoes/cogna-cogn3/" TargetMode="External"/><Relationship Id="rId180" Type="http://schemas.openxmlformats.org/officeDocument/2006/relationships/hyperlink" Target="https://www.infomoney.com.br/cotacoes/cogna-cogn3f/" TargetMode="External"/><Relationship Id="rId176" Type="http://schemas.openxmlformats.org/officeDocument/2006/relationships/hyperlink" Target="https://www.infomoney.com.br/cotacoes/magazine-luiza-mglu3f/" TargetMode="External"/><Relationship Id="rId297" Type="http://schemas.openxmlformats.org/officeDocument/2006/relationships/hyperlink" Target="https://www.infomoney.com.br/cotacoes/santander-br-sanb11f/" TargetMode="External"/><Relationship Id="rId175" Type="http://schemas.openxmlformats.org/officeDocument/2006/relationships/hyperlink" Target="https://www.infomoney.com.br/cotacoes/mrv-engenharia-mrve3/" TargetMode="External"/><Relationship Id="rId296" Type="http://schemas.openxmlformats.org/officeDocument/2006/relationships/hyperlink" Target="https://www.infomoney.com.br/cotacoes/santander-br-sanb3f/" TargetMode="External"/><Relationship Id="rId174" Type="http://schemas.openxmlformats.org/officeDocument/2006/relationships/hyperlink" Target="https://www.infomoney.com.br/cotacoes/mrv-engenharia-mrve3f/" TargetMode="External"/><Relationship Id="rId295" Type="http://schemas.openxmlformats.org/officeDocument/2006/relationships/hyperlink" Target="https://www.infomoney.com.br/cotacoes/santander-br-sanb4f/" TargetMode="External"/><Relationship Id="rId173" Type="http://schemas.openxmlformats.org/officeDocument/2006/relationships/hyperlink" Target="https://www.infomoney.com.br/cotacoes/localiza-rent3/" TargetMode="External"/><Relationship Id="rId294" Type="http://schemas.openxmlformats.org/officeDocument/2006/relationships/hyperlink" Target="https://www.infomoney.com.br/cotacoes/banco-inter-bidi4/" TargetMode="External"/><Relationship Id="rId179" Type="http://schemas.openxmlformats.org/officeDocument/2006/relationships/hyperlink" Target="https://www.infomoney.com.br/cotacoes/lojas-renner-lren3/" TargetMode="External"/><Relationship Id="rId178" Type="http://schemas.openxmlformats.org/officeDocument/2006/relationships/hyperlink" Target="https://www.infomoney.com.br/cotacoes/lojas-renner-lren3f/" TargetMode="External"/><Relationship Id="rId299" Type="http://schemas.openxmlformats.org/officeDocument/2006/relationships/hyperlink" Target="https://www.infomoney.com.br/cotacoes/santander-br-sanb3/" TargetMode="External"/><Relationship Id="rId177" Type="http://schemas.openxmlformats.org/officeDocument/2006/relationships/hyperlink" Target="https://www.infomoney.com.br/cotacoes/magazine-luiza-mglu3/" TargetMode="External"/><Relationship Id="rId298" Type="http://schemas.openxmlformats.org/officeDocument/2006/relationships/hyperlink" Target="https://www.infomoney.com.br/cotacoes/santander-br-sanb4/" TargetMode="External"/><Relationship Id="rId198" Type="http://schemas.openxmlformats.org/officeDocument/2006/relationships/hyperlink" Target="https://www.infomoney.com.br/cotacoes/cvc-brasil-cvcb3/" TargetMode="External"/><Relationship Id="rId197" Type="http://schemas.openxmlformats.org/officeDocument/2006/relationships/hyperlink" Target="https://www.infomoney.com.br/cotacoes/cyrela-realty-cyre3/" TargetMode="External"/><Relationship Id="rId196" Type="http://schemas.openxmlformats.org/officeDocument/2006/relationships/hyperlink" Target="https://www.infomoney.com.br/cotacoes/yduqs-yduq3/" TargetMode="External"/><Relationship Id="rId195" Type="http://schemas.openxmlformats.org/officeDocument/2006/relationships/hyperlink" Target="https://www.infomoney.com.br/cotacoes/gafisa-gfsa3f/" TargetMode="External"/><Relationship Id="rId199" Type="http://schemas.openxmlformats.org/officeDocument/2006/relationships/hyperlink" Target="https://www.infomoney.com.br/cotacoes/wal-mart-walm34f/" TargetMode="External"/><Relationship Id="rId150" Type="http://schemas.openxmlformats.org/officeDocument/2006/relationships/hyperlink" Target="https://www.infomoney.com.br/cotacoes/coteminas-ctnm3/" TargetMode="External"/><Relationship Id="rId271" Type="http://schemas.openxmlformats.org/officeDocument/2006/relationships/hyperlink" Target="https://www.infomoney.com.br/cotacoes/lps-brasil-lpsb3/" TargetMode="External"/><Relationship Id="rId392" Type="http://schemas.openxmlformats.org/officeDocument/2006/relationships/hyperlink" Target="https://www.infomoney.com.br/cotacoes/westernunion-wuni34/" TargetMode="External"/><Relationship Id="rId270" Type="http://schemas.openxmlformats.org/officeDocument/2006/relationships/hyperlink" Target="https://www.infomoney.com.br/cotacoes/lps-brasil-lpsb3f/" TargetMode="External"/><Relationship Id="rId391" Type="http://schemas.openxmlformats.org/officeDocument/2006/relationships/hyperlink" Target="https://www.infomoney.com.br/cotacoes/westernunion-wuni34f/" TargetMode="External"/><Relationship Id="rId390" Type="http://schemas.openxmlformats.org/officeDocument/2006/relationships/hyperlink" Target="https://www.infomoney.com.br/cotacoes/xcel-energy-x1el34/" TargetMode="External"/><Relationship Id="rId1" Type="http://schemas.openxmlformats.org/officeDocument/2006/relationships/hyperlink" Target="https://www.infomoney.com.br/cotacoes/compass-pass3/" TargetMode="External"/><Relationship Id="rId2" Type="http://schemas.openxmlformats.org/officeDocument/2006/relationships/hyperlink" Target="https://www.infomoney.com.br/cotacoes/boa-vista-boas3/" TargetMode="External"/><Relationship Id="rId3" Type="http://schemas.openxmlformats.org/officeDocument/2006/relationships/hyperlink" Target="https://www.infomoney.com.br/cotacoes/melnick-melk3/" TargetMode="External"/><Relationship Id="rId149" Type="http://schemas.openxmlformats.org/officeDocument/2006/relationships/hyperlink" Target="https://www.infomoney.com.br/cotacoes/coteminas-ctnm4/" TargetMode="External"/><Relationship Id="rId4" Type="http://schemas.openxmlformats.org/officeDocument/2006/relationships/hyperlink" Target="https://www.infomoney.com.br/cotacoes/hidrovias-do-brasil-hbsa3/" TargetMode="External"/><Relationship Id="rId148" Type="http://schemas.openxmlformats.org/officeDocument/2006/relationships/hyperlink" Target="https://www.infomoney.com.br/cotacoes/coteminas-ctnm4f/" TargetMode="External"/><Relationship Id="rId269" Type="http://schemas.openxmlformats.org/officeDocument/2006/relationships/hyperlink" Target="https://www.infomoney.com.br/cotacoes/sao-carlos-scar3/" TargetMode="External"/><Relationship Id="rId9" Type="http://schemas.openxmlformats.org/officeDocument/2006/relationships/hyperlink" Target="https://www.infomoney.com.br/cotacoes/petz-petz3/" TargetMode="External"/><Relationship Id="rId143" Type="http://schemas.openxmlformats.org/officeDocument/2006/relationships/hyperlink" Target="https://www.infomoney.com.br/cotacoes/estrela-estr4/" TargetMode="External"/><Relationship Id="rId264" Type="http://schemas.openxmlformats.org/officeDocument/2006/relationships/hyperlink" Target="https://www.infomoney.com.br/cotacoes/bank-of-america-boac34f/" TargetMode="External"/><Relationship Id="rId385" Type="http://schemas.openxmlformats.org/officeDocument/2006/relationships/hyperlink" Target="https://www.infomoney.com.br/cotacoes/xylem-inc-x1yl34f/" TargetMode="External"/><Relationship Id="rId142" Type="http://schemas.openxmlformats.org/officeDocument/2006/relationships/hyperlink" Target="https://www.infomoney.com.br/cotacoes/estrela-estr3f/" TargetMode="External"/><Relationship Id="rId263" Type="http://schemas.openxmlformats.org/officeDocument/2006/relationships/hyperlink" Target="https://www.infomoney.com.br/cotacoes/citigroup-ctgp34/" TargetMode="External"/><Relationship Id="rId384" Type="http://schemas.openxmlformats.org/officeDocument/2006/relationships/hyperlink" Target="https://www.infomoney.com.br/cotacoes/dentsply-sir-xray34/" TargetMode="External"/><Relationship Id="rId141" Type="http://schemas.openxmlformats.org/officeDocument/2006/relationships/hyperlink" Target="https://www.infomoney.com.br/cotacoes/estrela-estr4f/" TargetMode="External"/><Relationship Id="rId262" Type="http://schemas.openxmlformats.org/officeDocument/2006/relationships/hyperlink" Target="https://www.infomoney.com.br/cotacoes/citigroup-ctgp34f/" TargetMode="External"/><Relationship Id="rId383" Type="http://schemas.openxmlformats.org/officeDocument/2006/relationships/hyperlink" Target="https://www.infomoney.com.br/cotacoes/dentsply-sir-xray34f/" TargetMode="External"/><Relationship Id="rId140" Type="http://schemas.openxmlformats.org/officeDocument/2006/relationships/hyperlink" Target="https://www.infomoney.com.br/cotacoes/grazziotin-cgra3/" TargetMode="External"/><Relationship Id="rId261" Type="http://schemas.openxmlformats.org/officeDocument/2006/relationships/hyperlink" Target="https://www.infomoney.com.br/cotacoes/goldman-sachs-gsgi34/" TargetMode="External"/><Relationship Id="rId382" Type="http://schemas.openxmlformats.org/officeDocument/2006/relationships/hyperlink" Target="https://www.infomoney.com.br/cotacoes/yum-brands-yumr34/" TargetMode="External"/><Relationship Id="rId5" Type="http://schemas.openxmlformats.org/officeDocument/2006/relationships/hyperlink" Target="https://www.infomoney.com.br/cotacoes/simpar-simh3f/" TargetMode="External"/><Relationship Id="rId147" Type="http://schemas.openxmlformats.org/officeDocument/2006/relationships/hyperlink" Target="https://www.infomoney.com.br/cotacoes/coteminas-ctnm3f/" TargetMode="External"/><Relationship Id="rId268" Type="http://schemas.openxmlformats.org/officeDocument/2006/relationships/hyperlink" Target="https://www.infomoney.com.br/cotacoes/sao-carlos-scar3f/" TargetMode="External"/><Relationship Id="rId389" Type="http://schemas.openxmlformats.org/officeDocument/2006/relationships/hyperlink" Target="https://www.infomoney.com.br/cotacoes/xcel-energy-x1el34f/" TargetMode="External"/><Relationship Id="rId6" Type="http://schemas.openxmlformats.org/officeDocument/2006/relationships/hyperlink" Target="https://www.infomoney.com.br/cotacoes/simpar-simh3/" TargetMode="External"/><Relationship Id="rId146" Type="http://schemas.openxmlformats.org/officeDocument/2006/relationships/hyperlink" Target="https://www.infomoney.com.br/cotacoes/direcional-dirr3/" TargetMode="External"/><Relationship Id="rId267" Type="http://schemas.openxmlformats.org/officeDocument/2006/relationships/hyperlink" Target="https://www.infomoney.com.br/cotacoes/3m-mmmc34/" TargetMode="External"/><Relationship Id="rId388" Type="http://schemas.openxmlformats.org/officeDocument/2006/relationships/hyperlink" Target="https://www.infomoney.com.br/cotacoes/xilinx-inc-x1ln34/" TargetMode="External"/><Relationship Id="rId7" Type="http://schemas.openxmlformats.org/officeDocument/2006/relationships/hyperlink" Target="https://www.infomoney.com.br/cotacoes/cury-cury3/" TargetMode="External"/><Relationship Id="rId145" Type="http://schemas.openxmlformats.org/officeDocument/2006/relationships/hyperlink" Target="https://www.infomoney.com.br/cotacoes/direcional-dirr3f/" TargetMode="External"/><Relationship Id="rId266" Type="http://schemas.openxmlformats.org/officeDocument/2006/relationships/hyperlink" Target="https://www.infomoney.com.br/cotacoes/3m-mmmc34f/" TargetMode="External"/><Relationship Id="rId387" Type="http://schemas.openxmlformats.org/officeDocument/2006/relationships/hyperlink" Target="https://www.infomoney.com.br/cotacoes/xilinx-inc-x1ln34f/" TargetMode="External"/><Relationship Id="rId8" Type="http://schemas.openxmlformats.org/officeDocument/2006/relationships/hyperlink" Target="https://www.infomoney.com.br/cotacoes/plano-plano-plpl3/" TargetMode="External"/><Relationship Id="rId144" Type="http://schemas.openxmlformats.org/officeDocument/2006/relationships/hyperlink" Target="https://www.infomoney.com.br/cotacoes/estrela-estr3/" TargetMode="External"/><Relationship Id="rId265" Type="http://schemas.openxmlformats.org/officeDocument/2006/relationships/hyperlink" Target="https://www.infomoney.com.br/cotacoes/bank-america-boac34/" TargetMode="External"/><Relationship Id="rId386" Type="http://schemas.openxmlformats.org/officeDocument/2006/relationships/hyperlink" Target="https://www.infomoney.com.br/cotacoes/xylem-inc-x1yl34/" TargetMode="External"/><Relationship Id="rId260" Type="http://schemas.openxmlformats.org/officeDocument/2006/relationships/hyperlink" Target="https://www.infomoney.com.br/cotacoes/goldman-sachs-gsgi34f/" TargetMode="External"/><Relationship Id="rId381" Type="http://schemas.openxmlformats.org/officeDocument/2006/relationships/hyperlink" Target="https://www.infomoney.com.br/cotacoes/yum-brands-yumr34f/" TargetMode="External"/><Relationship Id="rId380" Type="http://schemas.openxmlformats.org/officeDocument/2006/relationships/hyperlink" Target="https://www.infomoney.com.br/cotacoes/zimmer-biome-z1bh34/" TargetMode="External"/><Relationship Id="rId139" Type="http://schemas.openxmlformats.org/officeDocument/2006/relationships/hyperlink" Target="https://www.infomoney.com.br/cotacoes/grazziotin-cgra4/" TargetMode="External"/><Relationship Id="rId138" Type="http://schemas.openxmlformats.org/officeDocument/2006/relationships/hyperlink" Target="https://www.infomoney.com.br/cotacoes/grazziotin-cgra4f/" TargetMode="External"/><Relationship Id="rId259" Type="http://schemas.openxmlformats.org/officeDocument/2006/relationships/hyperlink" Target="https://www.infomoney.com.br/cotacoes/ge-geoo34/" TargetMode="External"/><Relationship Id="rId137" Type="http://schemas.openxmlformats.org/officeDocument/2006/relationships/hyperlink" Target="https://www.infomoney.com.br/cotacoes/grazziotin-cgra3f/" TargetMode="External"/><Relationship Id="rId258" Type="http://schemas.openxmlformats.org/officeDocument/2006/relationships/hyperlink" Target="https://www.infomoney.com.br/cotacoes/ge-geoo34f/" TargetMode="External"/><Relationship Id="rId379" Type="http://schemas.openxmlformats.org/officeDocument/2006/relationships/hyperlink" Target="https://www.infomoney.com.br/cotacoes/zimmer-biome-z1bh34f/" TargetMode="External"/><Relationship Id="rId132" Type="http://schemas.openxmlformats.org/officeDocument/2006/relationships/hyperlink" Target="https://www.infomoney.com.br/cotacoes/locamerica-unidas-lcam3f/" TargetMode="External"/><Relationship Id="rId253" Type="http://schemas.openxmlformats.org/officeDocument/2006/relationships/hyperlink" Target="https://www.infomoney.com.br/cotacoes/mastercard-mscd34/" TargetMode="External"/><Relationship Id="rId374" Type="http://schemas.openxmlformats.org/officeDocument/2006/relationships/hyperlink" Target="https://www.infomoney.com.br/cotacoes/arcelor-armt34/" TargetMode="External"/><Relationship Id="rId495" Type="http://schemas.openxmlformats.org/officeDocument/2006/relationships/hyperlink" Target="https://www.infomoney.com.br/cotacoes/petrobras-petr4/" TargetMode="External"/><Relationship Id="rId131" Type="http://schemas.openxmlformats.org/officeDocument/2006/relationships/hyperlink" Target="https://www.infomoney.com.br/cotacoes/grendene-grnd3/" TargetMode="External"/><Relationship Id="rId252" Type="http://schemas.openxmlformats.org/officeDocument/2006/relationships/hyperlink" Target="https://www.infomoney.com.br/cotacoes/mastercard-mscd34f/" TargetMode="External"/><Relationship Id="rId373" Type="http://schemas.openxmlformats.org/officeDocument/2006/relationships/hyperlink" Target="https://www.infomoney.com.br/cotacoes/bradespar-brap3/" TargetMode="External"/><Relationship Id="rId494" Type="http://schemas.openxmlformats.org/officeDocument/2006/relationships/hyperlink" Target="https://www.infomoney.com.br/cotacoes/petrobras-petr4f/" TargetMode="External"/><Relationship Id="rId130" Type="http://schemas.openxmlformats.org/officeDocument/2006/relationships/hyperlink" Target="https://www.infomoney.com.br/cotacoes/grendene-grnd3f/" TargetMode="External"/><Relationship Id="rId251" Type="http://schemas.openxmlformats.org/officeDocument/2006/relationships/hyperlink" Target="https://www.infomoney.com.br/cotacoes/morgan-stan-msbr34/" TargetMode="External"/><Relationship Id="rId372" Type="http://schemas.openxmlformats.org/officeDocument/2006/relationships/hyperlink" Target="https://www.infomoney.com.br/cotacoes/bradespar-brap3f/" TargetMode="External"/><Relationship Id="rId493" Type="http://schemas.openxmlformats.org/officeDocument/2006/relationships/hyperlink" Target="https://www.infomoney.com.br/cotacoes/ultrapar-ugppa3f/" TargetMode="External"/><Relationship Id="rId250" Type="http://schemas.openxmlformats.org/officeDocument/2006/relationships/hyperlink" Target="https://www.infomoney.com.br/cotacoes/morgan-stanley-msbr34f/" TargetMode="External"/><Relationship Id="rId371" Type="http://schemas.openxmlformats.org/officeDocument/2006/relationships/hyperlink" Target="https://www.infomoney.com.br/cotacoes/bradespar-brap4/" TargetMode="External"/><Relationship Id="rId492" Type="http://schemas.openxmlformats.org/officeDocument/2006/relationships/hyperlink" Target="https://www.infomoney.com.br/cotacoes/ultrapar-ugpa3/" TargetMode="External"/><Relationship Id="rId136" Type="http://schemas.openxmlformats.org/officeDocument/2006/relationships/hyperlink" Target="https://www.infomoney.com.br/cotacoes/restoque-llis3/" TargetMode="External"/><Relationship Id="rId257" Type="http://schemas.openxmlformats.org/officeDocument/2006/relationships/hyperlink" Target="https://www.infomoney.com.br/cotacoes/honeywell-honb34/" TargetMode="External"/><Relationship Id="rId378" Type="http://schemas.openxmlformats.org/officeDocument/2006/relationships/hyperlink" Target="https://www.infomoney.com.br/cotacoes/zionsbancorp-z1io34/" TargetMode="External"/><Relationship Id="rId499" Type="http://schemas.openxmlformats.org/officeDocument/2006/relationships/hyperlink" Target="https://www.infomoney.com.br/cotacoes/exxon-mobil-exxo34/" TargetMode="External"/><Relationship Id="rId135" Type="http://schemas.openxmlformats.org/officeDocument/2006/relationships/hyperlink" Target="https://www.infomoney.com.br/cotacoes/restoque-llis3f/" TargetMode="External"/><Relationship Id="rId256" Type="http://schemas.openxmlformats.org/officeDocument/2006/relationships/hyperlink" Target="https://www.infomoney.com.br/cotacoes/honeywell-honb34f/" TargetMode="External"/><Relationship Id="rId377" Type="http://schemas.openxmlformats.org/officeDocument/2006/relationships/hyperlink" Target="https://www.infomoney.com.br/cotacoes/zionsbancorp-z1io34f/" TargetMode="External"/><Relationship Id="rId498" Type="http://schemas.openxmlformats.org/officeDocument/2006/relationships/hyperlink" Target="https://www.infomoney.com.br/cotacoes/petrobras-distribuidora-brdt3/" TargetMode="External"/><Relationship Id="rId134" Type="http://schemas.openxmlformats.org/officeDocument/2006/relationships/hyperlink" Target="https://www.infomoney.com.br/cotacoes/cea-ceab3/" TargetMode="External"/><Relationship Id="rId255" Type="http://schemas.openxmlformats.org/officeDocument/2006/relationships/hyperlink" Target="https://www.infomoney.com.br/cotacoes/jpmorgan-jpmc34/" TargetMode="External"/><Relationship Id="rId376" Type="http://schemas.openxmlformats.org/officeDocument/2006/relationships/hyperlink" Target="https://www.infomoney.com.br/cotacoes/zoetis-inc-z1ts34/" TargetMode="External"/><Relationship Id="rId497" Type="http://schemas.openxmlformats.org/officeDocument/2006/relationships/hyperlink" Target="https://www.infomoney.com.br/cotacoes/petrobras-petr3/" TargetMode="External"/><Relationship Id="rId133" Type="http://schemas.openxmlformats.org/officeDocument/2006/relationships/hyperlink" Target="https://www.infomoney.com.br/cotacoes/locamerica-lcam3/" TargetMode="External"/><Relationship Id="rId254" Type="http://schemas.openxmlformats.org/officeDocument/2006/relationships/hyperlink" Target="https://www.infomoney.com.br/cotacoes/jpmorgan-jpmc34f/" TargetMode="External"/><Relationship Id="rId375" Type="http://schemas.openxmlformats.org/officeDocument/2006/relationships/hyperlink" Target="https://www.infomoney.com.br/cotacoes/zoetis-inc-z1ts34f/" TargetMode="External"/><Relationship Id="rId496" Type="http://schemas.openxmlformats.org/officeDocument/2006/relationships/hyperlink" Target="https://www.infomoney.com.br/cotacoes/petrobras-petr3f/" TargetMode="External"/><Relationship Id="rId172" Type="http://schemas.openxmlformats.org/officeDocument/2006/relationships/hyperlink" Target="https://www.infomoney.com.br/cotacoes/localiza-rent3f/" TargetMode="External"/><Relationship Id="rId293" Type="http://schemas.openxmlformats.org/officeDocument/2006/relationships/hyperlink" Target="https://www.infomoney.com.br/cotacoes/banco-inter-bidi11/" TargetMode="External"/><Relationship Id="rId171" Type="http://schemas.openxmlformats.org/officeDocument/2006/relationships/hyperlink" Target="https://www.infomoney.com.br/cotacoes/smiles-smls3/" TargetMode="External"/><Relationship Id="rId292" Type="http://schemas.openxmlformats.org/officeDocument/2006/relationships/hyperlink" Target="https://www.infomoney.com.br/cotacoes/banco-inter-bidi3/" TargetMode="External"/><Relationship Id="rId170" Type="http://schemas.openxmlformats.org/officeDocument/2006/relationships/hyperlink" Target="https://www.infomoney.com.br/cotacoes/smiles-smls3f/" TargetMode="External"/><Relationship Id="rId291" Type="http://schemas.openxmlformats.org/officeDocument/2006/relationships/hyperlink" Target="https://www.infomoney.com.br/cotacoes/banrisul-brsr3/" TargetMode="External"/><Relationship Id="rId290" Type="http://schemas.openxmlformats.org/officeDocument/2006/relationships/hyperlink" Target="https://www.infomoney.com.br/cotacoes/banrisul-brsr5/" TargetMode="External"/><Relationship Id="rId165" Type="http://schemas.openxmlformats.org/officeDocument/2006/relationships/hyperlink" Target="https://www.infomoney.com.br/cotacoes/eztec-eztc3f/" TargetMode="External"/><Relationship Id="rId286" Type="http://schemas.openxmlformats.org/officeDocument/2006/relationships/hyperlink" Target="https://www.infomoney.com.br/cotacoes/banrisul-brsr6f/" TargetMode="External"/><Relationship Id="rId164" Type="http://schemas.openxmlformats.org/officeDocument/2006/relationships/hyperlink" Target="https://www.infomoney.com.br/cotacoes/arezzo-arzz3f/" TargetMode="External"/><Relationship Id="rId285" Type="http://schemas.openxmlformats.org/officeDocument/2006/relationships/hyperlink" Target="https://www.infomoney.com.br/cotacoes/br-properties-brpr3/" TargetMode="External"/><Relationship Id="rId163" Type="http://schemas.openxmlformats.org/officeDocument/2006/relationships/hyperlink" Target="https://www.infomoney.com.br/cotacoes/pdg-realty-pdgr3/" TargetMode="External"/><Relationship Id="rId284" Type="http://schemas.openxmlformats.org/officeDocument/2006/relationships/hyperlink" Target="https://www.infomoney.com.br/cotacoes/br-properties-brpr3f/" TargetMode="External"/><Relationship Id="rId162" Type="http://schemas.openxmlformats.org/officeDocument/2006/relationships/hyperlink" Target="https://www.infomoney.com.br/cotacoes/pdg-realty-pdgr3f/" TargetMode="External"/><Relationship Id="rId283" Type="http://schemas.openxmlformats.org/officeDocument/2006/relationships/hyperlink" Target="https://www.infomoney.com.br/cotacoes/brasil-brokers-bbrk3/" TargetMode="External"/><Relationship Id="rId169" Type="http://schemas.openxmlformats.org/officeDocument/2006/relationships/hyperlink" Target="https://www.infomoney.com.br/cotacoes/alpargatas-alpa4f/" TargetMode="External"/><Relationship Id="rId168" Type="http://schemas.openxmlformats.org/officeDocument/2006/relationships/hyperlink" Target="https://www.infomoney.com.br/cotacoes/alpargatas-alpa3f/" TargetMode="External"/><Relationship Id="rId289" Type="http://schemas.openxmlformats.org/officeDocument/2006/relationships/hyperlink" Target="https://www.infomoney.com.br/cotacoes/banrisul-brsr6/" TargetMode="External"/><Relationship Id="rId167" Type="http://schemas.openxmlformats.org/officeDocument/2006/relationships/hyperlink" Target="https://www.infomoney.com.br/cotacoes/cia-hering-hgtx3f/" TargetMode="External"/><Relationship Id="rId288" Type="http://schemas.openxmlformats.org/officeDocument/2006/relationships/hyperlink" Target="https://www.infomoney.com.br/cotacoes/banrisul-brsr3f/" TargetMode="External"/><Relationship Id="rId166" Type="http://schemas.openxmlformats.org/officeDocument/2006/relationships/hyperlink" Target="https://www.infomoney.com.br/cotacoes/eztec-eztc3/" TargetMode="External"/><Relationship Id="rId287" Type="http://schemas.openxmlformats.org/officeDocument/2006/relationships/hyperlink" Target="https://www.infomoney.com.br/cotacoes/banrisul-brsr5f/" TargetMode="External"/><Relationship Id="rId161" Type="http://schemas.openxmlformats.org/officeDocument/2006/relationships/hyperlink" Target="https://www.infomoney.com.br/cotacoes/helbor-hbor3/" TargetMode="External"/><Relationship Id="rId282" Type="http://schemas.openxmlformats.org/officeDocument/2006/relationships/hyperlink" Target="https://www.infomoney.com.br/cotacoes/brasil-brokers-bbrk3f/" TargetMode="External"/><Relationship Id="rId160" Type="http://schemas.openxmlformats.org/officeDocument/2006/relationships/hyperlink" Target="https://www.infomoney.com.br/cotacoes/helbor-hbor3f/" TargetMode="External"/><Relationship Id="rId281" Type="http://schemas.openxmlformats.org/officeDocument/2006/relationships/hyperlink" Target="https://www.infomoney.com.br/cotacoes/csu-cardsyst-card3/" TargetMode="External"/><Relationship Id="rId280" Type="http://schemas.openxmlformats.org/officeDocument/2006/relationships/hyperlink" Target="https://www.infomoney.com.br/cotacoes/csu-cardsyst-card3f/" TargetMode="External"/><Relationship Id="rId159" Type="http://schemas.openxmlformats.org/officeDocument/2006/relationships/hyperlink" Target="https://www.infomoney.com.br/cotacoes/jhsf-jhsf3/" TargetMode="External"/><Relationship Id="rId154" Type="http://schemas.openxmlformats.org/officeDocument/2006/relationships/hyperlink" Target="https://www.infomoney.com.br/cotacoes/marisa-amar3f/" TargetMode="External"/><Relationship Id="rId275" Type="http://schemas.openxmlformats.org/officeDocument/2006/relationships/hyperlink" Target="https://www.infomoney.com.br/cotacoes/gradiente-igbr3/" TargetMode="External"/><Relationship Id="rId396" Type="http://schemas.openxmlformats.org/officeDocument/2006/relationships/hyperlink" Target="https://www.infomoney.com.br/cotacoes/waters-corp-watc34f/" TargetMode="External"/><Relationship Id="rId153" Type="http://schemas.openxmlformats.org/officeDocument/2006/relationships/hyperlink" Target="https://www.infomoney.com.br/cotacoes/even-even3/" TargetMode="External"/><Relationship Id="rId274" Type="http://schemas.openxmlformats.org/officeDocument/2006/relationships/hyperlink" Target="https://www.infomoney.com.br/cotacoes/gradiente-igbr3f/" TargetMode="External"/><Relationship Id="rId395" Type="http://schemas.openxmlformats.org/officeDocument/2006/relationships/hyperlink" Target="https://www.infomoney.com.br/cotacoes/waters-corp-watc34/" TargetMode="External"/><Relationship Id="rId152" Type="http://schemas.openxmlformats.org/officeDocument/2006/relationships/hyperlink" Target="https://www.infomoney.com.br/cotacoes/even-even3f/" TargetMode="External"/><Relationship Id="rId273" Type="http://schemas.openxmlformats.org/officeDocument/2006/relationships/hyperlink" Target="https://www.infomoney.com.br/cotacoes/bmg-bmgb4/" TargetMode="External"/><Relationship Id="rId394" Type="http://schemas.openxmlformats.org/officeDocument/2006/relationships/hyperlink" Target="https://www.infomoney.com.br/cotacoes/walgreens-wgba34/" TargetMode="External"/><Relationship Id="rId151" Type="http://schemas.openxmlformats.org/officeDocument/2006/relationships/hyperlink" Target="https://www.infomoney.com.br/cotacoes/anima-educacao-anim3f/" TargetMode="External"/><Relationship Id="rId272" Type="http://schemas.openxmlformats.org/officeDocument/2006/relationships/hyperlink" Target="https://www.infomoney.com.br/cotacoes/bmg-bmgb11/" TargetMode="External"/><Relationship Id="rId393" Type="http://schemas.openxmlformats.org/officeDocument/2006/relationships/hyperlink" Target="https://www.infomoney.com.br/cotacoes/walgreens-wgba34f/" TargetMode="External"/><Relationship Id="rId158" Type="http://schemas.openxmlformats.org/officeDocument/2006/relationships/hyperlink" Target="https://www.infomoney.com.br/cotacoes/jhsf-jhsf3f/" TargetMode="External"/><Relationship Id="rId279" Type="http://schemas.openxmlformats.org/officeDocument/2006/relationships/hyperlink" Target="https://www.infomoney.com.br/cotacoes/porto-seguro-pssa3/" TargetMode="External"/><Relationship Id="rId157" Type="http://schemas.openxmlformats.org/officeDocument/2006/relationships/hyperlink" Target="https://www.infomoney.com.br/cotacoes/movida-movi3/" TargetMode="External"/><Relationship Id="rId278" Type="http://schemas.openxmlformats.org/officeDocument/2006/relationships/hyperlink" Target="https://www.infomoney.com.br/cotacoes/porto-seguro-pssa3f/" TargetMode="External"/><Relationship Id="rId399" Type="http://schemas.openxmlformats.org/officeDocument/2006/relationships/hyperlink" Target="https://www.infomoney.com.br/cotacoes/wynn-resorts-w1yn34f/" TargetMode="External"/><Relationship Id="rId156" Type="http://schemas.openxmlformats.org/officeDocument/2006/relationships/hyperlink" Target="https://www.infomoney.com.br/cotacoes/movida-movi3f/" TargetMode="External"/><Relationship Id="rId277" Type="http://schemas.openxmlformats.org/officeDocument/2006/relationships/hyperlink" Target="https://www.infomoney.com.br/cotacoes/general-shopping-gshp3/" TargetMode="External"/><Relationship Id="rId398" Type="http://schemas.openxmlformats.org/officeDocument/2006/relationships/hyperlink" Target="https://www.infomoney.com.br/cotacoes/western-bcor-wabc34/" TargetMode="External"/><Relationship Id="rId155" Type="http://schemas.openxmlformats.org/officeDocument/2006/relationships/hyperlink" Target="https://www.infomoney.com.br/cotacoes/marisa-amar3/" TargetMode="External"/><Relationship Id="rId276" Type="http://schemas.openxmlformats.org/officeDocument/2006/relationships/hyperlink" Target="https://www.infomoney.com.br/cotacoes/general-shopping-gshpf/" TargetMode="External"/><Relationship Id="rId397" Type="http://schemas.openxmlformats.org/officeDocument/2006/relationships/hyperlink" Target="https://www.infomoney.com.br/cotacoes/western-bcor-wabc34f/" TargetMode="External"/><Relationship Id="rId40" Type="http://schemas.openxmlformats.org/officeDocument/2006/relationships/hyperlink" Target="https://www.infomoney.com.br/cotacoes/randon-part-rapt3/" TargetMode="External"/><Relationship Id="rId42" Type="http://schemas.openxmlformats.org/officeDocument/2006/relationships/hyperlink" Target="https://www.infomoney.com.br/cotacoes/mmx-mineracao-mmxm11f/" TargetMode="External"/><Relationship Id="rId41" Type="http://schemas.openxmlformats.org/officeDocument/2006/relationships/hyperlink" Target="https://www.infomoney.com.br/cotacoes/engie-brasil-egie3f/" TargetMode="External"/><Relationship Id="rId44" Type="http://schemas.openxmlformats.org/officeDocument/2006/relationships/hyperlink" Target="https://www.infomoney.com.br/cotacoes/lupatech-lupa3f/" TargetMode="External"/><Relationship Id="rId43" Type="http://schemas.openxmlformats.org/officeDocument/2006/relationships/hyperlink" Target="https://www.infomoney.com.br/cotacoes/mmx-mineracao-mmxm3f/" TargetMode="External"/><Relationship Id="rId46" Type="http://schemas.openxmlformats.org/officeDocument/2006/relationships/hyperlink" Target="https://www.infomoney.com.br/cotacoes/inepar-inep4f/" TargetMode="External"/><Relationship Id="rId45" Type="http://schemas.openxmlformats.org/officeDocument/2006/relationships/hyperlink" Target="https://www.infomoney.com.br/cotacoes/lupatech-lupa3/" TargetMode="External"/><Relationship Id="rId509" Type="http://schemas.openxmlformats.org/officeDocument/2006/relationships/hyperlink" Target="https://www.infomoney.com.br/cotacoes/pfizer-pfiz34/" TargetMode="External"/><Relationship Id="rId508" Type="http://schemas.openxmlformats.org/officeDocument/2006/relationships/hyperlink" Target="https://www.infomoney.com.br/cotacoes/pfizer-pfiz34f/" TargetMode="External"/><Relationship Id="rId629" Type="http://schemas.openxmlformats.org/officeDocument/2006/relationships/hyperlink" Target="https://www.infomoney.com.br/cotacoes/cpfl-renovav-cpre3/" TargetMode="External"/><Relationship Id="rId503" Type="http://schemas.openxmlformats.org/officeDocument/2006/relationships/hyperlink" Target="https://www.infomoney.com.br/cotacoes/biomm-biom3/" TargetMode="External"/><Relationship Id="rId624" Type="http://schemas.openxmlformats.org/officeDocument/2006/relationships/hyperlink" Target="https://www.infomoney.com.br/cotacoes/sanepar-sapr3f/" TargetMode="External"/><Relationship Id="rId502" Type="http://schemas.openxmlformats.org/officeDocument/2006/relationships/hyperlink" Target="https://www.infomoney.com.br/cotacoes/biomm-biom3f/" TargetMode="External"/><Relationship Id="rId623" Type="http://schemas.openxmlformats.org/officeDocument/2006/relationships/hyperlink" Target="https://www.infomoney.com.br/cotacoes/sanepar-sapr4f/" TargetMode="External"/><Relationship Id="rId501" Type="http://schemas.openxmlformats.org/officeDocument/2006/relationships/hyperlink" Target="https://www.infomoney.com.br/cotacoes/instituto-hermes-pardini-pard3/" TargetMode="External"/><Relationship Id="rId622" Type="http://schemas.openxmlformats.org/officeDocument/2006/relationships/hyperlink" Target="https://www.infomoney.com.br/cotacoes/sanepar-sapr11f/" TargetMode="External"/><Relationship Id="rId500" Type="http://schemas.openxmlformats.org/officeDocument/2006/relationships/hyperlink" Target="https://www.infomoney.com.br/cotacoes/enauta-part-enat3/" TargetMode="External"/><Relationship Id="rId621" Type="http://schemas.openxmlformats.org/officeDocument/2006/relationships/hyperlink" Target="https://www.infomoney.com.br/cotacoes/alupar-investimento-alup11/" TargetMode="External"/><Relationship Id="rId507" Type="http://schemas.openxmlformats.org/officeDocument/2006/relationships/hyperlink" Target="https://www.infomoney.com.br/cotacoes/baumer-balm3/" TargetMode="External"/><Relationship Id="rId628" Type="http://schemas.openxmlformats.org/officeDocument/2006/relationships/hyperlink" Target="https://www.infomoney.com.br/cotacoes/cpfl-renovaveis-cpre3f/" TargetMode="External"/><Relationship Id="rId506" Type="http://schemas.openxmlformats.org/officeDocument/2006/relationships/hyperlink" Target="https://www.infomoney.com.br/cotacoes/baumer-balm4/" TargetMode="External"/><Relationship Id="rId627" Type="http://schemas.openxmlformats.org/officeDocument/2006/relationships/hyperlink" Target="https://www.infomoney.com.br/cotacoes/sanepar-sapr11/" TargetMode="External"/><Relationship Id="rId505" Type="http://schemas.openxmlformats.org/officeDocument/2006/relationships/hyperlink" Target="https://www.infomoney.com.br/cotacoes/baumer-balm4f/" TargetMode="External"/><Relationship Id="rId626" Type="http://schemas.openxmlformats.org/officeDocument/2006/relationships/hyperlink" Target="https://www.infomoney.com.br/cotacoes/sanepar-sapr3/" TargetMode="External"/><Relationship Id="rId504" Type="http://schemas.openxmlformats.org/officeDocument/2006/relationships/hyperlink" Target="https://www.infomoney.com.br/cotacoes/baumer-balm3f/" TargetMode="External"/><Relationship Id="rId625" Type="http://schemas.openxmlformats.org/officeDocument/2006/relationships/hyperlink" Target="https://www.infomoney.com.br/cotacoes/sanepar-sapr4/" TargetMode="External"/><Relationship Id="rId48" Type="http://schemas.openxmlformats.org/officeDocument/2006/relationships/hyperlink" Target="https://www.infomoney.com.br/cotacoes/inepar-inep4/" TargetMode="External"/><Relationship Id="rId47" Type="http://schemas.openxmlformats.org/officeDocument/2006/relationships/hyperlink" Target="https://www.infomoney.com.br/cotacoes/inepar-inep3f/" TargetMode="External"/><Relationship Id="rId49" Type="http://schemas.openxmlformats.org/officeDocument/2006/relationships/hyperlink" Target="https://www.infomoney.com.br/cotacoes/inepar-inep3/" TargetMode="External"/><Relationship Id="rId620" Type="http://schemas.openxmlformats.org/officeDocument/2006/relationships/hyperlink" Target="https://www.infomoney.com.br/cotacoes/alupar-investimento-s-a-alup3/" TargetMode="External"/><Relationship Id="rId31" Type="http://schemas.openxmlformats.org/officeDocument/2006/relationships/hyperlink" Target="https://www.infomoney.com.br/cotacoes/bristol-myers-squibb-bmyb34f/" TargetMode="External"/><Relationship Id="rId30" Type="http://schemas.openxmlformats.org/officeDocument/2006/relationships/hyperlink" Target="https://www.infomoney.com.br/cotacoes/caterpillar-catp34f/" TargetMode="External"/><Relationship Id="rId33" Type="http://schemas.openxmlformats.org/officeDocument/2006/relationships/hyperlink" Target="https://www.infomoney.com.br/cotacoes/arcelor-mittal-armt34f/" TargetMode="External"/><Relationship Id="rId32" Type="http://schemas.openxmlformats.org/officeDocument/2006/relationships/hyperlink" Target="https://www.infomoney.com.br/cotacoes/boeing-boei34-2/" TargetMode="External"/><Relationship Id="rId35" Type="http://schemas.openxmlformats.org/officeDocument/2006/relationships/hyperlink" Target="https://www.infomoney.com.br/cotacoes/abbott-laboratories-abtt34f/" TargetMode="External"/><Relationship Id="rId34" Type="http://schemas.openxmlformats.org/officeDocument/2006/relationships/hyperlink" Target="https://www.infomoney.com.br/cotacoes/american-exp-axpb34f/" TargetMode="External"/><Relationship Id="rId619" Type="http://schemas.openxmlformats.org/officeDocument/2006/relationships/hyperlink" Target="https://www.infomoney.com.br/cotacoes/alupar-investimento-s-a-alup4/" TargetMode="External"/><Relationship Id="rId618" Type="http://schemas.openxmlformats.org/officeDocument/2006/relationships/hyperlink" Target="https://www.infomoney.com.br/cotacoes/alupar-investimento-s-a-alup11f/" TargetMode="External"/><Relationship Id="rId613" Type="http://schemas.openxmlformats.org/officeDocument/2006/relationships/hyperlink" Target="https://www.infomoney.com.br/cotacoes/celesc-clsc3f/" TargetMode="External"/><Relationship Id="rId612" Type="http://schemas.openxmlformats.org/officeDocument/2006/relationships/hyperlink" Target="https://www.infomoney.com.br/cotacoes/celesc-clsc4f/" TargetMode="External"/><Relationship Id="rId611" Type="http://schemas.openxmlformats.org/officeDocument/2006/relationships/hyperlink" Target="https://www.infomoney.com.br/cotacoes/coelce-coce3/" TargetMode="External"/><Relationship Id="rId610" Type="http://schemas.openxmlformats.org/officeDocument/2006/relationships/hyperlink" Target="https://www.infomoney.com.br/cotacoes/coelce-coce5/" TargetMode="External"/><Relationship Id="rId617" Type="http://schemas.openxmlformats.org/officeDocument/2006/relationships/hyperlink" Target="https://www.infomoney.com.br/cotacoes/alupar-investimento-s-a-alup3f/" TargetMode="External"/><Relationship Id="rId616" Type="http://schemas.openxmlformats.org/officeDocument/2006/relationships/hyperlink" Target="https://www.infomoney.com.br/cotacoes/alupar-investimento-s-a-alup4f/" TargetMode="External"/><Relationship Id="rId615" Type="http://schemas.openxmlformats.org/officeDocument/2006/relationships/hyperlink" Target="https://www.infomoney.com.br/cotacoes/celesc-clsc3/" TargetMode="External"/><Relationship Id="rId614" Type="http://schemas.openxmlformats.org/officeDocument/2006/relationships/hyperlink" Target="https://www.infomoney.com.br/cotacoes/celesc-clsc4/" TargetMode="External"/><Relationship Id="rId37" Type="http://schemas.openxmlformats.org/officeDocument/2006/relationships/hyperlink" Target="https://www.infomoney.com.br/cotacoes/randon-part-rapt3f/" TargetMode="External"/><Relationship Id="rId36" Type="http://schemas.openxmlformats.org/officeDocument/2006/relationships/hyperlink" Target="https://www.infomoney.com.br/cotacoes/santos-brasil-participacoes-stbp3f/" TargetMode="External"/><Relationship Id="rId39" Type="http://schemas.openxmlformats.org/officeDocument/2006/relationships/hyperlink" Target="https://www.infomoney.com.br/cotacoes/randon-part-rapt4/" TargetMode="External"/><Relationship Id="rId38" Type="http://schemas.openxmlformats.org/officeDocument/2006/relationships/hyperlink" Target="https://www.infomoney.com.br/cotacoes/randon-part-rapt4f/" TargetMode="External"/><Relationship Id="rId20" Type="http://schemas.openxmlformats.org/officeDocument/2006/relationships/hyperlink" Target="https://www.infomoney.com.br/cotacoes/bardella-bdll4f/" TargetMode="External"/><Relationship Id="rId22" Type="http://schemas.openxmlformats.org/officeDocument/2006/relationships/hyperlink" Target="https://www.infomoney.com.br/cotacoes/ups-upss34f/" TargetMode="External"/><Relationship Id="rId21" Type="http://schemas.openxmlformats.org/officeDocument/2006/relationships/hyperlink" Target="https://www.infomoney.com.br/cotacoes/bardella-bdll3f/" TargetMode="External"/><Relationship Id="rId24" Type="http://schemas.openxmlformats.org/officeDocument/2006/relationships/hyperlink" Target="https://www.infomoney.com.br/cotacoes/lockheed-martin-lmtb34f/" TargetMode="External"/><Relationship Id="rId23" Type="http://schemas.openxmlformats.org/officeDocument/2006/relationships/hyperlink" Target="https://www.infomoney.com.br/cotacoes/ups-upss34/" TargetMode="External"/><Relationship Id="rId409" Type="http://schemas.openxmlformats.org/officeDocument/2006/relationships/hyperlink" Target="https://www.infomoney.com.br/cotacoes/willis-tower-w1lt34f/" TargetMode="External"/><Relationship Id="rId404" Type="http://schemas.openxmlformats.org/officeDocument/2006/relationships/hyperlink" Target="https://www.infomoney.com.br/cotacoes/westrock-co-w1rk34/" TargetMode="External"/><Relationship Id="rId525" Type="http://schemas.openxmlformats.org/officeDocument/2006/relationships/hyperlink" Target="https://www.infomoney.com.br/cotacoes/qualicorp-qual3/" TargetMode="External"/><Relationship Id="rId646" Type="http://schemas.openxmlformats.org/officeDocument/2006/relationships/hyperlink" Target="https://www.infomoney.com.br/cotacoes/aes-tiete-tiet3/" TargetMode="External"/><Relationship Id="rId403" Type="http://schemas.openxmlformats.org/officeDocument/2006/relationships/hyperlink" Target="https://www.infomoney.com.br/cotacoes/westrock-co-w1rk34f/" TargetMode="External"/><Relationship Id="rId524" Type="http://schemas.openxmlformats.org/officeDocument/2006/relationships/hyperlink" Target="https://www.infomoney.com.br/cotacoes/qualicorp-qual3f/" TargetMode="External"/><Relationship Id="rId645" Type="http://schemas.openxmlformats.org/officeDocument/2006/relationships/hyperlink" Target="https://www.infomoney.com.br/cotacoes/aes-tiete-tiet4/" TargetMode="External"/><Relationship Id="rId402" Type="http://schemas.openxmlformats.org/officeDocument/2006/relationships/hyperlink" Target="https://www.infomoney.com.br/cotacoes/weyerhaeuser-w1yc34/" TargetMode="External"/><Relationship Id="rId523" Type="http://schemas.openxmlformats.org/officeDocument/2006/relationships/hyperlink" Target="https://www.infomoney.com.br/cotacoes/rd-radl3/" TargetMode="External"/><Relationship Id="rId644" Type="http://schemas.openxmlformats.org/officeDocument/2006/relationships/hyperlink" Target="https://www.infomoney.com.br/cotacoes/aes-tiete-tiet4f/" TargetMode="External"/><Relationship Id="rId401" Type="http://schemas.openxmlformats.org/officeDocument/2006/relationships/hyperlink" Target="https://www.infomoney.com.br/cotacoes/weyerhaeuser-w1yc34f/" TargetMode="External"/><Relationship Id="rId522" Type="http://schemas.openxmlformats.org/officeDocument/2006/relationships/hyperlink" Target="https://www.infomoney.com.br/cotacoes/raia-drogasil-s-a-radl3f/" TargetMode="External"/><Relationship Id="rId643" Type="http://schemas.openxmlformats.org/officeDocument/2006/relationships/hyperlink" Target="https://www.infomoney.com.br/cotacoes/aes-tiete-tiet3f/" TargetMode="External"/><Relationship Id="rId408" Type="http://schemas.openxmlformats.org/officeDocument/2006/relationships/hyperlink" Target="https://www.infomoney.com.br/cotacoes/williams-cos-w1mb34/" TargetMode="External"/><Relationship Id="rId529" Type="http://schemas.openxmlformats.org/officeDocument/2006/relationships/hyperlink" Target="https://www.infomoney.com.br/cotacoes/fleury-flry3/" TargetMode="External"/><Relationship Id="rId407" Type="http://schemas.openxmlformats.org/officeDocument/2006/relationships/hyperlink" Target="https://www.infomoney.com.br/cotacoes/williams-cos-w1mb34f/" TargetMode="External"/><Relationship Id="rId528" Type="http://schemas.openxmlformats.org/officeDocument/2006/relationships/hyperlink" Target="https://www.infomoney.com.br/cotacoes/hypera-pharma-hype3/" TargetMode="External"/><Relationship Id="rId649" Type="http://schemas.openxmlformats.org/officeDocument/2006/relationships/hyperlink" Target="https://www.infomoney.com.br/cotacoes/trans-paulista-trpl4f/" TargetMode="External"/><Relationship Id="rId406" Type="http://schemas.openxmlformats.org/officeDocument/2006/relationships/hyperlink" Target="https://www.infomoney.com.br/cotacoes/waste-manag-w1mc34/" TargetMode="External"/><Relationship Id="rId527" Type="http://schemas.openxmlformats.org/officeDocument/2006/relationships/hyperlink" Target="https://www.infomoney.com.br/cotacoes/johnson-jnjb34/" TargetMode="External"/><Relationship Id="rId648" Type="http://schemas.openxmlformats.org/officeDocument/2006/relationships/hyperlink" Target="https://www.infomoney.com.br/cotacoes/neoenergia-neoe3/" TargetMode="External"/><Relationship Id="rId405" Type="http://schemas.openxmlformats.org/officeDocument/2006/relationships/hyperlink" Target="https://www.infomoney.com.br/cotacoes/waste-manag-w1mc34f/" TargetMode="External"/><Relationship Id="rId526" Type="http://schemas.openxmlformats.org/officeDocument/2006/relationships/hyperlink" Target="https://www.infomoney.com.br/cotacoes/ourofino-s-a-ofsa3/" TargetMode="External"/><Relationship Id="rId647" Type="http://schemas.openxmlformats.org/officeDocument/2006/relationships/hyperlink" Target="https://www.infomoney.com.br/cotacoes/aes-tiete-tiet11/" TargetMode="External"/><Relationship Id="rId26" Type="http://schemas.openxmlformats.org/officeDocument/2006/relationships/hyperlink" Target="https://www.infomoney.com.br/cotacoes/johnson-jnjb34f/" TargetMode="External"/><Relationship Id="rId25" Type="http://schemas.openxmlformats.org/officeDocument/2006/relationships/hyperlink" Target="https://www.infomoney.com.br/cotacoes/lockheed-lmtb34/" TargetMode="External"/><Relationship Id="rId28" Type="http://schemas.openxmlformats.org/officeDocument/2006/relationships/hyperlink" Target="https://www.infomoney.com.br/cotacoes/fedex-corp-fdxb34/" TargetMode="External"/><Relationship Id="rId27" Type="http://schemas.openxmlformats.org/officeDocument/2006/relationships/hyperlink" Target="https://www.infomoney.com.br/cotacoes/fedex-corporation-fdxb34f/" TargetMode="External"/><Relationship Id="rId400" Type="http://schemas.openxmlformats.org/officeDocument/2006/relationships/hyperlink" Target="https://www.infomoney.com.br/cotacoes/wynn-resorts-w1yn34/" TargetMode="External"/><Relationship Id="rId521" Type="http://schemas.openxmlformats.org/officeDocument/2006/relationships/hyperlink" Target="https://www.infomoney.com.br/cotacoes/odontoprev-odpv3/" TargetMode="External"/><Relationship Id="rId642" Type="http://schemas.openxmlformats.org/officeDocument/2006/relationships/hyperlink" Target="https://www.infomoney.com.br/cotacoes/aes-tiete-tiet11f/" TargetMode="External"/><Relationship Id="rId29" Type="http://schemas.openxmlformats.org/officeDocument/2006/relationships/hyperlink" Target="https://www.infomoney.com.br/cotacoes/exxon-mobil-exxo34f/" TargetMode="External"/><Relationship Id="rId520" Type="http://schemas.openxmlformats.org/officeDocument/2006/relationships/hyperlink" Target="https://www.infomoney.com.br/cotacoes/odontoprev-odpv3f/" TargetMode="External"/><Relationship Id="rId641" Type="http://schemas.openxmlformats.org/officeDocument/2006/relationships/hyperlink" Target="https://www.infomoney.com.br/cotacoes/comgas-cgas3/" TargetMode="External"/><Relationship Id="rId640" Type="http://schemas.openxmlformats.org/officeDocument/2006/relationships/hyperlink" Target="https://www.infomoney.com.br/cotacoes/comgas-cgas5/" TargetMode="External"/><Relationship Id="rId11" Type="http://schemas.openxmlformats.org/officeDocument/2006/relationships/hyperlink" Target="https://www.infomoney.com.br/cotacoes/lavvi-lavv3/" TargetMode="External"/><Relationship Id="rId10" Type="http://schemas.openxmlformats.org/officeDocument/2006/relationships/hyperlink" Target="https://www.infomoney.com.br/cotacoes/pague-menos-pgmn3/" TargetMode="External"/><Relationship Id="rId13" Type="http://schemas.openxmlformats.org/officeDocument/2006/relationships/hyperlink" Target="https://www.infomoney.com.br/cotacoes/d1000-dmvf3/" TargetMode="External"/><Relationship Id="rId12" Type="http://schemas.openxmlformats.org/officeDocument/2006/relationships/hyperlink" Target="https://www.infomoney.com.br/cotacoes/quero-quero-ljqq3/" TargetMode="External"/><Relationship Id="rId519" Type="http://schemas.openxmlformats.org/officeDocument/2006/relationships/hyperlink" Target="https://www.infomoney.com.br/cotacoes/alliar-aalr3/" TargetMode="External"/><Relationship Id="rId514" Type="http://schemas.openxmlformats.org/officeDocument/2006/relationships/hyperlink" Target="https://www.infomoney.com.br/cotacoes/dimed-pnvl4f/" TargetMode="External"/><Relationship Id="rId635" Type="http://schemas.openxmlformats.org/officeDocument/2006/relationships/hyperlink" Target="https://www.infomoney.com.br/cotacoes/copel-cple3/" TargetMode="External"/><Relationship Id="rId513" Type="http://schemas.openxmlformats.org/officeDocument/2006/relationships/hyperlink" Target="https://www.infomoney.com.br/cotacoes/biotoscana-gbio33/" TargetMode="External"/><Relationship Id="rId634" Type="http://schemas.openxmlformats.org/officeDocument/2006/relationships/hyperlink" Target="https://www.infomoney.com.br/cotacoes/copel-cple3f/" TargetMode="External"/><Relationship Id="rId512" Type="http://schemas.openxmlformats.org/officeDocument/2006/relationships/hyperlink" Target="https://www.infomoney.com.br/cotacoes/biotoscana-gbio33f/" TargetMode="External"/><Relationship Id="rId633" Type="http://schemas.openxmlformats.org/officeDocument/2006/relationships/hyperlink" Target="https://www.infomoney.com.br/cotacoes/copel-cple5/" TargetMode="External"/><Relationship Id="rId511" Type="http://schemas.openxmlformats.org/officeDocument/2006/relationships/hyperlink" Target="https://www.infomoney.com.br/cotacoes/merck-mrck34/" TargetMode="External"/><Relationship Id="rId632" Type="http://schemas.openxmlformats.org/officeDocument/2006/relationships/hyperlink" Target="https://www.infomoney.com.br/cotacoes/copel-cple6/" TargetMode="External"/><Relationship Id="rId518" Type="http://schemas.openxmlformats.org/officeDocument/2006/relationships/hyperlink" Target="https://www.infomoney.com.br/cotacoes/alliar-aalr3f/" TargetMode="External"/><Relationship Id="rId639" Type="http://schemas.openxmlformats.org/officeDocument/2006/relationships/hyperlink" Target="https://www.infomoney.com.br/cotacoes/comgas-cgas5f/" TargetMode="External"/><Relationship Id="rId517" Type="http://schemas.openxmlformats.org/officeDocument/2006/relationships/hyperlink" Target="https://www.infomoney.com.br/cotacoes/dimed-pnvl3/" TargetMode="External"/><Relationship Id="rId638" Type="http://schemas.openxmlformats.org/officeDocument/2006/relationships/hyperlink" Target="https://www.infomoney.com.br/cotacoes/comgas-cgas3f/" TargetMode="External"/><Relationship Id="rId516" Type="http://schemas.openxmlformats.org/officeDocument/2006/relationships/hyperlink" Target="https://www.infomoney.com.br/cotacoes/dimed-pnvl4/" TargetMode="External"/><Relationship Id="rId637" Type="http://schemas.openxmlformats.org/officeDocument/2006/relationships/hyperlink" Target="https://www.infomoney.com.br/cotacoes/cpfl-energia-cpfe3/" TargetMode="External"/><Relationship Id="rId515" Type="http://schemas.openxmlformats.org/officeDocument/2006/relationships/hyperlink" Target="https://www.infomoney.com.br/cotacoes/dimed-pnvl3f/" TargetMode="External"/><Relationship Id="rId636" Type="http://schemas.openxmlformats.org/officeDocument/2006/relationships/hyperlink" Target="https://www.infomoney.com.br/cotacoes/cpfl-energia-cpfe3f/" TargetMode="External"/><Relationship Id="rId15" Type="http://schemas.openxmlformats.org/officeDocument/2006/relationships/hyperlink" Target="https://www.infomoney.com.br/cotacoes/riva-9-riva3/" TargetMode="External"/><Relationship Id="rId14" Type="http://schemas.openxmlformats.org/officeDocument/2006/relationships/hyperlink" Target="https://www.infomoney.com.br/cotacoes/grupo-soma-soma3/" TargetMode="External"/><Relationship Id="rId17" Type="http://schemas.openxmlformats.org/officeDocument/2006/relationships/hyperlink" Target="https://www.infomoney.com.br/cotacoes/allpark-alpk3/" TargetMode="External"/><Relationship Id="rId16" Type="http://schemas.openxmlformats.org/officeDocument/2006/relationships/hyperlink" Target="https://www.infomoney.com.br/cotacoes/ambipar-ambp3/" TargetMode="External"/><Relationship Id="rId19" Type="http://schemas.openxmlformats.org/officeDocument/2006/relationships/hyperlink" Target="https://www.infomoney.com.br/cotacoes/moura-dubeux-mdne3/" TargetMode="External"/><Relationship Id="rId510" Type="http://schemas.openxmlformats.org/officeDocument/2006/relationships/hyperlink" Target="https://www.infomoney.com.br/cotacoes/merck-mrck34f/" TargetMode="External"/><Relationship Id="rId631" Type="http://schemas.openxmlformats.org/officeDocument/2006/relationships/hyperlink" Target="https://www.infomoney.com.br/cotacoes/copel-cple6f/" TargetMode="External"/><Relationship Id="rId18" Type="http://schemas.openxmlformats.org/officeDocument/2006/relationships/hyperlink" Target="https://www.infomoney.com.br/cotacoes/mitre-realty-mtre3/" TargetMode="External"/><Relationship Id="rId630" Type="http://schemas.openxmlformats.org/officeDocument/2006/relationships/hyperlink" Target="https://www.infomoney.com.br/cotacoes/copel-cple5f/" TargetMode="External"/><Relationship Id="rId84" Type="http://schemas.openxmlformats.org/officeDocument/2006/relationships/hyperlink" Target="https://www.infomoney.com.br/cotacoes/electro-aco-altona-s-a-ealt3f/" TargetMode="External"/><Relationship Id="rId83" Type="http://schemas.openxmlformats.org/officeDocument/2006/relationships/hyperlink" Target="https://www.infomoney.com.br/cotacoes/cosan-log-rlog3/" TargetMode="External"/><Relationship Id="rId86" Type="http://schemas.openxmlformats.org/officeDocument/2006/relationships/hyperlink" Target="https://www.infomoney.com.br/cotacoes/eneva-enev3f/" TargetMode="External"/><Relationship Id="rId85" Type="http://schemas.openxmlformats.org/officeDocument/2006/relationships/hyperlink" Target="https://www.infomoney.com.br/cotacoes/electro-aco-altona-ealt4f/" TargetMode="External"/><Relationship Id="rId88" Type="http://schemas.openxmlformats.org/officeDocument/2006/relationships/hyperlink" Target="https://www.infomoney.com.br/cotacoes/banco-pan-bpan4f/" TargetMode="External"/><Relationship Id="rId87" Type="http://schemas.openxmlformats.org/officeDocument/2006/relationships/hyperlink" Target="https://www.infomoney.com.br/cotacoes/eneva-enev3/" TargetMode="External"/><Relationship Id="rId89" Type="http://schemas.openxmlformats.org/officeDocument/2006/relationships/hyperlink" Target="https://www.infomoney.com.br/cotacoes/weg-s-a-wege3f/" TargetMode="External"/><Relationship Id="rId80" Type="http://schemas.openxmlformats.org/officeDocument/2006/relationships/hyperlink" Target="https://www.infomoney.com.br/cotacoes/marcopolo-pomo4/" TargetMode="External"/><Relationship Id="rId82" Type="http://schemas.openxmlformats.org/officeDocument/2006/relationships/hyperlink" Target="https://www.infomoney.com.br/cotacoes/cosan-log-rlog3f/" TargetMode="External"/><Relationship Id="rId81" Type="http://schemas.openxmlformats.org/officeDocument/2006/relationships/hyperlink" Target="https://www.infomoney.com.br/cotacoes/marcopolo-pomo3/" TargetMode="External"/><Relationship Id="rId73" Type="http://schemas.openxmlformats.org/officeDocument/2006/relationships/hyperlink" Target="https://www.infomoney.com.br/cotacoes/valid-vlid3f/" TargetMode="External"/><Relationship Id="rId72" Type="http://schemas.openxmlformats.org/officeDocument/2006/relationships/hyperlink" Target="https://www.infomoney.com.br/cotacoes/eternit-eter3/" TargetMode="External"/><Relationship Id="rId75" Type="http://schemas.openxmlformats.org/officeDocument/2006/relationships/hyperlink" Target="https://www.infomoney.com.br/cotacoes/triunfo-part-tpis3f/" TargetMode="External"/><Relationship Id="rId74" Type="http://schemas.openxmlformats.org/officeDocument/2006/relationships/hyperlink" Target="https://www.infomoney.com.br/cotacoes/valid-vlid3/" TargetMode="External"/><Relationship Id="rId77" Type="http://schemas.openxmlformats.org/officeDocument/2006/relationships/hyperlink" Target="https://www.infomoney.com.br/cotacoes/pbg-ptbl3f/" TargetMode="External"/><Relationship Id="rId76" Type="http://schemas.openxmlformats.org/officeDocument/2006/relationships/hyperlink" Target="https://www.infomoney.com.br/cotacoes/triunfo-part-tpis3/" TargetMode="External"/><Relationship Id="rId79" Type="http://schemas.openxmlformats.org/officeDocument/2006/relationships/hyperlink" Target="https://www.infomoney.com.br/cotacoes/marcopolo-pomo3f/" TargetMode="External"/><Relationship Id="rId78" Type="http://schemas.openxmlformats.org/officeDocument/2006/relationships/hyperlink" Target="https://www.infomoney.com.br/cotacoes/marcopolo-pomo4f/" TargetMode="External"/><Relationship Id="rId71" Type="http://schemas.openxmlformats.org/officeDocument/2006/relationships/hyperlink" Target="https://www.infomoney.com.br/cotacoes/eternit-eter3f/" TargetMode="External"/><Relationship Id="rId70" Type="http://schemas.openxmlformats.org/officeDocument/2006/relationships/hyperlink" Target="https://www.infomoney.com.br/cotacoes/gol-goll4/" TargetMode="External"/><Relationship Id="rId62" Type="http://schemas.openxmlformats.org/officeDocument/2006/relationships/hyperlink" Target="https://www.infomoney.com.br/cotacoes/taurus-armas-tasa3/" TargetMode="External"/><Relationship Id="rId61" Type="http://schemas.openxmlformats.org/officeDocument/2006/relationships/hyperlink" Target="https://www.infomoney.com.br/cotacoes/taurus-armas-tasa4/" TargetMode="External"/><Relationship Id="rId64" Type="http://schemas.openxmlformats.org/officeDocument/2006/relationships/hyperlink" Target="https://www.infomoney.com.br/cotacoes/unipar-unip3f/" TargetMode="External"/><Relationship Id="rId63" Type="http://schemas.openxmlformats.org/officeDocument/2006/relationships/hyperlink" Target="https://www.infomoney.com.br/cotacoes/tecnisa-tcsa3f/" TargetMode="External"/><Relationship Id="rId66" Type="http://schemas.openxmlformats.org/officeDocument/2006/relationships/hyperlink" Target="https://www.infomoney.com.br/cotacoes/whirlpool-whrl3f/" TargetMode="External"/><Relationship Id="rId65" Type="http://schemas.openxmlformats.org/officeDocument/2006/relationships/hyperlink" Target="https://www.infomoney.com.br/cotacoes/whirlpool-whrl4f/" TargetMode="External"/><Relationship Id="rId68" Type="http://schemas.openxmlformats.org/officeDocument/2006/relationships/hyperlink" Target="https://www.infomoney.com.br/cotacoes/gol-goll11/" TargetMode="External"/><Relationship Id="rId67" Type="http://schemas.openxmlformats.org/officeDocument/2006/relationships/hyperlink" Target="https://www.infomoney.com.br/cotacoes/ourofino-s-a-ofsa3f/" TargetMode="External"/><Relationship Id="rId609" Type="http://schemas.openxmlformats.org/officeDocument/2006/relationships/hyperlink" Target="https://www.infomoney.com.br/cotacoes/coelce-coce6/" TargetMode="External"/><Relationship Id="rId608" Type="http://schemas.openxmlformats.org/officeDocument/2006/relationships/hyperlink" Target="https://www.infomoney.com.br/cotacoes/coelce-coce3f/" TargetMode="External"/><Relationship Id="rId607" Type="http://schemas.openxmlformats.org/officeDocument/2006/relationships/hyperlink" Target="https://www.infomoney.com.br/cotacoes/coelce-coce5f/" TargetMode="External"/><Relationship Id="rId60" Type="http://schemas.openxmlformats.org/officeDocument/2006/relationships/hyperlink" Target="https://www.infomoney.com.br/cotacoes/taurus-armas-tasa3f/" TargetMode="External"/><Relationship Id="rId602" Type="http://schemas.openxmlformats.org/officeDocument/2006/relationships/hyperlink" Target="https://www.infomoney.com.br/cotacoes/renova-rnew11f/" TargetMode="External"/><Relationship Id="rId601" Type="http://schemas.openxmlformats.org/officeDocument/2006/relationships/hyperlink" Target="https://www.infomoney.com.br/cotacoes/renova-rnew3f/" TargetMode="External"/><Relationship Id="rId600" Type="http://schemas.openxmlformats.org/officeDocument/2006/relationships/hyperlink" Target="https://www.infomoney.com.br/cotacoes/ceb-cebr3/" TargetMode="External"/><Relationship Id="rId606" Type="http://schemas.openxmlformats.org/officeDocument/2006/relationships/hyperlink" Target="https://www.infomoney.com.br/cotacoes/coelce-coce6f/" TargetMode="External"/><Relationship Id="rId605" Type="http://schemas.openxmlformats.org/officeDocument/2006/relationships/hyperlink" Target="https://www.infomoney.com.br/cotacoes/renova-rnew3/" TargetMode="External"/><Relationship Id="rId604" Type="http://schemas.openxmlformats.org/officeDocument/2006/relationships/hyperlink" Target="https://www.infomoney.com.br/cotacoes/renova-rnew4/" TargetMode="External"/><Relationship Id="rId603" Type="http://schemas.openxmlformats.org/officeDocument/2006/relationships/hyperlink" Target="https://www.infomoney.com.br/cotacoes/renova-rnew4f/" TargetMode="External"/><Relationship Id="rId69" Type="http://schemas.openxmlformats.org/officeDocument/2006/relationships/hyperlink" Target="https://www.infomoney.com.br/cotacoes/gol-goll4f/" TargetMode="External"/><Relationship Id="rId51" Type="http://schemas.openxmlformats.org/officeDocument/2006/relationships/hyperlink" Target="https://www.infomoney.com.br/cotacoes/rio-paranapanema-energia-gepa3f/" TargetMode="External"/><Relationship Id="rId50" Type="http://schemas.openxmlformats.org/officeDocument/2006/relationships/hyperlink" Target="https://www.infomoney.com.br/cotacoes/rio-paranapanema-energia-gepa4f/" TargetMode="External"/><Relationship Id="rId53" Type="http://schemas.openxmlformats.org/officeDocument/2006/relationships/hyperlink" Target="https://www.infomoney.com.br/cotacoes/fras-le-fras3/" TargetMode="External"/><Relationship Id="rId52" Type="http://schemas.openxmlformats.org/officeDocument/2006/relationships/hyperlink" Target="https://www.infomoney.com.br/cotacoes/fras-le-fras3f/" TargetMode="External"/><Relationship Id="rId55" Type="http://schemas.openxmlformats.org/officeDocument/2006/relationships/hyperlink" Target="https://www.infomoney.com.br/cotacoes/schulz-shul4f/" TargetMode="External"/><Relationship Id="rId54" Type="http://schemas.openxmlformats.org/officeDocument/2006/relationships/hyperlink" Target="https://www.infomoney.com.br/cotacoes/afluente-t-aflt3f/" TargetMode="External"/><Relationship Id="rId57" Type="http://schemas.openxmlformats.org/officeDocument/2006/relationships/hyperlink" Target="https://www.infomoney.com.br/cotacoes/schulz-shul3/" TargetMode="External"/><Relationship Id="rId56" Type="http://schemas.openxmlformats.org/officeDocument/2006/relationships/hyperlink" Target="https://www.infomoney.com.br/cotacoes/schulz-shul4/" TargetMode="External"/><Relationship Id="rId59" Type="http://schemas.openxmlformats.org/officeDocument/2006/relationships/hyperlink" Target="https://www.infomoney.com.br/cotacoes/taurus-armas-tasa4f/" TargetMode="External"/><Relationship Id="rId58" Type="http://schemas.openxmlformats.org/officeDocument/2006/relationships/hyperlink" Target="https://www.infomoney.com.br/cotacoes/suzano-holding-nemo5f/" TargetMode="External"/><Relationship Id="rId590" Type="http://schemas.openxmlformats.org/officeDocument/2006/relationships/hyperlink" Target="https://www.infomoney.com.br/cotacoes/casan-casn3f/" TargetMode="External"/><Relationship Id="rId107" Type="http://schemas.openxmlformats.org/officeDocument/2006/relationships/hyperlink" Target="https://www.infomoney.com.br/cotacoes/home-depot-home34f/" TargetMode="External"/><Relationship Id="rId228" Type="http://schemas.openxmlformats.org/officeDocument/2006/relationships/hyperlink" Target="https://www.infomoney.com.br/cotacoes/grupo-pao-de-acucar-pcar4f/" TargetMode="External"/><Relationship Id="rId349" Type="http://schemas.openxmlformats.org/officeDocument/2006/relationships/hyperlink" Target="https://www.infomoney.com.br/cotacoes/klabin-klbn3/" TargetMode="External"/><Relationship Id="rId106" Type="http://schemas.openxmlformats.org/officeDocument/2006/relationships/hyperlink" Target="https://www.infomoney.com.br/cotacoes/mc-donalds-mcdc34/" TargetMode="External"/><Relationship Id="rId227" Type="http://schemas.openxmlformats.org/officeDocument/2006/relationships/hyperlink" Target="https://www.infomoney.com.br/cotacoes/grupo-pao-de-acucar-pcar3f/" TargetMode="External"/><Relationship Id="rId348" Type="http://schemas.openxmlformats.org/officeDocument/2006/relationships/hyperlink" Target="https://www.infomoney.com.br/cotacoes/klabin-klbn4/" TargetMode="External"/><Relationship Id="rId469" Type="http://schemas.openxmlformats.org/officeDocument/2006/relationships/hyperlink" Target="https://www.infomoney.com.br/cotacoes/under-armour-u1ai34/" TargetMode="External"/><Relationship Id="rId105" Type="http://schemas.openxmlformats.org/officeDocument/2006/relationships/hyperlink" Target="https://www.infomoney.com.br/cotacoes/mcdonalds-mcdc34f/" TargetMode="External"/><Relationship Id="rId226" Type="http://schemas.openxmlformats.org/officeDocument/2006/relationships/hyperlink" Target="https://www.infomoney.com.br/cotacoes/carrefour-crfb3/" TargetMode="External"/><Relationship Id="rId347" Type="http://schemas.openxmlformats.org/officeDocument/2006/relationships/hyperlink" Target="https://www.infomoney.com.br/cotacoes/klabin-klbn11f/" TargetMode="External"/><Relationship Id="rId468" Type="http://schemas.openxmlformats.org/officeDocument/2006/relationships/hyperlink" Target="https://www.infomoney.com.br/cotacoes/under-armour-u1ai34f/" TargetMode="External"/><Relationship Id="rId589" Type="http://schemas.openxmlformats.org/officeDocument/2006/relationships/hyperlink" Target="https://www.infomoney.com.br/cotacoes/casan-casn4f/" TargetMode="External"/><Relationship Id="rId104" Type="http://schemas.openxmlformats.org/officeDocument/2006/relationships/hyperlink" Target="https://www.infomoney.com.br/cotacoes/nike-nike34/" TargetMode="External"/><Relationship Id="rId225" Type="http://schemas.openxmlformats.org/officeDocument/2006/relationships/hyperlink" Target="https://www.infomoney.com.br/cotacoes/carrefour-crfb3f/" TargetMode="External"/><Relationship Id="rId346" Type="http://schemas.openxmlformats.org/officeDocument/2006/relationships/hyperlink" Target="https://www.infomoney.com.br/cotacoes/klabin-klbn3f/" TargetMode="External"/><Relationship Id="rId467" Type="http://schemas.openxmlformats.org/officeDocument/2006/relationships/hyperlink" Target="https://www.infomoney.com.br/cotacoes/united-airli-u1al34/" TargetMode="External"/><Relationship Id="rId588" Type="http://schemas.openxmlformats.org/officeDocument/2006/relationships/hyperlink" Target="https://www.infomoney.com.br/cotacoes/ceee-gt-eeel3/" TargetMode="External"/><Relationship Id="rId109" Type="http://schemas.openxmlformats.org/officeDocument/2006/relationships/hyperlink" Target="https://www.infomoney.com.br/cotacoes/ford-motors-fdmo34f/" TargetMode="External"/><Relationship Id="rId108" Type="http://schemas.openxmlformats.org/officeDocument/2006/relationships/hyperlink" Target="https://www.infomoney.com.br/cotacoes/home-depot-home34/" TargetMode="External"/><Relationship Id="rId229" Type="http://schemas.openxmlformats.org/officeDocument/2006/relationships/hyperlink" Target="https://www.infomoney.com.br/cotacoes/pao-de-acucar-pcar3/" TargetMode="External"/><Relationship Id="rId220" Type="http://schemas.openxmlformats.org/officeDocument/2006/relationships/hyperlink" Target="https://www.infomoney.com.br/cotacoes/biosev-bsev3/" TargetMode="External"/><Relationship Id="rId341" Type="http://schemas.openxmlformats.org/officeDocument/2006/relationships/hyperlink" Target="https://www.infomoney.com.br/cotacoes/eucatex-euca4/" TargetMode="External"/><Relationship Id="rId462" Type="http://schemas.openxmlformats.org/officeDocument/2006/relationships/hyperlink" Target="https://www.infomoney.com.br/cotacoes/udr-inc-u1dr34f/" TargetMode="External"/><Relationship Id="rId583" Type="http://schemas.openxmlformats.org/officeDocument/2006/relationships/hyperlink" Target="https://www.infomoney.com.br/cotacoes/ceee-d-ceed4/" TargetMode="External"/><Relationship Id="rId340" Type="http://schemas.openxmlformats.org/officeDocument/2006/relationships/hyperlink" Target="https://www.infomoney.com.br/cotacoes/eucatex-euca3f/" TargetMode="External"/><Relationship Id="rId461" Type="http://schemas.openxmlformats.org/officeDocument/2006/relationships/hyperlink" Target="https://www.infomoney.com.br/cotacoes/universal-he-u1hs34/" TargetMode="External"/><Relationship Id="rId582" Type="http://schemas.openxmlformats.org/officeDocument/2006/relationships/hyperlink" Target="https://www.infomoney.com.br/cotacoes/ceee-d-ceed4f/" TargetMode="External"/><Relationship Id="rId460" Type="http://schemas.openxmlformats.org/officeDocument/2006/relationships/hyperlink" Target="https://www.infomoney.com.br/cotacoes/universal-he-u1hs34f/" TargetMode="External"/><Relationship Id="rId581" Type="http://schemas.openxmlformats.org/officeDocument/2006/relationships/hyperlink" Target="https://www.infomoney.com.br/cotacoes/ceee-d-ceed3f/" TargetMode="External"/><Relationship Id="rId580" Type="http://schemas.openxmlformats.org/officeDocument/2006/relationships/hyperlink" Target="https://www.infomoney.com.br/cotacoes/celpe-cepe3/" TargetMode="External"/><Relationship Id="rId103" Type="http://schemas.openxmlformats.org/officeDocument/2006/relationships/hyperlink" Target="https://www.infomoney.com.br/cotacoes/nike-nike34f/" TargetMode="External"/><Relationship Id="rId224" Type="http://schemas.openxmlformats.org/officeDocument/2006/relationships/hyperlink" Target="https://www.infomoney.com.br/cotacoes/vivara-viva3/" TargetMode="External"/><Relationship Id="rId345" Type="http://schemas.openxmlformats.org/officeDocument/2006/relationships/hyperlink" Target="https://www.infomoney.com.br/cotacoes/klabin-klbn4f/" TargetMode="External"/><Relationship Id="rId466" Type="http://schemas.openxmlformats.org/officeDocument/2006/relationships/hyperlink" Target="https://www.infomoney.com.br/cotacoes/united-airli-u1al34f/" TargetMode="External"/><Relationship Id="rId587" Type="http://schemas.openxmlformats.org/officeDocument/2006/relationships/hyperlink" Target="https://www.infomoney.com.br/cotacoes/ceee-gt-eeel4/" TargetMode="External"/><Relationship Id="rId102" Type="http://schemas.openxmlformats.org/officeDocument/2006/relationships/hyperlink" Target="https://www.infomoney.com.br/cotacoes/netflix-nflx34/" TargetMode="External"/><Relationship Id="rId223" Type="http://schemas.openxmlformats.org/officeDocument/2006/relationships/hyperlink" Target="https://www.infomoney.com.br/cotacoes/minerva-beef11/" TargetMode="External"/><Relationship Id="rId344" Type="http://schemas.openxmlformats.org/officeDocument/2006/relationships/hyperlink" Target="https://www.infomoney.com.br/cotacoes/suzano-papel-suzb3/" TargetMode="External"/><Relationship Id="rId465" Type="http://schemas.openxmlformats.org/officeDocument/2006/relationships/hyperlink" Target="https://www.infomoney.com.br/cotacoes/uber-tech-in-u1be34/" TargetMode="External"/><Relationship Id="rId586" Type="http://schemas.openxmlformats.org/officeDocument/2006/relationships/hyperlink" Target="https://www.infomoney.com.br/cotacoes/ceee-gt-eeel3f/" TargetMode="External"/><Relationship Id="rId101" Type="http://schemas.openxmlformats.org/officeDocument/2006/relationships/hyperlink" Target="https://www.infomoney.com.br/cotacoes/netflix-nflx34f/" TargetMode="External"/><Relationship Id="rId222" Type="http://schemas.openxmlformats.org/officeDocument/2006/relationships/hyperlink" Target="https://www.infomoney.com.br/cotacoes/minerva-beef3/" TargetMode="External"/><Relationship Id="rId343" Type="http://schemas.openxmlformats.org/officeDocument/2006/relationships/hyperlink" Target="https://www.infomoney.com.br/cotacoes/suzano-s-a-suzb3f/" TargetMode="External"/><Relationship Id="rId464" Type="http://schemas.openxmlformats.org/officeDocument/2006/relationships/hyperlink" Target="https://www.infomoney.com.br/cotacoes/uber-tech-in-u1be34f/" TargetMode="External"/><Relationship Id="rId585" Type="http://schemas.openxmlformats.org/officeDocument/2006/relationships/hyperlink" Target="https://www.infomoney.com.br/cotacoes/ceee-gt-eeel4f/" TargetMode="External"/><Relationship Id="rId100" Type="http://schemas.openxmlformats.org/officeDocument/2006/relationships/hyperlink" Target="https://www.infomoney.com.br/cotacoes/cedro-cedo3f/" TargetMode="External"/><Relationship Id="rId221" Type="http://schemas.openxmlformats.org/officeDocument/2006/relationships/hyperlink" Target="https://www.infomoney.com.br/cotacoes/minerva-beef3f/" TargetMode="External"/><Relationship Id="rId342" Type="http://schemas.openxmlformats.org/officeDocument/2006/relationships/hyperlink" Target="https://www.infomoney.com.br/cotacoes/eucatex-euca3/" TargetMode="External"/><Relationship Id="rId463" Type="http://schemas.openxmlformats.org/officeDocument/2006/relationships/hyperlink" Target="https://www.infomoney.com.br/cotacoes/udr-inc-u1dr34/" TargetMode="External"/><Relationship Id="rId584" Type="http://schemas.openxmlformats.org/officeDocument/2006/relationships/hyperlink" Target="https://www.infomoney.com.br/cotacoes/ceee-d-ceed3/" TargetMode="External"/><Relationship Id="rId217" Type="http://schemas.openxmlformats.org/officeDocument/2006/relationships/hyperlink" Target="https://www.infomoney.com.br/cotacoes/brasilagro-agro3f/" TargetMode="External"/><Relationship Id="rId338" Type="http://schemas.openxmlformats.org/officeDocument/2006/relationships/hyperlink" Target="https://www.infomoney.com.br/cotacoes/ferbasa-fesa3/" TargetMode="External"/><Relationship Id="rId459" Type="http://schemas.openxmlformats.org/officeDocument/2006/relationships/hyperlink" Target="https://www.infomoney.com.br/cotacoes/ulta-beauty-u1lt34/" TargetMode="External"/><Relationship Id="rId216" Type="http://schemas.openxmlformats.org/officeDocument/2006/relationships/hyperlink" Target="https://www.infomoney.com.br/cotacoes/camil-caml3/" TargetMode="External"/><Relationship Id="rId337" Type="http://schemas.openxmlformats.org/officeDocument/2006/relationships/hyperlink" Target="https://www.infomoney.com.br/cotacoes/ferbasa-fesa4/" TargetMode="External"/><Relationship Id="rId458" Type="http://schemas.openxmlformats.org/officeDocument/2006/relationships/hyperlink" Target="https://www.infomoney.com.br/cotacoes/ulta-beauty-u1lt34f/" TargetMode="External"/><Relationship Id="rId579" Type="http://schemas.openxmlformats.org/officeDocument/2006/relationships/hyperlink" Target="https://www.infomoney.com.br/cotacoes/celpe-cepe5/" TargetMode="External"/><Relationship Id="rId215" Type="http://schemas.openxmlformats.org/officeDocument/2006/relationships/hyperlink" Target="https://www.infomoney.com.br/cotacoes/camil-caml3f/" TargetMode="External"/><Relationship Id="rId336" Type="http://schemas.openxmlformats.org/officeDocument/2006/relationships/hyperlink" Target="https://www.infomoney.com.br/cotacoes/ferbasa-fesa3f/" TargetMode="External"/><Relationship Id="rId457" Type="http://schemas.openxmlformats.org/officeDocument/2006/relationships/hyperlink" Target="https://www.infomoney.com.br/cotacoes/unum-group-u1nm34/" TargetMode="External"/><Relationship Id="rId578" Type="http://schemas.openxmlformats.org/officeDocument/2006/relationships/hyperlink" Target="https://www.infomoney.com.br/cotacoes/celpe-cepe6/" TargetMode="External"/><Relationship Id="rId214" Type="http://schemas.openxmlformats.org/officeDocument/2006/relationships/hyperlink" Target="https://www.infomoney.com.br/cotacoes/mdiasbranco-mdia3/" TargetMode="External"/><Relationship Id="rId335" Type="http://schemas.openxmlformats.org/officeDocument/2006/relationships/hyperlink" Target="https://www.infomoney.com.br/cotacoes/ferbasa-fesa4f/" TargetMode="External"/><Relationship Id="rId456" Type="http://schemas.openxmlformats.org/officeDocument/2006/relationships/hyperlink" Target="https://www.infomoney.com.br/cotacoes/unum-group-u1nm34f/" TargetMode="External"/><Relationship Id="rId577" Type="http://schemas.openxmlformats.org/officeDocument/2006/relationships/hyperlink" Target="https://www.infomoney.com.br/cotacoes/celpe-cepe3f/" TargetMode="External"/><Relationship Id="rId219" Type="http://schemas.openxmlformats.org/officeDocument/2006/relationships/hyperlink" Target="https://www.infomoney.com.br/cotacoes/biosev-bsev3f/" TargetMode="External"/><Relationship Id="rId218" Type="http://schemas.openxmlformats.org/officeDocument/2006/relationships/hyperlink" Target="https://www.infomoney.com.br/cotacoes/brasilagro-agro3/" TargetMode="External"/><Relationship Id="rId339" Type="http://schemas.openxmlformats.org/officeDocument/2006/relationships/hyperlink" Target="https://www.infomoney.com.br/cotacoes/eucatex-euca4-2/" TargetMode="External"/><Relationship Id="rId330" Type="http://schemas.openxmlformats.org/officeDocument/2006/relationships/hyperlink" Target="https://www.infomoney.com.br/cotacoes/celul-irani-rani4f/" TargetMode="External"/><Relationship Id="rId451" Type="http://schemas.openxmlformats.org/officeDocument/2006/relationships/hyperlink" Target="https://www.infomoney.com.br/cotacoes/unilever-ulev34/" TargetMode="External"/><Relationship Id="rId572" Type="http://schemas.openxmlformats.org/officeDocument/2006/relationships/hyperlink" Target="https://www.infomoney.com.br/cotacoes/telebras-telb3f/" TargetMode="External"/><Relationship Id="rId450" Type="http://schemas.openxmlformats.org/officeDocument/2006/relationships/hyperlink" Target="https://www.infomoney.com.br/cotacoes/unilever-ulev34f/" TargetMode="External"/><Relationship Id="rId571" Type="http://schemas.openxmlformats.org/officeDocument/2006/relationships/hyperlink" Target="https://www.infomoney.com.br/cotacoes/telebras-telb4/" TargetMode="External"/><Relationship Id="rId570" Type="http://schemas.openxmlformats.org/officeDocument/2006/relationships/hyperlink" Target="https://www.infomoney.com.br/cotacoes/telebras-telb4f/" TargetMode="External"/><Relationship Id="rId213" Type="http://schemas.openxmlformats.org/officeDocument/2006/relationships/hyperlink" Target="https://www.infomoney.com.br/cotacoes/mdiasbranco-mdia3f/" TargetMode="External"/><Relationship Id="rId334" Type="http://schemas.openxmlformats.org/officeDocument/2006/relationships/hyperlink" Target="https://www.infomoney.com.br/cotacoes/paranapanema-pmam3/" TargetMode="External"/><Relationship Id="rId455" Type="http://schemas.openxmlformats.org/officeDocument/2006/relationships/hyperlink" Target="https://www.infomoney.com.br/cotacoes/united-renta-u1ri34/" TargetMode="External"/><Relationship Id="rId576" Type="http://schemas.openxmlformats.org/officeDocument/2006/relationships/hyperlink" Target="https://www.infomoney.com.br/cotacoes/celpe-cepe5f/" TargetMode="External"/><Relationship Id="rId212" Type="http://schemas.openxmlformats.org/officeDocument/2006/relationships/hyperlink" Target="https://www.infomoney.com.br/cotacoes/sao-martinho-smto3/" TargetMode="External"/><Relationship Id="rId333" Type="http://schemas.openxmlformats.org/officeDocument/2006/relationships/hyperlink" Target="https://www.infomoney.com.br/cotacoes/paranapanema-pmam3f/" TargetMode="External"/><Relationship Id="rId454" Type="http://schemas.openxmlformats.org/officeDocument/2006/relationships/hyperlink" Target="https://www.infomoney.com.br/cotacoes/united-renta-u1ri34f/" TargetMode="External"/><Relationship Id="rId575" Type="http://schemas.openxmlformats.org/officeDocument/2006/relationships/hyperlink" Target="https://www.infomoney.com.br/cotacoes/celpe-cepe6f/" TargetMode="External"/><Relationship Id="rId211" Type="http://schemas.openxmlformats.org/officeDocument/2006/relationships/hyperlink" Target="https://www.infomoney.com.br/cotacoes/sao-martinho-smto3f/" TargetMode="External"/><Relationship Id="rId332" Type="http://schemas.openxmlformats.org/officeDocument/2006/relationships/hyperlink" Target="https://www.infomoney.com.br/cotacoes/freeport-fcxo34/" TargetMode="External"/><Relationship Id="rId453" Type="http://schemas.openxmlformats.org/officeDocument/2006/relationships/hyperlink" Target="https://www.infomoney.com.br/cotacoes/ubs-group-ubsg34/" TargetMode="External"/><Relationship Id="rId574" Type="http://schemas.openxmlformats.org/officeDocument/2006/relationships/hyperlink" Target="https://www.infomoney.com.br/cotacoes/att-inc-attb34/" TargetMode="External"/><Relationship Id="rId210" Type="http://schemas.openxmlformats.org/officeDocument/2006/relationships/hyperlink" Target="https://www.infomoney.com.br/cotacoes/avon-avon34/" TargetMode="External"/><Relationship Id="rId331" Type="http://schemas.openxmlformats.org/officeDocument/2006/relationships/hyperlink" Target="https://www.infomoney.com.br/cotacoes/freeport-mcmoran-fcxo34f/" TargetMode="External"/><Relationship Id="rId452" Type="http://schemas.openxmlformats.org/officeDocument/2006/relationships/hyperlink" Target="https://www.infomoney.com.br/cotacoes/ubs-group-ubsg34f/" TargetMode="External"/><Relationship Id="rId573" Type="http://schemas.openxmlformats.org/officeDocument/2006/relationships/hyperlink" Target="https://www.infomoney.com.br/cotacoes/telebras-telb3/" TargetMode="External"/><Relationship Id="rId370" Type="http://schemas.openxmlformats.org/officeDocument/2006/relationships/hyperlink" Target="https://www.infomoney.com.br/cotacoes/bradespar-brap4f/" TargetMode="External"/><Relationship Id="rId491" Type="http://schemas.openxmlformats.org/officeDocument/2006/relationships/hyperlink" Target="https://www.infomoney.com.br/cotacoes/manguinhos-rpmg3/" TargetMode="External"/><Relationship Id="rId490" Type="http://schemas.openxmlformats.org/officeDocument/2006/relationships/hyperlink" Target="https://www.infomoney.com.br/cotacoes/manguinhos-rpmg3f/" TargetMode="External"/><Relationship Id="rId129" Type="http://schemas.openxmlformats.org/officeDocument/2006/relationships/hyperlink" Target="https://www.infomoney.com.br/cotacoes/iochpe-maxion-mypk3/" TargetMode="External"/><Relationship Id="rId128" Type="http://schemas.openxmlformats.org/officeDocument/2006/relationships/hyperlink" Target="https://www.infomoney.com.br/cotacoes/iochpe-maxion-mypk3f/" TargetMode="External"/><Relationship Id="rId249" Type="http://schemas.openxmlformats.org/officeDocument/2006/relationships/hyperlink" Target="https://www.infomoney.com.br/cotacoes/visa-inc-visa34/" TargetMode="External"/><Relationship Id="rId127" Type="http://schemas.openxmlformats.org/officeDocument/2006/relationships/hyperlink" Target="https://www.infomoney.com.br/cotacoes/karsten-ctka3/" TargetMode="External"/><Relationship Id="rId248" Type="http://schemas.openxmlformats.org/officeDocument/2006/relationships/hyperlink" Target="https://www.infomoney.com.br/cotacoes/visa-inc-visa34f/" TargetMode="External"/><Relationship Id="rId369" Type="http://schemas.openxmlformats.org/officeDocument/2006/relationships/hyperlink" Target="https://www.infomoney.com.br/cotacoes/braskem-brkm3/" TargetMode="External"/><Relationship Id="rId126" Type="http://schemas.openxmlformats.org/officeDocument/2006/relationships/hyperlink" Target="https://www.infomoney.com.br/cotacoes/karsten-ctka4/" TargetMode="External"/><Relationship Id="rId247" Type="http://schemas.openxmlformats.org/officeDocument/2006/relationships/hyperlink" Target="https://www.infomoney.com.br/cotacoes/wells-fargo-wfco34/" TargetMode="External"/><Relationship Id="rId368" Type="http://schemas.openxmlformats.org/officeDocument/2006/relationships/hyperlink" Target="https://www.infomoney.com.br/cotacoes/braskem-brkm5/" TargetMode="External"/><Relationship Id="rId489" Type="http://schemas.openxmlformats.org/officeDocument/2006/relationships/hyperlink" Target="https://www.infomoney.com.br/cotacoes/dommo-dmmo3/" TargetMode="External"/><Relationship Id="rId121" Type="http://schemas.openxmlformats.org/officeDocument/2006/relationships/hyperlink" Target="https://www.infomoney.com.br/cotacoes/mundial-mndl3/" TargetMode="External"/><Relationship Id="rId242" Type="http://schemas.openxmlformats.org/officeDocument/2006/relationships/hyperlink" Target="https://www.infomoney.com.br/cotacoes/battistella-bttl3f/" TargetMode="External"/><Relationship Id="rId363" Type="http://schemas.openxmlformats.org/officeDocument/2006/relationships/hyperlink" Target="https://www.infomoney.com.br/cotacoes/csn-csna3f/" TargetMode="External"/><Relationship Id="rId484" Type="http://schemas.openxmlformats.org/officeDocument/2006/relationships/hyperlink" Target="https://www.infomoney.com.br/cotacoes/petrorio-prio3/" TargetMode="External"/><Relationship Id="rId120" Type="http://schemas.openxmlformats.org/officeDocument/2006/relationships/hyperlink" Target="https://www.infomoney.com.br/cotacoes/mundial-mndl3f/" TargetMode="External"/><Relationship Id="rId241" Type="http://schemas.openxmlformats.org/officeDocument/2006/relationships/hyperlink" Target="https://www.infomoney.com.br/cotacoes/brb-banco-bsli3/" TargetMode="External"/><Relationship Id="rId362" Type="http://schemas.openxmlformats.org/officeDocument/2006/relationships/hyperlink" Target="https://www.infomoney.com.br/cotacoes/gerdau-met-goau4/" TargetMode="External"/><Relationship Id="rId483" Type="http://schemas.openxmlformats.org/officeDocument/2006/relationships/hyperlink" Target="https://www.infomoney.com.br/cotacoes/petrorio-prio3f/" TargetMode="External"/><Relationship Id="rId240" Type="http://schemas.openxmlformats.org/officeDocument/2006/relationships/hyperlink" Target="https://www.infomoney.com.br/cotacoes/brb-banco-bsli4/" TargetMode="External"/><Relationship Id="rId361" Type="http://schemas.openxmlformats.org/officeDocument/2006/relationships/hyperlink" Target="https://www.infomoney.com.br/cotacoes/mmx-mineracao-mmxm11/" TargetMode="External"/><Relationship Id="rId482" Type="http://schemas.openxmlformats.org/officeDocument/2006/relationships/hyperlink" Target="https://www.infomoney.com.br/cotacoes/chevron-chvx34/" TargetMode="External"/><Relationship Id="rId360" Type="http://schemas.openxmlformats.org/officeDocument/2006/relationships/hyperlink" Target="https://www.infomoney.com.br/cotacoes/mmx-mineracao-mmxm3/" TargetMode="External"/><Relationship Id="rId481" Type="http://schemas.openxmlformats.org/officeDocument/2006/relationships/hyperlink" Target="https://www.infomoney.com.br/cotacoes/chevron-chvx34f/" TargetMode="External"/><Relationship Id="rId125" Type="http://schemas.openxmlformats.org/officeDocument/2006/relationships/hyperlink" Target="https://www.infomoney.com.br/cotacoes/karsten-ctka3f/" TargetMode="External"/><Relationship Id="rId246" Type="http://schemas.openxmlformats.org/officeDocument/2006/relationships/hyperlink" Target="https://www.infomoney.com.br/cotacoes/wells-fargo-wfco34f/" TargetMode="External"/><Relationship Id="rId367" Type="http://schemas.openxmlformats.org/officeDocument/2006/relationships/hyperlink" Target="https://www.infomoney.com.br/cotacoes/braskem-brkm5f/" TargetMode="External"/><Relationship Id="rId488" Type="http://schemas.openxmlformats.org/officeDocument/2006/relationships/hyperlink" Target="https://www.infomoney.com.br/cotacoes/dommo-dmmo3f/" TargetMode="External"/><Relationship Id="rId124" Type="http://schemas.openxmlformats.org/officeDocument/2006/relationships/hyperlink" Target="https://www.infomoney.com.br/cotacoes/karsten-ctka4f/" TargetMode="External"/><Relationship Id="rId245" Type="http://schemas.openxmlformats.org/officeDocument/2006/relationships/hyperlink" Target="https://www.infomoney.com.br/cotacoes/banpara-bpar3/" TargetMode="External"/><Relationship Id="rId366" Type="http://schemas.openxmlformats.org/officeDocument/2006/relationships/hyperlink" Target="https://www.infomoney.com.br/cotacoes/braskem-brkm6/" TargetMode="External"/><Relationship Id="rId487" Type="http://schemas.openxmlformats.org/officeDocument/2006/relationships/hyperlink" Target="https://www.infomoney.com.br/cotacoes/dommo-dmmo11/" TargetMode="External"/><Relationship Id="rId123" Type="http://schemas.openxmlformats.org/officeDocument/2006/relationships/hyperlink" Target="https://www.infomoney.com.br/cotacoes/metal-leve-leve3/" TargetMode="External"/><Relationship Id="rId244" Type="http://schemas.openxmlformats.org/officeDocument/2006/relationships/hyperlink" Target="https://www.infomoney.com.br/cotacoes/banpara-bpar3f/" TargetMode="External"/><Relationship Id="rId365" Type="http://schemas.openxmlformats.org/officeDocument/2006/relationships/hyperlink" Target="https://www.infomoney.com.br/cotacoes/celul-irani-rani4/" TargetMode="External"/><Relationship Id="rId486" Type="http://schemas.openxmlformats.org/officeDocument/2006/relationships/hyperlink" Target="https://www.infomoney.com.br/cotacoes/osx-brasil-osxb3/" TargetMode="External"/><Relationship Id="rId122" Type="http://schemas.openxmlformats.org/officeDocument/2006/relationships/hyperlink" Target="https://www.infomoney.com.br/cotacoes/metal-leve-leve3f/" TargetMode="External"/><Relationship Id="rId243" Type="http://schemas.openxmlformats.org/officeDocument/2006/relationships/hyperlink" Target="https://www.infomoney.com.br/cotacoes/battistella-bttl3/" TargetMode="External"/><Relationship Id="rId364" Type="http://schemas.openxmlformats.org/officeDocument/2006/relationships/hyperlink" Target="https://www.infomoney.com.br/cotacoes/csn-csna3/" TargetMode="External"/><Relationship Id="rId485" Type="http://schemas.openxmlformats.org/officeDocument/2006/relationships/hyperlink" Target="https://www.infomoney.com.br/cotacoes/osx-brasil-osxb3f/" TargetMode="External"/><Relationship Id="rId95" Type="http://schemas.openxmlformats.org/officeDocument/2006/relationships/hyperlink" Target="https://www.infomoney.com.br/cotacoes/usiminas-usim6/" TargetMode="External"/><Relationship Id="rId94" Type="http://schemas.openxmlformats.org/officeDocument/2006/relationships/hyperlink" Target="https://www.infomoney.com.br/cotacoes/vale-vale3/" TargetMode="External"/><Relationship Id="rId97" Type="http://schemas.openxmlformats.org/officeDocument/2006/relationships/hyperlink" Target="https://www.infomoney.com.br/cotacoes/usiminas-usim3/" TargetMode="External"/><Relationship Id="rId96" Type="http://schemas.openxmlformats.org/officeDocument/2006/relationships/hyperlink" Target="https://www.infomoney.com.br/cotacoes/usiminas-usim5/" TargetMode="External"/><Relationship Id="rId99" Type="http://schemas.openxmlformats.org/officeDocument/2006/relationships/hyperlink" Target="https://www.infomoney.com.br/cotacoes/cedro-textil-cedo4f/" TargetMode="External"/><Relationship Id="rId480" Type="http://schemas.openxmlformats.org/officeDocument/2006/relationships/hyperlink" Target="https://www.infomoney.com.br/cotacoes/cophillips-coph34/" TargetMode="External"/><Relationship Id="rId98" Type="http://schemas.openxmlformats.org/officeDocument/2006/relationships/hyperlink" Target="https://www.infomoney.com.br/cotacoes/santos-brasil-stbp3/" TargetMode="External"/><Relationship Id="rId91" Type="http://schemas.openxmlformats.org/officeDocument/2006/relationships/hyperlink" Target="https://www.infomoney.com.br/cotacoes/viavarejo-vvar3f/" TargetMode="External"/><Relationship Id="rId90" Type="http://schemas.openxmlformats.org/officeDocument/2006/relationships/hyperlink" Target="https://www.infomoney.com.br/cotacoes/weg-wege3/" TargetMode="External"/><Relationship Id="rId93" Type="http://schemas.openxmlformats.org/officeDocument/2006/relationships/hyperlink" Target="https://www.infomoney.com.br/cotacoes/rumo-log-rail3/" TargetMode="External"/><Relationship Id="rId92" Type="http://schemas.openxmlformats.org/officeDocument/2006/relationships/hyperlink" Target="https://www.infomoney.com.br/cotacoes/rumo-s-a-rail3f/" TargetMode="External"/><Relationship Id="rId118" Type="http://schemas.openxmlformats.org/officeDocument/2006/relationships/hyperlink" Target="https://www.infomoney.com.br/cotacoes/rossi-residencial-rsid3f/" TargetMode="External"/><Relationship Id="rId239" Type="http://schemas.openxmlformats.org/officeDocument/2006/relationships/hyperlink" Target="https://www.infomoney.com.br/cotacoes/brb-banco-de-brasilia-bsli3f/" TargetMode="External"/><Relationship Id="rId117" Type="http://schemas.openxmlformats.org/officeDocument/2006/relationships/hyperlink" Target="https://www.infomoney.com.br/cotacoes/saraiva-livr-sled3/" TargetMode="External"/><Relationship Id="rId238" Type="http://schemas.openxmlformats.org/officeDocument/2006/relationships/hyperlink" Target="https://www.infomoney.com.br/cotacoes/brb-banco-de-brasilia-bsli4f/" TargetMode="External"/><Relationship Id="rId359" Type="http://schemas.openxmlformats.org/officeDocument/2006/relationships/hyperlink" Target="https://www.infomoney.com.br/cotacoes/suzano-holding-nemo3/" TargetMode="External"/><Relationship Id="rId116" Type="http://schemas.openxmlformats.org/officeDocument/2006/relationships/hyperlink" Target="https://www.infomoney.com.br/cotacoes/saraiva-livreiros-sled3f/" TargetMode="External"/><Relationship Id="rId237" Type="http://schemas.openxmlformats.org/officeDocument/2006/relationships/hyperlink" Target="https://www.infomoney.com.br/cotacoes/brf-brfs3/" TargetMode="External"/><Relationship Id="rId358" Type="http://schemas.openxmlformats.org/officeDocument/2006/relationships/hyperlink" Target="https://www.infomoney.com.br/cotacoes/suzano-holding-nemo5/" TargetMode="External"/><Relationship Id="rId479" Type="http://schemas.openxmlformats.org/officeDocument/2006/relationships/hyperlink" Target="https://www.infomoney.com.br/cotacoes/cophillips-coph34f/" TargetMode="External"/><Relationship Id="rId115" Type="http://schemas.openxmlformats.org/officeDocument/2006/relationships/hyperlink" Target="https://www.infomoney.com.br/cotacoes/saraiva-livr-sled4f/" TargetMode="External"/><Relationship Id="rId236" Type="http://schemas.openxmlformats.org/officeDocument/2006/relationships/hyperlink" Target="https://www.infomoney.com.br/cotacoes/procter-gamble-pgco34/" TargetMode="External"/><Relationship Id="rId357" Type="http://schemas.openxmlformats.org/officeDocument/2006/relationships/hyperlink" Target="https://www.infomoney.com.br/cotacoes/suzano-holding-nemo6/" TargetMode="External"/><Relationship Id="rId478" Type="http://schemas.openxmlformats.org/officeDocument/2006/relationships/hyperlink" Target="https://www.infomoney.com.br/cotacoes/halliburton-hali34/" TargetMode="External"/><Relationship Id="rId599" Type="http://schemas.openxmlformats.org/officeDocument/2006/relationships/hyperlink" Target="https://www.infomoney.com.br/cotacoes/ceb-cebr5/" TargetMode="External"/><Relationship Id="rId119" Type="http://schemas.openxmlformats.org/officeDocument/2006/relationships/hyperlink" Target="https://www.infomoney.com.br/cotacoes/rossi-resid-rsid3/" TargetMode="External"/><Relationship Id="rId110" Type="http://schemas.openxmlformats.org/officeDocument/2006/relationships/hyperlink" Target="https://www.infomoney.com.br/cotacoes/ford-motors-fdmo34/" TargetMode="External"/><Relationship Id="rId231" Type="http://schemas.openxmlformats.org/officeDocument/2006/relationships/hyperlink" Target="https://www.infomoney.com.br/cotacoes/natura-ntco3/" TargetMode="External"/><Relationship Id="rId352" Type="http://schemas.openxmlformats.org/officeDocument/2006/relationships/hyperlink" Target="https://www.infomoney.com.br/cotacoes/unipar-unip6f/" TargetMode="External"/><Relationship Id="rId473" Type="http://schemas.openxmlformats.org/officeDocument/2006/relationships/hyperlink" Target="https://www.infomoney.com.br/cotacoes/twitter-twtr34/" TargetMode="External"/><Relationship Id="rId594" Type="http://schemas.openxmlformats.org/officeDocument/2006/relationships/hyperlink" Target="https://www.infomoney.com.br/cotacoes/ceg-cegr3/" TargetMode="External"/><Relationship Id="rId230" Type="http://schemas.openxmlformats.org/officeDocument/2006/relationships/hyperlink" Target="https://www.infomoney.com.br/cotacoes/natura-ntco3f/" TargetMode="External"/><Relationship Id="rId351" Type="http://schemas.openxmlformats.org/officeDocument/2006/relationships/hyperlink" Target="https://www.infomoney.com.br/cotacoes/vale-vale5/" TargetMode="External"/><Relationship Id="rId472" Type="http://schemas.openxmlformats.org/officeDocument/2006/relationships/hyperlink" Target="https://www.infomoney.com.br/cotacoes/twitter-twtr34f/" TargetMode="External"/><Relationship Id="rId593" Type="http://schemas.openxmlformats.org/officeDocument/2006/relationships/hyperlink" Target="https://www.infomoney.com.br/cotacoes/ceg-cegr3f/" TargetMode="External"/><Relationship Id="rId350" Type="http://schemas.openxmlformats.org/officeDocument/2006/relationships/hyperlink" Target="https://www.infomoney.com.br/cotacoes/klabin-klbn11/" TargetMode="External"/><Relationship Id="rId471" Type="http://schemas.openxmlformats.org/officeDocument/2006/relationships/hyperlink" Target="https://www.infomoney.com.br/cotacoes/terniumsa-txsa34/" TargetMode="External"/><Relationship Id="rId592" Type="http://schemas.openxmlformats.org/officeDocument/2006/relationships/hyperlink" Target="https://www.infomoney.com.br/cotacoes/casan-casn3/" TargetMode="External"/><Relationship Id="rId470" Type="http://schemas.openxmlformats.org/officeDocument/2006/relationships/hyperlink" Target="https://www.infomoney.com.br/cotacoes/terniumsa-txsa34f/" TargetMode="External"/><Relationship Id="rId591" Type="http://schemas.openxmlformats.org/officeDocument/2006/relationships/hyperlink" Target="https://www.infomoney.com.br/cotacoes/casan-casn4/" TargetMode="External"/><Relationship Id="rId114" Type="http://schemas.openxmlformats.org/officeDocument/2006/relationships/hyperlink" Target="https://www.infomoney.com.br/cotacoes/rodobens-rdni3/" TargetMode="External"/><Relationship Id="rId235" Type="http://schemas.openxmlformats.org/officeDocument/2006/relationships/hyperlink" Target="https://www.infomoney.com.br/cotacoes/jbs-jbss3/" TargetMode="External"/><Relationship Id="rId356" Type="http://schemas.openxmlformats.org/officeDocument/2006/relationships/hyperlink" Target="https://www.infomoney.com.br/cotacoes/unipar-unip3/" TargetMode="External"/><Relationship Id="rId477" Type="http://schemas.openxmlformats.org/officeDocument/2006/relationships/hyperlink" Target="https://www.infomoney.com.br/cotacoes/halliburton-hali34f/" TargetMode="External"/><Relationship Id="rId598" Type="http://schemas.openxmlformats.org/officeDocument/2006/relationships/hyperlink" Target="https://www.infomoney.com.br/cotacoes/ceb-cebr6/" TargetMode="External"/><Relationship Id="rId113" Type="http://schemas.openxmlformats.org/officeDocument/2006/relationships/hyperlink" Target="https://www.infomoney.com.br/cotacoes/rni-negocios-imobiliarios-rdni3f/" TargetMode="External"/><Relationship Id="rId234" Type="http://schemas.openxmlformats.org/officeDocument/2006/relationships/hyperlink" Target="https://www.infomoney.com.br/cotacoes/jbs-jbss3f/" TargetMode="External"/><Relationship Id="rId355" Type="http://schemas.openxmlformats.org/officeDocument/2006/relationships/hyperlink" Target="https://www.infomoney.com.br/cotacoes/unipar-unip5/" TargetMode="External"/><Relationship Id="rId476" Type="http://schemas.openxmlformats.org/officeDocument/2006/relationships/hyperlink" Target="https://www.infomoney.com.br/cotacoes/schlumberger-slbg34/" TargetMode="External"/><Relationship Id="rId597" Type="http://schemas.openxmlformats.org/officeDocument/2006/relationships/hyperlink" Target="https://www.infomoney.com.br/cotacoes/ceb-cebr5f/" TargetMode="External"/><Relationship Id="rId112" Type="http://schemas.openxmlformats.org/officeDocument/2006/relationships/hyperlink" Target="https://www.infomoney.com.br/cotacoes/amazon-amzo34f/" TargetMode="External"/><Relationship Id="rId233" Type="http://schemas.openxmlformats.org/officeDocument/2006/relationships/hyperlink" Target="https://www.infomoney.com.br/cotacoes/marfrig-mrfg3/" TargetMode="External"/><Relationship Id="rId354" Type="http://schemas.openxmlformats.org/officeDocument/2006/relationships/hyperlink" Target="https://www.infomoney.com.br/cotacoes/unipar-unip5f/" TargetMode="External"/><Relationship Id="rId475" Type="http://schemas.openxmlformats.org/officeDocument/2006/relationships/hyperlink" Target="https://www.infomoney.com.br/cotacoes/schlumberger-slbg34f/" TargetMode="External"/><Relationship Id="rId596" Type="http://schemas.openxmlformats.org/officeDocument/2006/relationships/hyperlink" Target="https://www.infomoney.com.br/cotacoes/ceb-cebr6f/" TargetMode="External"/><Relationship Id="rId111" Type="http://schemas.openxmlformats.org/officeDocument/2006/relationships/hyperlink" Target="https://www.infomoney.com.br/cotacoes/comcast-cmcs34f/" TargetMode="External"/><Relationship Id="rId232" Type="http://schemas.openxmlformats.org/officeDocument/2006/relationships/hyperlink" Target="https://www.infomoney.com.br/cotacoes/marfrig-mrfg3f/" TargetMode="External"/><Relationship Id="rId353" Type="http://schemas.openxmlformats.org/officeDocument/2006/relationships/hyperlink" Target="https://www.infomoney.com.br/cotacoes/unipar-unip6/" TargetMode="External"/><Relationship Id="rId474" Type="http://schemas.openxmlformats.org/officeDocument/2006/relationships/hyperlink" Target="https://www.infomoney.com.br/cotacoes/tyson-foods-tsnf34f/" TargetMode="External"/><Relationship Id="rId595" Type="http://schemas.openxmlformats.org/officeDocument/2006/relationships/hyperlink" Target="https://www.infomoney.com.br/cotacoes/ceb-cebr3f/" TargetMode="External"/><Relationship Id="rId305" Type="http://schemas.openxmlformats.org/officeDocument/2006/relationships/hyperlink" Target="https://www.infomoney.com.br/cotacoes/itau-unibanco-itub3/" TargetMode="External"/><Relationship Id="rId426" Type="http://schemas.openxmlformats.org/officeDocument/2006/relationships/hyperlink" Target="https://www.infomoney.com.br/cotacoes/verisign-inc-vrsn34/" TargetMode="External"/><Relationship Id="rId547" Type="http://schemas.openxmlformats.org/officeDocument/2006/relationships/hyperlink" Target="https://www.infomoney.com.br/cotacoes/hp-company-hpqb34/" TargetMode="External"/><Relationship Id="rId668" Type="http://schemas.openxmlformats.org/officeDocument/2006/relationships/hyperlink" Target="https://www.infomoney.com.br/cotacoes/cemig-cmig3/" TargetMode="External"/><Relationship Id="rId304" Type="http://schemas.openxmlformats.org/officeDocument/2006/relationships/hyperlink" Target="https://www.infomoney.com.br/cotacoes/itau-unibanco-itub4/" TargetMode="External"/><Relationship Id="rId425" Type="http://schemas.openxmlformats.org/officeDocument/2006/relationships/hyperlink" Target="https://www.infomoney.com.br/cotacoes/verisign-inc-vrsn34f/" TargetMode="External"/><Relationship Id="rId546" Type="http://schemas.openxmlformats.org/officeDocument/2006/relationships/hyperlink" Target="https://www.infomoney.com.br/cotacoes/hp-company-hpqb34f/" TargetMode="External"/><Relationship Id="rId667" Type="http://schemas.openxmlformats.org/officeDocument/2006/relationships/hyperlink" Target="https://www.infomoney.com.br/cotacoes/cemig-cmig3f/" TargetMode="External"/><Relationship Id="rId303" Type="http://schemas.openxmlformats.org/officeDocument/2006/relationships/hyperlink" Target="https://www.infomoney.com.br/cotacoes/itau-unibanco-itub3f/" TargetMode="External"/><Relationship Id="rId424" Type="http://schemas.openxmlformats.org/officeDocument/2006/relationships/hyperlink" Target="https://www.infomoney.com.br/cotacoes/vertex-pharm-vrtx34/" TargetMode="External"/><Relationship Id="rId545" Type="http://schemas.openxmlformats.org/officeDocument/2006/relationships/hyperlink" Target="https://www.infomoney.com.br/cotacoes/intel-itlc34/" TargetMode="External"/><Relationship Id="rId666" Type="http://schemas.openxmlformats.org/officeDocument/2006/relationships/hyperlink" Target="https://www.infomoney.com.br/cotacoes/cemig-cmig4/" TargetMode="External"/><Relationship Id="rId302" Type="http://schemas.openxmlformats.org/officeDocument/2006/relationships/hyperlink" Target="https://www.infomoney.com.br/cotacoes/multiplan-mult3/" TargetMode="External"/><Relationship Id="rId423" Type="http://schemas.openxmlformats.org/officeDocument/2006/relationships/hyperlink" Target="https://www.infomoney.com.br/cotacoes/vertex-pharm-vrtx34f/" TargetMode="External"/><Relationship Id="rId544" Type="http://schemas.openxmlformats.org/officeDocument/2006/relationships/hyperlink" Target="https://www.infomoney.com.br/cotacoes/intel-itlc34f/" TargetMode="External"/><Relationship Id="rId665" Type="http://schemas.openxmlformats.org/officeDocument/2006/relationships/hyperlink" Target="https://www.infomoney.com.br/cotacoes/cesp-cesp3/" TargetMode="External"/><Relationship Id="rId309" Type="http://schemas.openxmlformats.org/officeDocument/2006/relationships/hyperlink" Target="https://www.infomoney.com.br/cotacoes/merc-financ-merc4/" TargetMode="External"/><Relationship Id="rId308" Type="http://schemas.openxmlformats.org/officeDocument/2006/relationships/hyperlink" Target="https://www.infomoney.com.br/cotacoes/merc-invest-bmin3/" TargetMode="External"/><Relationship Id="rId429" Type="http://schemas.openxmlformats.org/officeDocument/2006/relationships/hyperlink" Target="https://www.infomoney.com.br/cotacoes/valero-ener-vloe34f/" TargetMode="External"/><Relationship Id="rId307" Type="http://schemas.openxmlformats.org/officeDocument/2006/relationships/hyperlink" Target="https://www.infomoney.com.br/cotacoes/aliansce-sonae-shopping-centers-also3/" TargetMode="External"/><Relationship Id="rId428" Type="http://schemas.openxmlformats.org/officeDocument/2006/relationships/hyperlink" Target="https://www.infomoney.com.br/cotacoes/valley-ntion-vlyb34/" TargetMode="External"/><Relationship Id="rId549" Type="http://schemas.openxmlformats.org/officeDocument/2006/relationships/hyperlink" Target="https://www.infomoney.com.br/cotacoes/cisco-csco34f/" TargetMode="External"/><Relationship Id="rId306" Type="http://schemas.openxmlformats.org/officeDocument/2006/relationships/hyperlink" Target="https://www.infomoney.com.br/cotacoes/itau-unibanco-itub4f/" TargetMode="External"/><Relationship Id="rId427" Type="http://schemas.openxmlformats.org/officeDocument/2006/relationships/hyperlink" Target="https://www.infomoney.com.br/cotacoes/valley-ntion-vlyb34f/" TargetMode="External"/><Relationship Id="rId548" Type="http://schemas.openxmlformats.org/officeDocument/2006/relationships/hyperlink" Target="https://www.infomoney.com.br/cotacoes/ebay-ebay34f/" TargetMode="External"/><Relationship Id="rId669" Type="http://schemas.openxmlformats.org/officeDocument/2006/relationships/hyperlink" Target="https://www.infomoney.com.br/cotacoes/afluente-t-aflt3/" TargetMode="External"/><Relationship Id="rId660" Type="http://schemas.openxmlformats.org/officeDocument/2006/relationships/hyperlink" Target="https://www.infomoney.com.br/cotacoes/ger-paranapanema-gepa4/" TargetMode="External"/><Relationship Id="rId301" Type="http://schemas.openxmlformats.org/officeDocument/2006/relationships/hyperlink" Target="https://www.infomoney.com.br/cotacoes/multiplan-mult3f/" TargetMode="External"/><Relationship Id="rId422" Type="http://schemas.openxmlformats.org/officeDocument/2006/relationships/hyperlink" Target="https://www.infomoney.com.br/cotacoes/wabtec-corp-w1ab34/" TargetMode="External"/><Relationship Id="rId543" Type="http://schemas.openxmlformats.org/officeDocument/2006/relationships/hyperlink" Target="https://www.infomoney.com.br/cotacoes/ibm-ibmb34/" TargetMode="External"/><Relationship Id="rId664" Type="http://schemas.openxmlformats.org/officeDocument/2006/relationships/hyperlink" Target="https://www.infomoney.com.br/cotacoes/cesp-cesp3f/" TargetMode="External"/><Relationship Id="rId300" Type="http://schemas.openxmlformats.org/officeDocument/2006/relationships/hyperlink" Target="https://www.infomoney.com.br/cotacoes/santander-br-sanb11/" TargetMode="External"/><Relationship Id="rId421" Type="http://schemas.openxmlformats.org/officeDocument/2006/relationships/hyperlink" Target="https://www.infomoney.com.br/cotacoes/wabtec-corp-w1ab34f/" TargetMode="External"/><Relationship Id="rId542" Type="http://schemas.openxmlformats.org/officeDocument/2006/relationships/hyperlink" Target="https://www.infomoney.com.br/cotacoes/ibm-ibmb34f/" TargetMode="External"/><Relationship Id="rId663" Type="http://schemas.openxmlformats.org/officeDocument/2006/relationships/hyperlink" Target="https://www.infomoney.com.br/cotacoes/cesp-cesp5/" TargetMode="External"/><Relationship Id="rId420" Type="http://schemas.openxmlformats.org/officeDocument/2006/relationships/hyperlink" Target="https://www.infomoney.com.br/cotacoes/workday-inc-w1da34/" TargetMode="External"/><Relationship Id="rId541" Type="http://schemas.openxmlformats.org/officeDocument/2006/relationships/hyperlink" Target="https://www.infomoney.com.br/cotacoes/microsoft-msft34/" TargetMode="External"/><Relationship Id="rId662" Type="http://schemas.openxmlformats.org/officeDocument/2006/relationships/hyperlink" Target="https://www.infomoney.com.br/cotacoes/cesp-cesp6/" TargetMode="External"/><Relationship Id="rId540" Type="http://schemas.openxmlformats.org/officeDocument/2006/relationships/hyperlink" Target="https://www.infomoney.com.br/cotacoes/microsoft-msft34f/" TargetMode="External"/><Relationship Id="rId661" Type="http://schemas.openxmlformats.org/officeDocument/2006/relationships/hyperlink" Target="https://www.infomoney.com.br/cotacoes/ger-paranapanema-gepa3/" TargetMode="External"/><Relationship Id="rId415" Type="http://schemas.openxmlformats.org/officeDocument/2006/relationships/hyperlink" Target="https://www.infomoney.com.br/cotacoes/wec-energy-g-w1ec34f/" TargetMode="External"/><Relationship Id="rId536" Type="http://schemas.openxmlformats.org/officeDocument/2006/relationships/hyperlink" Target="https://www.infomoney.com.br/cotacoes/qualcomm-qcom34f/" TargetMode="External"/><Relationship Id="rId657" Type="http://schemas.openxmlformats.org/officeDocument/2006/relationships/hyperlink" Target="https://www.infomoney.com.br/cotacoes/sabesp-sbsp3f/" TargetMode="External"/><Relationship Id="rId414" Type="http://schemas.openxmlformats.org/officeDocument/2006/relationships/hyperlink" Target="https://www.infomoney.com.br/cotacoes/welltower-in-w1el34/" TargetMode="External"/><Relationship Id="rId535" Type="http://schemas.openxmlformats.org/officeDocument/2006/relationships/hyperlink" Target="https://www.infomoney.com.br/cotacoes/xerox-corp-xrxb34/" TargetMode="External"/><Relationship Id="rId656" Type="http://schemas.openxmlformats.org/officeDocument/2006/relationships/hyperlink" Target="https://www.infomoney.com.br/cotacoes/taesa-taee11/" TargetMode="External"/><Relationship Id="rId413" Type="http://schemas.openxmlformats.org/officeDocument/2006/relationships/hyperlink" Target="https://www.infomoney.com.br/cotacoes/welltower-in-w1el34f/" TargetMode="External"/><Relationship Id="rId534" Type="http://schemas.openxmlformats.org/officeDocument/2006/relationships/hyperlink" Target="https://www.infomoney.com.br/cotacoes/xerox-xrxb34f/" TargetMode="External"/><Relationship Id="rId655" Type="http://schemas.openxmlformats.org/officeDocument/2006/relationships/hyperlink" Target="https://www.infomoney.com.br/cotacoes/taesa-taee3/" TargetMode="External"/><Relationship Id="rId412" Type="http://schemas.openxmlformats.org/officeDocument/2006/relationships/hyperlink" Target="https://www.infomoney.com.br/cotacoes/whirlpool-co-w1hr34/" TargetMode="External"/><Relationship Id="rId533" Type="http://schemas.openxmlformats.org/officeDocument/2006/relationships/hyperlink" Target="https://www.infomoney.com.br/cotacoes/totvs-tots3/" TargetMode="External"/><Relationship Id="rId654" Type="http://schemas.openxmlformats.org/officeDocument/2006/relationships/hyperlink" Target="https://www.infomoney.com.br/cotacoes/taesa-taee4/" TargetMode="External"/><Relationship Id="rId419" Type="http://schemas.openxmlformats.org/officeDocument/2006/relationships/hyperlink" Target="https://www.infomoney.com.br/cotacoes/workday-inc-w1da34f/" TargetMode="External"/><Relationship Id="rId418" Type="http://schemas.openxmlformats.org/officeDocument/2006/relationships/hyperlink" Target="https://www.infomoney.com.br/cotacoes/western-dig-w1dc34/" TargetMode="External"/><Relationship Id="rId539" Type="http://schemas.openxmlformats.org/officeDocument/2006/relationships/hyperlink" Target="https://www.infomoney.com.br/cotacoes/oracle-orcl34/" TargetMode="External"/><Relationship Id="rId417" Type="http://schemas.openxmlformats.org/officeDocument/2006/relationships/hyperlink" Target="https://www.infomoney.com.br/cotacoes/western-dig-w1dc34f/" TargetMode="External"/><Relationship Id="rId538" Type="http://schemas.openxmlformats.org/officeDocument/2006/relationships/hyperlink" Target="https://www.infomoney.com.br/cotacoes/oracle-orcl34f/" TargetMode="External"/><Relationship Id="rId659" Type="http://schemas.openxmlformats.org/officeDocument/2006/relationships/hyperlink" Target="https://www.infomoney.com.br/cotacoes/renova-rnew11/" TargetMode="External"/><Relationship Id="rId416" Type="http://schemas.openxmlformats.org/officeDocument/2006/relationships/hyperlink" Target="https://www.infomoney.com.br/cotacoes/wec-energy-g-w1ec34/" TargetMode="External"/><Relationship Id="rId537" Type="http://schemas.openxmlformats.org/officeDocument/2006/relationships/hyperlink" Target="https://www.infomoney.com.br/cotacoes/qualcomm-qcom34/" TargetMode="External"/><Relationship Id="rId658" Type="http://schemas.openxmlformats.org/officeDocument/2006/relationships/hyperlink" Target="https://www.infomoney.com.br/cotacoes/sabesp-sbsp3/" TargetMode="External"/><Relationship Id="rId411" Type="http://schemas.openxmlformats.org/officeDocument/2006/relationships/hyperlink" Target="https://www.infomoney.com.br/cotacoes/whirlpool-co-w1hr34f/" TargetMode="External"/><Relationship Id="rId532" Type="http://schemas.openxmlformats.org/officeDocument/2006/relationships/hyperlink" Target="https://www.infomoney.com.br/cotacoes/totvs-tots3f/" TargetMode="External"/><Relationship Id="rId653" Type="http://schemas.openxmlformats.org/officeDocument/2006/relationships/hyperlink" Target="https://www.infomoney.com.br/cotacoes/engie-brasil-egie3/" TargetMode="External"/><Relationship Id="rId410" Type="http://schemas.openxmlformats.org/officeDocument/2006/relationships/hyperlink" Target="https://www.infomoney.com.br/cotacoes/willis-tower-w1lt34/" TargetMode="External"/><Relationship Id="rId531" Type="http://schemas.openxmlformats.org/officeDocument/2006/relationships/hyperlink" Target="https://www.infomoney.com.br/cotacoes/locaweb-lwsa3/" TargetMode="External"/><Relationship Id="rId652" Type="http://schemas.openxmlformats.org/officeDocument/2006/relationships/hyperlink" Target="https://www.infomoney.com.br/cotacoes/trans-paulista-trpl3/" TargetMode="External"/><Relationship Id="rId530" Type="http://schemas.openxmlformats.org/officeDocument/2006/relationships/hyperlink" Target="https://www.infomoney.com.br/cotacoes/bristolmyers-bmyb34/" TargetMode="External"/><Relationship Id="rId651" Type="http://schemas.openxmlformats.org/officeDocument/2006/relationships/hyperlink" Target="https://www.infomoney.com.br/cotacoes/trans-paulista-trpl3f/" TargetMode="External"/><Relationship Id="rId650" Type="http://schemas.openxmlformats.org/officeDocument/2006/relationships/hyperlink" Target="https://www.infomoney.com.br/cotacoes/trans-paulista-trpl4/" TargetMode="External"/><Relationship Id="rId206" Type="http://schemas.openxmlformats.org/officeDocument/2006/relationships/hyperlink" Target="https://www.infomoney.com.br/cotacoes/colgate-colg34/" TargetMode="External"/><Relationship Id="rId327" Type="http://schemas.openxmlformats.org/officeDocument/2006/relationships/hyperlink" Target="https://www.infomoney.com.br/cotacoes/banco-do-brasil-bbas11/" TargetMode="External"/><Relationship Id="rId448" Type="http://schemas.openxmlformats.org/officeDocument/2006/relationships/hyperlink" Target="https://www.infomoney.com.br/cotacoes/unitedhealth-unhh34f/" TargetMode="External"/><Relationship Id="rId569" Type="http://schemas.openxmlformats.org/officeDocument/2006/relationships/hyperlink" Target="https://www.infomoney.com.br/cotacoes/telef-brasil-vivt3/" TargetMode="External"/><Relationship Id="rId205" Type="http://schemas.openxmlformats.org/officeDocument/2006/relationships/hyperlink" Target="https://www.infomoney.com.br/cotacoes/colgate-colg34f/" TargetMode="External"/><Relationship Id="rId326" Type="http://schemas.openxmlformats.org/officeDocument/2006/relationships/hyperlink" Target="https://www.infomoney.com.br/cotacoes/banco-do-brasil-bbas12/" TargetMode="External"/><Relationship Id="rId447" Type="http://schemas.openxmlformats.org/officeDocument/2006/relationships/hyperlink" Target="https://www.infomoney.com.br/cotacoes/unionpacific-upac34/" TargetMode="External"/><Relationship Id="rId568" Type="http://schemas.openxmlformats.org/officeDocument/2006/relationships/hyperlink" Target="https://www.infomoney.com.br/cotacoes/telef-brasil-vivt3f/" TargetMode="External"/><Relationship Id="rId204" Type="http://schemas.openxmlformats.org/officeDocument/2006/relationships/hyperlink" Target="https://www.infomoney.com.br/cotacoes/pepsico-inc-pepb34/" TargetMode="External"/><Relationship Id="rId325" Type="http://schemas.openxmlformats.org/officeDocument/2006/relationships/hyperlink" Target="https://www.infomoney.com.br/cotacoes/banco-do-brasil-bbas3/" TargetMode="External"/><Relationship Id="rId446" Type="http://schemas.openxmlformats.org/officeDocument/2006/relationships/hyperlink" Target="https://www.infomoney.com.br/cotacoes/unionpacific-upac34f/" TargetMode="External"/><Relationship Id="rId567" Type="http://schemas.openxmlformats.org/officeDocument/2006/relationships/hyperlink" Target="https://www.infomoney.com.br/cotacoes/telef-brasil-vivt4/" TargetMode="External"/><Relationship Id="rId203" Type="http://schemas.openxmlformats.org/officeDocument/2006/relationships/hyperlink" Target="https://www.infomoney.com.br/cotacoes/pepsico-inc-pepb34f/" TargetMode="External"/><Relationship Id="rId324" Type="http://schemas.openxmlformats.org/officeDocument/2006/relationships/hyperlink" Target="https://www.infomoney.com.br/cotacoes/banco-do-brasil-bbas3f/" TargetMode="External"/><Relationship Id="rId445" Type="http://schemas.openxmlformats.org/officeDocument/2006/relationships/hyperlink" Target="https://www.infomoney.com.br/cotacoes/us-bancorp-usbc34/" TargetMode="External"/><Relationship Id="rId566" Type="http://schemas.openxmlformats.org/officeDocument/2006/relationships/hyperlink" Target="https://www.infomoney.com.br/cotacoes/telef-brasil-vivt4f/" TargetMode="External"/><Relationship Id="rId209" Type="http://schemas.openxmlformats.org/officeDocument/2006/relationships/hyperlink" Target="https://www.infomoney.com.br/cotacoes/avon-avon34f/" TargetMode="External"/><Relationship Id="rId208" Type="http://schemas.openxmlformats.org/officeDocument/2006/relationships/hyperlink" Target="https://www.infomoney.com.br/cotacoes/coca-cola-coca34/" TargetMode="External"/><Relationship Id="rId329" Type="http://schemas.openxmlformats.org/officeDocument/2006/relationships/hyperlink" Target="https://www.infomoney.com.br/cotacoes/celulose-irani-rani3f/" TargetMode="External"/><Relationship Id="rId207" Type="http://schemas.openxmlformats.org/officeDocument/2006/relationships/hyperlink" Target="https://www.infomoney.com.br/cotacoes/coca-cola-coca34f/" TargetMode="External"/><Relationship Id="rId328" Type="http://schemas.openxmlformats.org/officeDocument/2006/relationships/hyperlink" Target="https://www.infomoney.com.br/cotacoes/american-exp-axpb34/" TargetMode="External"/><Relationship Id="rId449" Type="http://schemas.openxmlformats.org/officeDocument/2006/relationships/hyperlink" Target="https://www.infomoney.com.br/cotacoes/unitedhealth-unhh34/" TargetMode="External"/><Relationship Id="rId440" Type="http://schemas.openxmlformats.org/officeDocument/2006/relationships/hyperlink" Target="https://www.infomoney.com.br/cotacoes/vulcan-mater-v1mc34/" TargetMode="External"/><Relationship Id="rId561" Type="http://schemas.openxmlformats.org/officeDocument/2006/relationships/hyperlink" Target="https://www.infomoney.com.br/cotacoes/oi-oibr4f/" TargetMode="External"/><Relationship Id="rId560" Type="http://schemas.openxmlformats.org/officeDocument/2006/relationships/hyperlink" Target="https://www.infomoney.com.br/cotacoes/verizon-verz34/" TargetMode="External"/><Relationship Id="rId202" Type="http://schemas.openxmlformats.org/officeDocument/2006/relationships/hyperlink" Target="https://www.infomoney.com.br/cotacoes/procter-gamble-pgco34f/" TargetMode="External"/><Relationship Id="rId323" Type="http://schemas.openxmlformats.org/officeDocument/2006/relationships/hyperlink" Target="https://www.infomoney.com.br/cotacoes/banco-pan-bpan4/" TargetMode="External"/><Relationship Id="rId444" Type="http://schemas.openxmlformats.org/officeDocument/2006/relationships/hyperlink" Target="https://www.infomoney.com.br/cotacoes/us-bancorp-usbc34f/" TargetMode="External"/><Relationship Id="rId565" Type="http://schemas.openxmlformats.org/officeDocument/2006/relationships/hyperlink" Target="https://www.infomoney.com.br/cotacoes/tim-participacoes-timp3/" TargetMode="External"/><Relationship Id="rId201" Type="http://schemas.openxmlformats.org/officeDocument/2006/relationships/hyperlink" Target="https://www.infomoney.com.br/cotacoes/starbucks-sbub34f/" TargetMode="External"/><Relationship Id="rId322" Type="http://schemas.openxmlformats.org/officeDocument/2006/relationships/hyperlink" Target="https://www.infomoney.com.br/cotacoes/bb-seguridade-bbse3/" TargetMode="External"/><Relationship Id="rId443" Type="http://schemas.openxmlformats.org/officeDocument/2006/relationships/hyperlink" Target="https://www.infomoney.com.br/cotacoes/us-steel-ussx34f/" TargetMode="External"/><Relationship Id="rId564" Type="http://schemas.openxmlformats.org/officeDocument/2006/relationships/hyperlink" Target="https://www.infomoney.com.br/cotacoes/tim-participacoes-timp3f/" TargetMode="External"/><Relationship Id="rId200" Type="http://schemas.openxmlformats.org/officeDocument/2006/relationships/hyperlink" Target="https://www.infomoney.com.br/cotacoes/wal-mart-walm34/" TargetMode="External"/><Relationship Id="rId321" Type="http://schemas.openxmlformats.org/officeDocument/2006/relationships/hyperlink" Target="https://www.infomoney.com.br/cotacoes/alper-aper3/" TargetMode="External"/><Relationship Id="rId442" Type="http://schemas.openxmlformats.org/officeDocument/2006/relationships/hyperlink" Target="https://www.infomoney.com.br/cotacoes/varian-medic-v1ar34/" TargetMode="External"/><Relationship Id="rId563" Type="http://schemas.openxmlformats.org/officeDocument/2006/relationships/hyperlink" Target="https://www.infomoney.com.br/cotacoes/oi-oibr3f/" TargetMode="External"/><Relationship Id="rId320" Type="http://schemas.openxmlformats.org/officeDocument/2006/relationships/hyperlink" Target="https://www.infomoney.com.br/cotacoes/alper-aper1/" TargetMode="External"/><Relationship Id="rId441" Type="http://schemas.openxmlformats.org/officeDocument/2006/relationships/hyperlink" Target="https://www.infomoney.com.br/cotacoes/varian-medic-v1ar34f/" TargetMode="External"/><Relationship Id="rId562" Type="http://schemas.openxmlformats.org/officeDocument/2006/relationships/hyperlink" Target="https://www.infomoney.com.br/cotacoes/oi-oibr4/" TargetMode="External"/><Relationship Id="rId316" Type="http://schemas.openxmlformats.org/officeDocument/2006/relationships/hyperlink" Target="https://www.infomoney.com.br/cotacoes/bradesco-bbdc4f/" TargetMode="External"/><Relationship Id="rId437" Type="http://schemas.openxmlformats.org/officeDocument/2006/relationships/hyperlink" Target="https://www.infomoney.com.br/cotacoes/vornado-real-v1no34f/" TargetMode="External"/><Relationship Id="rId558" Type="http://schemas.openxmlformats.org/officeDocument/2006/relationships/hyperlink" Target="https://www.infomoney.com.br/cotacoes/ebay-ebay34/" TargetMode="External"/><Relationship Id="rId315" Type="http://schemas.openxmlformats.org/officeDocument/2006/relationships/hyperlink" Target="https://www.infomoney.com.br/cotacoes/iguatemi-igta3/" TargetMode="External"/><Relationship Id="rId436" Type="http://schemas.openxmlformats.org/officeDocument/2006/relationships/hyperlink" Target="https://www.infomoney.com.br/cotacoes/verisk-analy-v1rs34/" TargetMode="External"/><Relationship Id="rId557" Type="http://schemas.openxmlformats.org/officeDocument/2006/relationships/hyperlink" Target="https://www.infomoney.com.br/cotacoes/positivo-tecnologia-posi3/" TargetMode="External"/><Relationship Id="rId314" Type="http://schemas.openxmlformats.org/officeDocument/2006/relationships/hyperlink" Target="https://www.infomoney.com.br/cotacoes/irb-brasil-irbr3/" TargetMode="External"/><Relationship Id="rId435" Type="http://schemas.openxmlformats.org/officeDocument/2006/relationships/hyperlink" Target="https://www.infomoney.com.br/cotacoes/verisk-analy-v1rs34f/" TargetMode="External"/><Relationship Id="rId556" Type="http://schemas.openxmlformats.org/officeDocument/2006/relationships/hyperlink" Target="https://www.infomoney.com.br/cotacoes/positivo-tecnologia-posi3f/" TargetMode="External"/><Relationship Id="rId313" Type="http://schemas.openxmlformats.org/officeDocument/2006/relationships/hyperlink" Target="https://www.infomoney.com.br/cotacoes/itausa-itsa3f/" TargetMode="External"/><Relationship Id="rId434" Type="http://schemas.openxmlformats.org/officeDocument/2006/relationships/hyperlink" Target="https://www.infomoney.com.br/cotacoes/ventas-inc-v1ta34/" TargetMode="External"/><Relationship Id="rId555" Type="http://schemas.openxmlformats.org/officeDocument/2006/relationships/hyperlink" Target="https://www.infomoney.com.br/cotacoes/linx-linx3/" TargetMode="External"/><Relationship Id="rId319" Type="http://schemas.openxmlformats.org/officeDocument/2006/relationships/hyperlink" Target="https://www.infomoney.com.br/cotacoes/brmalls-brml3/" TargetMode="External"/><Relationship Id="rId318" Type="http://schemas.openxmlformats.org/officeDocument/2006/relationships/hyperlink" Target="https://www.infomoney.com.br/cotacoes/bradesco-bbdc3/" TargetMode="External"/><Relationship Id="rId439" Type="http://schemas.openxmlformats.org/officeDocument/2006/relationships/hyperlink" Target="https://www.infomoney.com.br/cotacoes/vulcan-mater-v1mc34f/" TargetMode="External"/><Relationship Id="rId317" Type="http://schemas.openxmlformats.org/officeDocument/2006/relationships/hyperlink" Target="https://www.infomoney.com.br/cotacoes/bradesco-bbdc4/" TargetMode="External"/><Relationship Id="rId438" Type="http://schemas.openxmlformats.org/officeDocument/2006/relationships/hyperlink" Target="https://www.infomoney.com.br/cotacoes/vornado-real-v1no34/" TargetMode="External"/><Relationship Id="rId559" Type="http://schemas.openxmlformats.org/officeDocument/2006/relationships/hyperlink" Target="https://www.infomoney.com.br/cotacoes/verizon-verz34f/" TargetMode="External"/><Relationship Id="rId550" Type="http://schemas.openxmlformats.org/officeDocument/2006/relationships/hyperlink" Target="https://www.infomoney.com.br/cotacoes/cisco-csco34/" TargetMode="External"/><Relationship Id="rId670" Type="http://schemas.openxmlformats.org/officeDocument/2006/relationships/drawing" Target="../drawings/drawing1.xml"/><Relationship Id="rId312" Type="http://schemas.openxmlformats.org/officeDocument/2006/relationships/hyperlink" Target="https://www.infomoney.com.br/cotacoes/itausa-itsa4/" TargetMode="External"/><Relationship Id="rId433" Type="http://schemas.openxmlformats.org/officeDocument/2006/relationships/hyperlink" Target="https://www.infomoney.com.br/cotacoes/ventas-inc-v1ta34f/" TargetMode="External"/><Relationship Id="rId554" Type="http://schemas.openxmlformats.org/officeDocument/2006/relationships/hyperlink" Target="https://www.infomoney.com.br/cotacoes/linx-linx3f/" TargetMode="External"/><Relationship Id="rId311" Type="http://schemas.openxmlformats.org/officeDocument/2006/relationships/hyperlink" Target="https://www.infomoney.com.br/cotacoes/itausa-itsa4f/" TargetMode="External"/><Relationship Id="rId432" Type="http://schemas.openxmlformats.org/officeDocument/2006/relationships/hyperlink" Target="https://www.infomoney.com.br/cotacoes/vf-corp-vfco34/" TargetMode="External"/><Relationship Id="rId553" Type="http://schemas.openxmlformats.org/officeDocument/2006/relationships/hyperlink" Target="https://www.infomoney.com.br/cotacoes/apple-aapl34/" TargetMode="External"/><Relationship Id="rId310" Type="http://schemas.openxmlformats.org/officeDocument/2006/relationships/hyperlink" Target="https://www.infomoney.com.br/cotacoes/log-logg3/" TargetMode="External"/><Relationship Id="rId431" Type="http://schemas.openxmlformats.org/officeDocument/2006/relationships/hyperlink" Target="https://www.infomoney.com.br/cotacoes/vf-corp-vfco34f/" TargetMode="External"/><Relationship Id="rId552" Type="http://schemas.openxmlformats.org/officeDocument/2006/relationships/hyperlink" Target="https://www.infomoney.com.br/cotacoes/apple-aapl34f/" TargetMode="External"/><Relationship Id="rId430" Type="http://schemas.openxmlformats.org/officeDocument/2006/relationships/hyperlink" Target="https://www.infomoney.com.br/cotacoes/valero-ener-vloe34/" TargetMode="External"/><Relationship Id="rId551" Type="http://schemas.openxmlformats.org/officeDocument/2006/relationships/hyperlink" Target="https://www.infomoney.com.br/cotacoes/att-inc-attb34f/"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infomoney.com.br/cotacoes/whirlpool-whrl3f/" TargetMode="External"/><Relationship Id="rId3" Type="http://schemas.openxmlformats.org/officeDocument/2006/relationships/hyperlink" Target="https://www.infomoney.com.br/cotacoes/whirlpool-whrl4/" TargetMode="External"/><Relationship Id="rId4" Type="http://schemas.openxmlformats.org/officeDocument/2006/relationships/hyperlink" Target="https://www.infomoney.com.br/cotacoes/viavarejo-vvar3f/" TargetMode="External"/><Relationship Id="rId9" Type="http://schemas.openxmlformats.org/officeDocument/2006/relationships/hyperlink" Target="https://www.infomoney.com.br/cotacoes/uber-tech-in-u1be34f/" TargetMode="External"/><Relationship Id="rId5" Type="http://schemas.openxmlformats.org/officeDocument/2006/relationships/hyperlink" Target="https://www.infomoney.com.br/cotacoes/terniumsa-txsa34f/" TargetMode="External"/><Relationship Id="rId6" Type="http://schemas.openxmlformats.org/officeDocument/2006/relationships/hyperlink" Target="https://www.infomoney.com.br/cotacoes/terniumsa-txsa34/" TargetMode="External"/><Relationship Id="rId7" Type="http://schemas.openxmlformats.org/officeDocument/2006/relationships/hyperlink" Target="https://www.infomoney.com.br/cotacoes/under-armour-u1ai34f/" TargetMode="External"/><Relationship Id="rId8" Type="http://schemas.openxmlformats.org/officeDocument/2006/relationships/hyperlink" Target="https://www.infomoney.com.br/cotacoes/under-armour-u1ai34/" TargetMode="External"/><Relationship Id="rId40" Type="http://schemas.openxmlformats.org/officeDocument/2006/relationships/hyperlink" Target="https://www.infomoney.com.br/cotacoes/zoetis-inc-z1ts34/" TargetMode="External"/><Relationship Id="rId42" Type="http://schemas.openxmlformats.org/officeDocument/2006/relationships/hyperlink" Target="https://www.infomoney.com.br/cotacoes/freeport-fcxo34/" TargetMode="External"/><Relationship Id="rId41" Type="http://schemas.openxmlformats.org/officeDocument/2006/relationships/hyperlink" Target="https://www.infomoney.com.br/cotacoes/zoetis-inc-z1ts34f/" TargetMode="External"/><Relationship Id="rId44" Type="http://schemas.openxmlformats.org/officeDocument/2006/relationships/hyperlink" Target="https://www.infomoney.com.br/cotacoes/bb-seguridade-bbse3/" TargetMode="External"/><Relationship Id="rId43" Type="http://schemas.openxmlformats.org/officeDocument/2006/relationships/hyperlink" Target="https://www.infomoney.com.br/cotacoes/freeport-mcmoran-fcxo34f/" TargetMode="External"/><Relationship Id="rId46" Type="http://schemas.openxmlformats.org/officeDocument/2006/relationships/hyperlink" Target="https://www.infomoney.com.br/cotacoes/3m-mmmc34f/" TargetMode="External"/><Relationship Id="rId45" Type="http://schemas.openxmlformats.org/officeDocument/2006/relationships/hyperlink" Target="https://www.infomoney.com.br/cotacoes/3m-mmmc34/" TargetMode="External"/><Relationship Id="rId48" Type="http://schemas.openxmlformats.org/officeDocument/2006/relationships/hyperlink" Target="https://www.infomoney.com.br/cotacoes/citigroup-ctgp34/" TargetMode="External"/><Relationship Id="rId47" Type="http://schemas.openxmlformats.org/officeDocument/2006/relationships/hyperlink" Target="https://www.infomoney.com.br/cotacoes/bank-america-boac34/" TargetMode="External"/><Relationship Id="rId49" Type="http://schemas.openxmlformats.org/officeDocument/2006/relationships/hyperlink" Target="https://www.infomoney.com.br/cotacoes/goldman-sachs-gsgi34/" TargetMode="External"/><Relationship Id="rId31" Type="http://schemas.openxmlformats.org/officeDocument/2006/relationships/hyperlink" Target="https://www.infomoney.com.br/cotacoes/xylem-inc-x1yl34f/" TargetMode="External"/><Relationship Id="rId30" Type="http://schemas.openxmlformats.org/officeDocument/2006/relationships/hyperlink" Target="https://www.infomoney.com.br/cotacoes/xylem-inc-x1yl34/" TargetMode="External"/><Relationship Id="rId33" Type="http://schemas.openxmlformats.org/officeDocument/2006/relationships/hyperlink" Target="https://www.infomoney.com.br/cotacoes/dentsply-sir-xray34f/" TargetMode="External"/><Relationship Id="rId32" Type="http://schemas.openxmlformats.org/officeDocument/2006/relationships/hyperlink" Target="https://www.infomoney.com.br/cotacoes/dentsply-sir-xray34/" TargetMode="External"/><Relationship Id="rId35" Type="http://schemas.openxmlformats.org/officeDocument/2006/relationships/hyperlink" Target="https://www.infomoney.com.br/cotacoes/yum-brands-yumr34f/" TargetMode="External"/><Relationship Id="rId34" Type="http://schemas.openxmlformats.org/officeDocument/2006/relationships/hyperlink" Target="https://www.infomoney.com.br/cotacoes/yum-brands-yumr34/" TargetMode="External"/><Relationship Id="rId37" Type="http://schemas.openxmlformats.org/officeDocument/2006/relationships/hyperlink" Target="https://www.infomoney.com.br/cotacoes/zimmer-biome-z1bh34f/" TargetMode="External"/><Relationship Id="rId36" Type="http://schemas.openxmlformats.org/officeDocument/2006/relationships/hyperlink" Target="https://www.infomoney.com.br/cotacoes/zimmer-biome-z1bh34/" TargetMode="External"/><Relationship Id="rId39" Type="http://schemas.openxmlformats.org/officeDocument/2006/relationships/hyperlink" Target="https://www.infomoney.com.br/cotacoes/zionsbancorp-z1io34f/" TargetMode="External"/><Relationship Id="rId38" Type="http://schemas.openxmlformats.org/officeDocument/2006/relationships/hyperlink" Target="https://www.infomoney.com.br/cotacoes/zionsbancorp-z1io34/" TargetMode="External"/><Relationship Id="rId20" Type="http://schemas.openxmlformats.org/officeDocument/2006/relationships/hyperlink" Target="https://www.infomoney.com.br/cotacoes/unitedhealth-unhh34/" TargetMode="External"/><Relationship Id="rId22" Type="http://schemas.openxmlformats.org/officeDocument/2006/relationships/hyperlink" Target="https://www.infomoney.com.br/cotacoes/home-depot-home34/" TargetMode="External"/><Relationship Id="rId21" Type="http://schemas.openxmlformats.org/officeDocument/2006/relationships/hyperlink" Target="https://www.infomoney.com.br/cotacoes/home-depot-home34f/" TargetMode="External"/><Relationship Id="rId24" Type="http://schemas.openxmlformats.org/officeDocument/2006/relationships/hyperlink" Target="https://www.infomoney.com.br/cotacoes/ford-motors-fdmo34/" TargetMode="External"/><Relationship Id="rId23" Type="http://schemas.openxmlformats.org/officeDocument/2006/relationships/hyperlink" Target="https://www.infomoney.com.br/cotacoes/ford-motors-fdmo34f/" TargetMode="External"/><Relationship Id="rId26" Type="http://schemas.openxmlformats.org/officeDocument/2006/relationships/hyperlink" Target="https://www.infomoney.com.br/cotacoes/comcast-cmcs34f/" TargetMode="External"/><Relationship Id="rId25" Type="http://schemas.openxmlformats.org/officeDocument/2006/relationships/hyperlink" Target="https://www.infomoney.com.br/cotacoes/comcast-cmcs34f/" TargetMode="External"/><Relationship Id="rId28" Type="http://schemas.openxmlformats.org/officeDocument/2006/relationships/hyperlink" Target="https://www.infomoney.com.br/cotacoes/xilinx-inc-x1ln34/" TargetMode="External"/><Relationship Id="rId27" Type="http://schemas.openxmlformats.org/officeDocument/2006/relationships/hyperlink" Target="https://www.infomoney.com.br/cotacoes/amazon-amzo34f/" TargetMode="External"/><Relationship Id="rId29" Type="http://schemas.openxmlformats.org/officeDocument/2006/relationships/hyperlink" Target="https://www.infomoney.com.br/cotacoes/xilinx-inc-x1ln34f/" TargetMode="External"/><Relationship Id="rId11" Type="http://schemas.openxmlformats.org/officeDocument/2006/relationships/hyperlink" Target="https://www.infomoney.com.br/cotacoes/udr-inc-u1dr34f/" TargetMode="External"/><Relationship Id="rId10" Type="http://schemas.openxmlformats.org/officeDocument/2006/relationships/hyperlink" Target="https://www.infomoney.com.br/cotacoes/uber-tech-in-u1be34/" TargetMode="External"/><Relationship Id="rId13" Type="http://schemas.openxmlformats.org/officeDocument/2006/relationships/hyperlink" Target="https://www.infomoney.com.br/cotacoes/universal-he-u1hs34f/" TargetMode="External"/><Relationship Id="rId12" Type="http://schemas.openxmlformats.org/officeDocument/2006/relationships/hyperlink" Target="https://www.infomoney.com.br/cotacoes/udr-inc-u1dr34/" TargetMode="External"/><Relationship Id="rId15" Type="http://schemas.openxmlformats.org/officeDocument/2006/relationships/hyperlink" Target="https://www.infomoney.com.br/cotacoes/ulta-beauty-u1lt34f/" TargetMode="External"/><Relationship Id="rId14" Type="http://schemas.openxmlformats.org/officeDocument/2006/relationships/hyperlink" Target="https://www.infomoney.com.br/cotacoes/universal-he-u1hs34/" TargetMode="External"/><Relationship Id="rId17" Type="http://schemas.openxmlformats.org/officeDocument/2006/relationships/hyperlink" Target="https://www.infomoney.com.br/cotacoes/unum-group-u1nm34f/" TargetMode="External"/><Relationship Id="rId16" Type="http://schemas.openxmlformats.org/officeDocument/2006/relationships/hyperlink" Target="https://www.infomoney.com.br/cotacoes/ulta-beauty-u1lt34/" TargetMode="External"/><Relationship Id="rId19" Type="http://schemas.openxmlformats.org/officeDocument/2006/relationships/hyperlink" Target="https://www.infomoney.com.br/cotacoes/unitedhealth-unhh34f/" TargetMode="External"/><Relationship Id="rId18" Type="http://schemas.openxmlformats.org/officeDocument/2006/relationships/hyperlink" Target="https://www.infomoney.com.br/cotacoes/unum-group-u1nm34/" TargetMode="External"/><Relationship Id="rId71" Type="http://schemas.openxmlformats.org/officeDocument/2006/relationships/vmlDrawing" Target="../drawings/vmlDrawing1.vml"/><Relationship Id="rId70" Type="http://schemas.openxmlformats.org/officeDocument/2006/relationships/drawing" Target="../drawings/drawing2.xml"/><Relationship Id="rId62" Type="http://schemas.openxmlformats.org/officeDocument/2006/relationships/hyperlink" Target="https://www.infomoney.com.br/cotacoes/wells-fargo-wfco34/" TargetMode="External"/><Relationship Id="rId61" Type="http://schemas.openxmlformats.org/officeDocument/2006/relationships/hyperlink" Target="https://www.infomoney.com.br/cotacoes/visa-inc-visa34/" TargetMode="External"/><Relationship Id="rId64" Type="http://schemas.openxmlformats.org/officeDocument/2006/relationships/hyperlink" Target="https://www.infomoney.com.br/cotacoes/procter-gamble-pgco34/" TargetMode="External"/><Relationship Id="rId63" Type="http://schemas.openxmlformats.org/officeDocument/2006/relationships/hyperlink" Target="https://www.infomoney.com.br/cotacoes/wells-fargo-wfco34f/" TargetMode="External"/><Relationship Id="rId66" Type="http://schemas.openxmlformats.org/officeDocument/2006/relationships/hyperlink" Target="https://www.infomoney.com.br/cotacoes/colgate-colg34/" TargetMode="External"/><Relationship Id="rId65" Type="http://schemas.openxmlformats.org/officeDocument/2006/relationships/hyperlink" Target="https://www.infomoney.com.br/cotacoes/coca-cola-coca34/" TargetMode="External"/><Relationship Id="rId68" Type="http://schemas.openxmlformats.org/officeDocument/2006/relationships/hyperlink" Target="https://www.infomoney.com.br/cotacoes/wal-mart-walm34f/" TargetMode="External"/><Relationship Id="rId67" Type="http://schemas.openxmlformats.org/officeDocument/2006/relationships/hyperlink" Target="https://www.infomoney.com.br/cotacoes/pepsico-inc-pepb34/" TargetMode="External"/><Relationship Id="rId60" Type="http://schemas.openxmlformats.org/officeDocument/2006/relationships/hyperlink" Target="https://www.infomoney.com.br/cotacoes/morgan-stanley-msbr34f/" TargetMode="External"/><Relationship Id="rId69" Type="http://schemas.openxmlformats.org/officeDocument/2006/relationships/hyperlink" Target="https://www.infomoney.com.br/cotacoes/wal-mart-walm34/" TargetMode="External"/><Relationship Id="rId51" Type="http://schemas.openxmlformats.org/officeDocument/2006/relationships/hyperlink" Target="https://www.infomoney.com.br/cotacoes/ge-geoo34/" TargetMode="External"/><Relationship Id="rId50" Type="http://schemas.openxmlformats.org/officeDocument/2006/relationships/hyperlink" Target="https://www.infomoney.com.br/cotacoes/goldman-sachs-gsgi34f/" TargetMode="External"/><Relationship Id="rId53" Type="http://schemas.openxmlformats.org/officeDocument/2006/relationships/hyperlink" Target="https://www.infomoney.com.br/cotacoes/honeywell-honb34/" TargetMode="External"/><Relationship Id="rId52" Type="http://schemas.openxmlformats.org/officeDocument/2006/relationships/hyperlink" Target="https://www.infomoney.com.br/cotacoes/ge-geoo34f/" TargetMode="External"/><Relationship Id="rId55" Type="http://schemas.openxmlformats.org/officeDocument/2006/relationships/hyperlink" Target="https://www.infomoney.com.br/cotacoes/jpmorgan-jpmc34/" TargetMode="External"/><Relationship Id="rId54" Type="http://schemas.openxmlformats.org/officeDocument/2006/relationships/hyperlink" Target="https://www.infomoney.com.br/cotacoes/honeywell-honb34f/" TargetMode="External"/><Relationship Id="rId57" Type="http://schemas.openxmlformats.org/officeDocument/2006/relationships/hyperlink" Target="https://www.infomoney.com.br/cotacoes/mastercard-mscd34/" TargetMode="External"/><Relationship Id="rId56" Type="http://schemas.openxmlformats.org/officeDocument/2006/relationships/hyperlink" Target="https://www.infomoney.com.br/cotacoes/jpmorgan-jpmc34f/" TargetMode="External"/><Relationship Id="rId59" Type="http://schemas.openxmlformats.org/officeDocument/2006/relationships/hyperlink" Target="https://www.infomoney.com.br/cotacoes/morgan-stanley-msbr34f/" TargetMode="External"/><Relationship Id="rId58" Type="http://schemas.openxmlformats.org/officeDocument/2006/relationships/hyperlink" Target="https://www.infomoney.com.br/cotacoes/mastercard-mscd34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infomoney.com.br/cotacoes/whirlpool-whrl3f/" TargetMode="External"/><Relationship Id="rId2" Type="http://schemas.openxmlformats.org/officeDocument/2006/relationships/hyperlink" Target="https://www.infomoney.com.br/cotacoes/whirlpool-whrl4/" TargetMode="External"/><Relationship Id="rId3" Type="http://schemas.openxmlformats.org/officeDocument/2006/relationships/hyperlink" Target="https://www.infomoney.com.br/cotacoes/viavarejo-vvar3f/" TargetMode="External"/><Relationship Id="rId4" Type="http://schemas.openxmlformats.org/officeDocument/2006/relationships/hyperlink" Target="https://www.infomoney.com.br/cotacoes/terniumsa-txsa34f/" TargetMode="External"/><Relationship Id="rId9" Type="http://schemas.openxmlformats.org/officeDocument/2006/relationships/hyperlink" Target="https://www.infomoney.com.br/cotacoes/uber-tech-in-u1be34/" TargetMode="External"/><Relationship Id="rId5" Type="http://schemas.openxmlformats.org/officeDocument/2006/relationships/hyperlink" Target="https://www.infomoney.com.br/cotacoes/terniumsa-txsa34/" TargetMode="External"/><Relationship Id="rId6" Type="http://schemas.openxmlformats.org/officeDocument/2006/relationships/hyperlink" Target="https://www.infomoney.com.br/cotacoes/under-armour-u1ai34f/" TargetMode="External"/><Relationship Id="rId7" Type="http://schemas.openxmlformats.org/officeDocument/2006/relationships/hyperlink" Target="https://www.infomoney.com.br/cotacoes/under-armour-u1ai34/" TargetMode="External"/><Relationship Id="rId8" Type="http://schemas.openxmlformats.org/officeDocument/2006/relationships/hyperlink" Target="https://www.infomoney.com.br/cotacoes/uber-tech-in-u1be34f/" TargetMode="External"/><Relationship Id="rId40" Type="http://schemas.openxmlformats.org/officeDocument/2006/relationships/hyperlink" Target="https://www.infomoney.com.br/cotacoes/zoetis-inc-z1ts34f/" TargetMode="External"/><Relationship Id="rId42" Type="http://schemas.openxmlformats.org/officeDocument/2006/relationships/hyperlink" Target="https://www.infomoney.com.br/cotacoes/freeport-mcmoran-fcxo34f/" TargetMode="External"/><Relationship Id="rId41" Type="http://schemas.openxmlformats.org/officeDocument/2006/relationships/hyperlink" Target="https://www.infomoney.com.br/cotacoes/freeport-fcxo34/" TargetMode="External"/><Relationship Id="rId44" Type="http://schemas.openxmlformats.org/officeDocument/2006/relationships/hyperlink" Target="https://www.infomoney.com.br/cotacoes/3m-mmmc34/" TargetMode="External"/><Relationship Id="rId43" Type="http://schemas.openxmlformats.org/officeDocument/2006/relationships/hyperlink" Target="https://www.infomoney.com.br/cotacoes/bb-seguridade-bbse3/" TargetMode="External"/><Relationship Id="rId46" Type="http://schemas.openxmlformats.org/officeDocument/2006/relationships/hyperlink" Target="https://www.infomoney.com.br/cotacoes/bank-america-boac34/" TargetMode="External"/><Relationship Id="rId45" Type="http://schemas.openxmlformats.org/officeDocument/2006/relationships/hyperlink" Target="https://www.infomoney.com.br/cotacoes/3m-mmmc34f/" TargetMode="External"/><Relationship Id="rId48" Type="http://schemas.openxmlformats.org/officeDocument/2006/relationships/hyperlink" Target="https://www.infomoney.com.br/cotacoes/goldman-sachs-gsgi34/" TargetMode="External"/><Relationship Id="rId47" Type="http://schemas.openxmlformats.org/officeDocument/2006/relationships/hyperlink" Target="https://www.infomoney.com.br/cotacoes/citigroup-ctgp34/" TargetMode="External"/><Relationship Id="rId49" Type="http://schemas.openxmlformats.org/officeDocument/2006/relationships/hyperlink" Target="https://www.infomoney.com.br/cotacoes/goldman-sachs-gsgi34f/" TargetMode="External"/><Relationship Id="rId31" Type="http://schemas.openxmlformats.org/officeDocument/2006/relationships/hyperlink" Target="https://www.infomoney.com.br/cotacoes/dentsply-sir-xray34/" TargetMode="External"/><Relationship Id="rId30" Type="http://schemas.openxmlformats.org/officeDocument/2006/relationships/hyperlink" Target="https://www.infomoney.com.br/cotacoes/xylem-inc-x1yl34f/" TargetMode="External"/><Relationship Id="rId33" Type="http://schemas.openxmlformats.org/officeDocument/2006/relationships/hyperlink" Target="https://www.infomoney.com.br/cotacoes/yum-brands-yumr34/" TargetMode="External"/><Relationship Id="rId32" Type="http://schemas.openxmlformats.org/officeDocument/2006/relationships/hyperlink" Target="https://www.infomoney.com.br/cotacoes/dentsply-sir-xray34f/" TargetMode="External"/><Relationship Id="rId35" Type="http://schemas.openxmlformats.org/officeDocument/2006/relationships/hyperlink" Target="https://www.infomoney.com.br/cotacoes/zimmer-biome-z1bh34/" TargetMode="External"/><Relationship Id="rId34" Type="http://schemas.openxmlformats.org/officeDocument/2006/relationships/hyperlink" Target="https://www.infomoney.com.br/cotacoes/yum-brands-yumr34f/" TargetMode="External"/><Relationship Id="rId37" Type="http://schemas.openxmlformats.org/officeDocument/2006/relationships/hyperlink" Target="https://www.infomoney.com.br/cotacoes/zionsbancorp-z1io34/" TargetMode="External"/><Relationship Id="rId36" Type="http://schemas.openxmlformats.org/officeDocument/2006/relationships/hyperlink" Target="https://www.infomoney.com.br/cotacoes/zimmer-biome-z1bh34f/" TargetMode="External"/><Relationship Id="rId39" Type="http://schemas.openxmlformats.org/officeDocument/2006/relationships/hyperlink" Target="https://www.infomoney.com.br/cotacoes/zoetis-inc-z1ts34/" TargetMode="External"/><Relationship Id="rId38" Type="http://schemas.openxmlformats.org/officeDocument/2006/relationships/hyperlink" Target="https://www.infomoney.com.br/cotacoes/zionsbancorp-z1io34f/" TargetMode="External"/><Relationship Id="rId20" Type="http://schemas.openxmlformats.org/officeDocument/2006/relationships/hyperlink" Target="https://www.infomoney.com.br/cotacoes/home-depot-home34f/" TargetMode="External"/><Relationship Id="rId22" Type="http://schemas.openxmlformats.org/officeDocument/2006/relationships/hyperlink" Target="https://www.infomoney.com.br/cotacoes/ford-motors-fdmo34f/" TargetMode="External"/><Relationship Id="rId21" Type="http://schemas.openxmlformats.org/officeDocument/2006/relationships/hyperlink" Target="https://www.infomoney.com.br/cotacoes/home-depot-home34/" TargetMode="External"/><Relationship Id="rId24" Type="http://schemas.openxmlformats.org/officeDocument/2006/relationships/hyperlink" Target="https://www.infomoney.com.br/cotacoes/comcast-cmcs34f/" TargetMode="External"/><Relationship Id="rId23" Type="http://schemas.openxmlformats.org/officeDocument/2006/relationships/hyperlink" Target="https://www.infomoney.com.br/cotacoes/ford-motors-fdmo34/" TargetMode="External"/><Relationship Id="rId26" Type="http://schemas.openxmlformats.org/officeDocument/2006/relationships/hyperlink" Target="https://www.infomoney.com.br/cotacoes/amazon-amzo34f/" TargetMode="External"/><Relationship Id="rId25" Type="http://schemas.openxmlformats.org/officeDocument/2006/relationships/hyperlink" Target="https://www.infomoney.com.br/cotacoes/comcast-cmcs34f/" TargetMode="External"/><Relationship Id="rId28" Type="http://schemas.openxmlformats.org/officeDocument/2006/relationships/hyperlink" Target="https://www.infomoney.com.br/cotacoes/xilinx-inc-x1ln34f/" TargetMode="External"/><Relationship Id="rId27" Type="http://schemas.openxmlformats.org/officeDocument/2006/relationships/hyperlink" Target="https://www.infomoney.com.br/cotacoes/xilinx-inc-x1ln34/" TargetMode="External"/><Relationship Id="rId29" Type="http://schemas.openxmlformats.org/officeDocument/2006/relationships/hyperlink" Target="https://www.infomoney.com.br/cotacoes/xylem-inc-x1yl34/" TargetMode="External"/><Relationship Id="rId11" Type="http://schemas.openxmlformats.org/officeDocument/2006/relationships/hyperlink" Target="https://www.infomoney.com.br/cotacoes/udr-inc-u1dr34/" TargetMode="External"/><Relationship Id="rId10" Type="http://schemas.openxmlformats.org/officeDocument/2006/relationships/hyperlink" Target="https://www.infomoney.com.br/cotacoes/udr-inc-u1dr34f/" TargetMode="External"/><Relationship Id="rId13" Type="http://schemas.openxmlformats.org/officeDocument/2006/relationships/hyperlink" Target="https://www.infomoney.com.br/cotacoes/universal-he-u1hs34/" TargetMode="External"/><Relationship Id="rId12" Type="http://schemas.openxmlformats.org/officeDocument/2006/relationships/hyperlink" Target="https://www.infomoney.com.br/cotacoes/universal-he-u1hs34f/" TargetMode="External"/><Relationship Id="rId15" Type="http://schemas.openxmlformats.org/officeDocument/2006/relationships/hyperlink" Target="https://www.infomoney.com.br/cotacoes/ulta-beauty-u1lt34/" TargetMode="External"/><Relationship Id="rId14" Type="http://schemas.openxmlformats.org/officeDocument/2006/relationships/hyperlink" Target="https://www.infomoney.com.br/cotacoes/ulta-beauty-u1lt34f/" TargetMode="External"/><Relationship Id="rId17" Type="http://schemas.openxmlformats.org/officeDocument/2006/relationships/hyperlink" Target="https://www.infomoney.com.br/cotacoes/unum-group-u1nm34/" TargetMode="External"/><Relationship Id="rId16" Type="http://schemas.openxmlformats.org/officeDocument/2006/relationships/hyperlink" Target="https://www.infomoney.com.br/cotacoes/unum-group-u1nm34f/" TargetMode="External"/><Relationship Id="rId19" Type="http://schemas.openxmlformats.org/officeDocument/2006/relationships/hyperlink" Target="https://www.infomoney.com.br/cotacoes/unitedhealth-unhh34/" TargetMode="External"/><Relationship Id="rId18" Type="http://schemas.openxmlformats.org/officeDocument/2006/relationships/hyperlink" Target="https://www.infomoney.com.br/cotacoes/unitedhealth-unhh34f/" TargetMode="External"/><Relationship Id="rId62" Type="http://schemas.openxmlformats.org/officeDocument/2006/relationships/hyperlink" Target="https://www.infomoney.com.br/cotacoes/wells-fargo-wfco34f/" TargetMode="External"/><Relationship Id="rId61" Type="http://schemas.openxmlformats.org/officeDocument/2006/relationships/hyperlink" Target="https://www.infomoney.com.br/cotacoes/wells-fargo-wfco34/" TargetMode="External"/><Relationship Id="rId64" Type="http://schemas.openxmlformats.org/officeDocument/2006/relationships/hyperlink" Target="https://www.infomoney.com.br/cotacoes/coca-cola-coca34/" TargetMode="External"/><Relationship Id="rId63" Type="http://schemas.openxmlformats.org/officeDocument/2006/relationships/hyperlink" Target="https://www.infomoney.com.br/cotacoes/procter-gamble-pgco34/" TargetMode="External"/><Relationship Id="rId66" Type="http://schemas.openxmlformats.org/officeDocument/2006/relationships/hyperlink" Target="https://www.infomoney.com.br/cotacoes/pepsico-inc-pepb34/" TargetMode="External"/><Relationship Id="rId65" Type="http://schemas.openxmlformats.org/officeDocument/2006/relationships/hyperlink" Target="https://www.infomoney.com.br/cotacoes/colgate-colg34/" TargetMode="External"/><Relationship Id="rId68" Type="http://schemas.openxmlformats.org/officeDocument/2006/relationships/hyperlink" Target="https://www.infomoney.com.br/cotacoes/wal-mart-walm34/" TargetMode="External"/><Relationship Id="rId67" Type="http://schemas.openxmlformats.org/officeDocument/2006/relationships/hyperlink" Target="https://www.infomoney.com.br/cotacoes/wal-mart-walm34f/" TargetMode="External"/><Relationship Id="rId60" Type="http://schemas.openxmlformats.org/officeDocument/2006/relationships/hyperlink" Target="https://www.infomoney.com.br/cotacoes/visa-inc-visa34/" TargetMode="External"/><Relationship Id="rId69" Type="http://schemas.openxmlformats.org/officeDocument/2006/relationships/drawing" Target="../drawings/drawing3.xml"/><Relationship Id="rId51" Type="http://schemas.openxmlformats.org/officeDocument/2006/relationships/hyperlink" Target="https://www.infomoney.com.br/cotacoes/ge-geoo34f/" TargetMode="External"/><Relationship Id="rId50" Type="http://schemas.openxmlformats.org/officeDocument/2006/relationships/hyperlink" Target="https://www.infomoney.com.br/cotacoes/ge-geoo34/" TargetMode="External"/><Relationship Id="rId53" Type="http://schemas.openxmlformats.org/officeDocument/2006/relationships/hyperlink" Target="https://www.infomoney.com.br/cotacoes/honeywell-honb34f/" TargetMode="External"/><Relationship Id="rId52" Type="http://schemas.openxmlformats.org/officeDocument/2006/relationships/hyperlink" Target="https://www.infomoney.com.br/cotacoes/honeywell-honb34/" TargetMode="External"/><Relationship Id="rId55" Type="http://schemas.openxmlformats.org/officeDocument/2006/relationships/hyperlink" Target="https://www.infomoney.com.br/cotacoes/jpmorgan-jpmc34f/" TargetMode="External"/><Relationship Id="rId54" Type="http://schemas.openxmlformats.org/officeDocument/2006/relationships/hyperlink" Target="https://www.infomoney.com.br/cotacoes/jpmorgan-jpmc34/" TargetMode="External"/><Relationship Id="rId57" Type="http://schemas.openxmlformats.org/officeDocument/2006/relationships/hyperlink" Target="https://www.infomoney.com.br/cotacoes/mastercard-mscd34f/" TargetMode="External"/><Relationship Id="rId56" Type="http://schemas.openxmlformats.org/officeDocument/2006/relationships/hyperlink" Target="https://www.infomoney.com.br/cotacoes/mastercard-mscd34/" TargetMode="External"/><Relationship Id="rId59" Type="http://schemas.openxmlformats.org/officeDocument/2006/relationships/hyperlink" Target="https://www.infomoney.com.br/cotacoes/morgan-stanley-msbr34f/" TargetMode="External"/><Relationship Id="rId58" Type="http://schemas.openxmlformats.org/officeDocument/2006/relationships/hyperlink" Target="https://www.infomoney.com.br/cotacoes/morgan-stanley-msbr34f/"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90" Type="http://schemas.openxmlformats.org/officeDocument/2006/relationships/hyperlink" Target="https://www.clubefii.com.br/fiis/CARE11" TargetMode="External"/><Relationship Id="rId194" Type="http://schemas.openxmlformats.org/officeDocument/2006/relationships/hyperlink" Target="https://www.clubefii.com.br/fiis/CBOP11" TargetMode="External"/><Relationship Id="rId193" Type="http://schemas.openxmlformats.org/officeDocument/2006/relationships/hyperlink" Target="https://www.clubefii.com.br/fiis/CBOP11" TargetMode="External"/><Relationship Id="rId192" Type="http://schemas.openxmlformats.org/officeDocument/2006/relationships/hyperlink" Target="https://www.clubefii.com.br/fiis/CARE11" TargetMode="External"/><Relationship Id="rId191" Type="http://schemas.openxmlformats.org/officeDocument/2006/relationships/hyperlink" Target="https://www.clubefii.com.br/fiis/CARE11" TargetMode="External"/><Relationship Id="rId187" Type="http://schemas.openxmlformats.org/officeDocument/2006/relationships/hyperlink" Target="https://www.clubefii.com.br/fiis/BZLI11" TargetMode="External"/><Relationship Id="rId186" Type="http://schemas.openxmlformats.org/officeDocument/2006/relationships/hyperlink" Target="https://www.clubefii.com.br/fiis/BZLI11" TargetMode="External"/><Relationship Id="rId185" Type="http://schemas.openxmlformats.org/officeDocument/2006/relationships/hyperlink" Target="https://www.clubefii.com.br/fiis/BZLI11" TargetMode="External"/><Relationship Id="rId184" Type="http://schemas.openxmlformats.org/officeDocument/2006/relationships/hyperlink" Target="https://www.clubefii.com.br/fiis/BVAR11" TargetMode="External"/><Relationship Id="rId189" Type="http://schemas.openxmlformats.org/officeDocument/2006/relationships/hyperlink" Target="https://www.clubefii.com.br/fiis/CARE11" TargetMode="External"/><Relationship Id="rId188" Type="http://schemas.openxmlformats.org/officeDocument/2006/relationships/hyperlink" Target="https://www.clubefii.com.br/fiis/BZLI11" TargetMode="External"/><Relationship Id="rId183" Type="http://schemas.openxmlformats.org/officeDocument/2006/relationships/hyperlink" Target="https://www.clubefii.com.br/fiis/BVAR11" TargetMode="External"/><Relationship Id="rId182" Type="http://schemas.openxmlformats.org/officeDocument/2006/relationships/hyperlink" Target="https://www.clubefii.com.br/fiis/BVAR11" TargetMode="External"/><Relationship Id="rId181" Type="http://schemas.openxmlformats.org/officeDocument/2006/relationships/hyperlink" Target="https://www.clubefii.com.br/fiis/BVAR11" TargetMode="External"/><Relationship Id="rId180" Type="http://schemas.openxmlformats.org/officeDocument/2006/relationships/hyperlink" Target="https://www.clubefii.com.br/fiis/BTSG11" TargetMode="External"/><Relationship Id="rId176" Type="http://schemas.openxmlformats.org/officeDocument/2006/relationships/hyperlink" Target="https://www.clubefii.com.br/fiis/BTLG11" TargetMode="External"/><Relationship Id="rId175" Type="http://schemas.openxmlformats.org/officeDocument/2006/relationships/hyperlink" Target="https://www.clubefii.com.br/fiis/BTLG11" TargetMode="External"/><Relationship Id="rId174" Type="http://schemas.openxmlformats.org/officeDocument/2006/relationships/hyperlink" Target="https://www.clubefii.com.br/fiis/BTLG11" TargetMode="External"/><Relationship Id="rId173" Type="http://schemas.openxmlformats.org/officeDocument/2006/relationships/hyperlink" Target="https://www.clubefii.com.br/fiis/BTLG11" TargetMode="External"/><Relationship Id="rId179" Type="http://schemas.openxmlformats.org/officeDocument/2006/relationships/hyperlink" Target="https://www.clubefii.com.br/fiis/BTSG11" TargetMode="External"/><Relationship Id="rId178" Type="http://schemas.openxmlformats.org/officeDocument/2006/relationships/hyperlink" Target="https://www.clubefii.com.br/fiis/BTSG11" TargetMode="External"/><Relationship Id="rId177" Type="http://schemas.openxmlformats.org/officeDocument/2006/relationships/hyperlink" Target="https://www.clubefii.com.br/fiis/BTSG11" TargetMode="External"/><Relationship Id="rId198" Type="http://schemas.openxmlformats.org/officeDocument/2006/relationships/hyperlink" Target="https://www.clubefii.com.br/fiis/CEOC11" TargetMode="External"/><Relationship Id="rId197" Type="http://schemas.openxmlformats.org/officeDocument/2006/relationships/hyperlink" Target="https://www.clubefii.com.br/fiis/CEOC11" TargetMode="External"/><Relationship Id="rId196" Type="http://schemas.openxmlformats.org/officeDocument/2006/relationships/hyperlink" Target="https://www.clubefii.com.br/fiis/CBOP11" TargetMode="External"/><Relationship Id="rId195" Type="http://schemas.openxmlformats.org/officeDocument/2006/relationships/hyperlink" Target="https://www.clubefii.com.br/fiis/CBOP11" TargetMode="External"/><Relationship Id="rId199" Type="http://schemas.openxmlformats.org/officeDocument/2006/relationships/hyperlink" Target="https://www.clubefii.com.br/fiis/CEOC11" TargetMode="External"/><Relationship Id="rId150" Type="http://schemas.openxmlformats.org/officeDocument/2006/relationships/hyperlink" Target="https://www.clubefii.com.br/fiis/BREV11" TargetMode="External"/><Relationship Id="rId392" Type="http://schemas.openxmlformats.org/officeDocument/2006/relationships/hyperlink" Target="https://www.clubefii.com.br/fiis/FTCE11B" TargetMode="External"/><Relationship Id="rId391" Type="http://schemas.openxmlformats.org/officeDocument/2006/relationships/hyperlink" Target="https://www.clubefii.com.br/fiis/FTCE11B" TargetMode="External"/><Relationship Id="rId390" Type="http://schemas.openxmlformats.org/officeDocument/2006/relationships/hyperlink" Target="https://www.clubefii.com.br/fiis/FTCE11B" TargetMode="External"/><Relationship Id="rId1" Type="http://schemas.openxmlformats.org/officeDocument/2006/relationships/hyperlink" Target="https://www.clubefii.com.br/fiis/ABCP11" TargetMode="External"/><Relationship Id="rId2" Type="http://schemas.openxmlformats.org/officeDocument/2006/relationships/hyperlink" Target="https://www.clubefii.com.br/fiis/ABCP11" TargetMode="External"/><Relationship Id="rId3" Type="http://schemas.openxmlformats.org/officeDocument/2006/relationships/hyperlink" Target="https://www.clubefii.com.br/fiis/ABCP11" TargetMode="External"/><Relationship Id="rId149" Type="http://schemas.openxmlformats.org/officeDocument/2006/relationships/hyperlink" Target="https://www.clubefii.com.br/fiis/BREV11" TargetMode="External"/><Relationship Id="rId4" Type="http://schemas.openxmlformats.org/officeDocument/2006/relationships/hyperlink" Target="https://www.clubefii.com.br/fiis/ABCP11" TargetMode="External"/><Relationship Id="rId148" Type="http://schemas.openxmlformats.org/officeDocument/2006/relationships/hyperlink" Target="https://www.clubefii.com.br/fiis/BRCR11" TargetMode="External"/><Relationship Id="rId1090" Type="http://schemas.openxmlformats.org/officeDocument/2006/relationships/hyperlink" Target="https://www.clubefii.com.br/fiis/SHOP11" TargetMode="External"/><Relationship Id="rId1091" Type="http://schemas.openxmlformats.org/officeDocument/2006/relationships/hyperlink" Target="https://www.clubefii.com.br/fiis/SHOP11" TargetMode="External"/><Relationship Id="rId1092" Type="http://schemas.openxmlformats.org/officeDocument/2006/relationships/hyperlink" Target="https://www.clubefii.com.br/fiis/SHOP11" TargetMode="External"/><Relationship Id="rId1093" Type="http://schemas.openxmlformats.org/officeDocument/2006/relationships/hyperlink" Target="https://www.clubefii.com.br/fiis/SHPH11" TargetMode="External"/><Relationship Id="rId1094" Type="http://schemas.openxmlformats.org/officeDocument/2006/relationships/hyperlink" Target="https://www.clubefii.com.br/fiis/SHPH11" TargetMode="External"/><Relationship Id="rId9" Type="http://schemas.openxmlformats.org/officeDocument/2006/relationships/hyperlink" Target="https://www.clubefii.com.br/fiis/AFOF11" TargetMode="External"/><Relationship Id="rId143" Type="http://schemas.openxmlformats.org/officeDocument/2006/relationships/hyperlink" Target="https://www.clubefii.com.br/fiis/BRCO11" TargetMode="External"/><Relationship Id="rId385" Type="http://schemas.openxmlformats.org/officeDocument/2006/relationships/hyperlink" Target="https://www.clubefii.com.br/fiis/FPNG11" TargetMode="External"/><Relationship Id="rId1095" Type="http://schemas.openxmlformats.org/officeDocument/2006/relationships/hyperlink" Target="https://www.clubefii.com.br/fiis/SHPH11" TargetMode="External"/><Relationship Id="rId142" Type="http://schemas.openxmlformats.org/officeDocument/2006/relationships/hyperlink" Target="https://www.clubefii.com.br/fiis/BRCO11" TargetMode="External"/><Relationship Id="rId384" Type="http://schemas.openxmlformats.org/officeDocument/2006/relationships/hyperlink" Target="https://www.clubefii.com.br/fiis/FPAB11" TargetMode="External"/><Relationship Id="rId1096" Type="http://schemas.openxmlformats.org/officeDocument/2006/relationships/hyperlink" Target="https://www.clubefii.com.br/fiis/SHPH11" TargetMode="External"/><Relationship Id="rId141" Type="http://schemas.openxmlformats.org/officeDocument/2006/relationships/hyperlink" Target="https://www.clubefii.com.br/fiis/BRCO11" TargetMode="External"/><Relationship Id="rId383" Type="http://schemas.openxmlformats.org/officeDocument/2006/relationships/hyperlink" Target="https://www.clubefii.com.br/fiis/FPAB11" TargetMode="External"/><Relationship Id="rId1097" Type="http://schemas.openxmlformats.org/officeDocument/2006/relationships/hyperlink" Target="https://www.clubefii.com.br/fiis/SOLR11" TargetMode="External"/><Relationship Id="rId140" Type="http://schemas.openxmlformats.org/officeDocument/2006/relationships/hyperlink" Target="https://www.clubefii.com.br/fiis/BPRP11" TargetMode="External"/><Relationship Id="rId382" Type="http://schemas.openxmlformats.org/officeDocument/2006/relationships/hyperlink" Target="https://www.clubefii.com.br/fiis/FPAB11" TargetMode="External"/><Relationship Id="rId1098" Type="http://schemas.openxmlformats.org/officeDocument/2006/relationships/hyperlink" Target="https://www.clubefii.com.br/fiis/SOLR11" TargetMode="External"/><Relationship Id="rId5" Type="http://schemas.openxmlformats.org/officeDocument/2006/relationships/hyperlink" Target="https://www.clubefii.com.br/fiis/AFCR11" TargetMode="External"/><Relationship Id="rId147" Type="http://schemas.openxmlformats.org/officeDocument/2006/relationships/hyperlink" Target="https://www.clubefii.com.br/fiis/BRCR11" TargetMode="External"/><Relationship Id="rId389" Type="http://schemas.openxmlformats.org/officeDocument/2006/relationships/hyperlink" Target="https://www.clubefii.com.br/fiis/FTCE11B" TargetMode="External"/><Relationship Id="rId1099" Type="http://schemas.openxmlformats.org/officeDocument/2006/relationships/hyperlink" Target="https://www.clubefii.com.br/fiis/SOLR11" TargetMode="External"/><Relationship Id="rId6" Type="http://schemas.openxmlformats.org/officeDocument/2006/relationships/hyperlink" Target="https://www.clubefii.com.br/fiis/AFCR11" TargetMode="External"/><Relationship Id="rId146" Type="http://schemas.openxmlformats.org/officeDocument/2006/relationships/hyperlink" Target="https://www.clubefii.com.br/fiis/BRCR11" TargetMode="External"/><Relationship Id="rId388" Type="http://schemas.openxmlformats.org/officeDocument/2006/relationships/hyperlink" Target="https://www.clubefii.com.br/fiis/FPNG11" TargetMode="External"/><Relationship Id="rId7" Type="http://schemas.openxmlformats.org/officeDocument/2006/relationships/hyperlink" Target="https://www.clubefii.com.br/fiis/AFCR11" TargetMode="External"/><Relationship Id="rId145" Type="http://schemas.openxmlformats.org/officeDocument/2006/relationships/hyperlink" Target="https://www.clubefii.com.br/fiis/BRCR11" TargetMode="External"/><Relationship Id="rId387" Type="http://schemas.openxmlformats.org/officeDocument/2006/relationships/hyperlink" Target="https://www.clubefii.com.br/fiis/FPNG11" TargetMode="External"/><Relationship Id="rId8" Type="http://schemas.openxmlformats.org/officeDocument/2006/relationships/hyperlink" Target="https://www.clubefii.com.br/fiis/AFCR11" TargetMode="External"/><Relationship Id="rId144" Type="http://schemas.openxmlformats.org/officeDocument/2006/relationships/hyperlink" Target="https://www.clubefii.com.br/fiis/BRCO11" TargetMode="External"/><Relationship Id="rId386" Type="http://schemas.openxmlformats.org/officeDocument/2006/relationships/hyperlink" Target="https://www.clubefii.com.br/fiis/FPNG11" TargetMode="External"/><Relationship Id="rId381" Type="http://schemas.openxmlformats.org/officeDocument/2006/relationships/hyperlink" Target="https://www.clubefii.com.br/fiis/FPAB11" TargetMode="External"/><Relationship Id="rId380" Type="http://schemas.openxmlformats.org/officeDocument/2006/relationships/hyperlink" Target="https://www.clubefii.com.br/fiis/FOFT11" TargetMode="External"/><Relationship Id="rId139" Type="http://schemas.openxmlformats.org/officeDocument/2006/relationships/hyperlink" Target="https://www.clubefii.com.br/fiis/BPRP11" TargetMode="External"/><Relationship Id="rId138" Type="http://schemas.openxmlformats.org/officeDocument/2006/relationships/hyperlink" Target="https://www.clubefii.com.br/fiis/BPRP11" TargetMode="External"/><Relationship Id="rId137" Type="http://schemas.openxmlformats.org/officeDocument/2006/relationships/hyperlink" Target="https://www.clubefii.com.br/fiis/BPRP11" TargetMode="External"/><Relationship Id="rId379" Type="http://schemas.openxmlformats.org/officeDocument/2006/relationships/hyperlink" Target="https://www.clubefii.com.br/fiis/FOFT11" TargetMode="External"/><Relationship Id="rId1080" Type="http://schemas.openxmlformats.org/officeDocument/2006/relationships/hyperlink" Target="https://www.clubefii.com.br/fiis/SDIL11" TargetMode="External"/><Relationship Id="rId1081" Type="http://schemas.openxmlformats.org/officeDocument/2006/relationships/hyperlink" Target="https://www.clubefii.com.br/fiis/SFND11" TargetMode="External"/><Relationship Id="rId1082" Type="http://schemas.openxmlformats.org/officeDocument/2006/relationships/hyperlink" Target="https://www.clubefii.com.br/fiis/SFND11" TargetMode="External"/><Relationship Id="rId1083" Type="http://schemas.openxmlformats.org/officeDocument/2006/relationships/hyperlink" Target="https://www.clubefii.com.br/fiis/SFND11" TargetMode="External"/><Relationship Id="rId132" Type="http://schemas.openxmlformats.org/officeDocument/2006/relationships/hyperlink" Target="https://www.clubefii.com.br/fiis/BPMA11" TargetMode="External"/><Relationship Id="rId374" Type="http://schemas.openxmlformats.org/officeDocument/2006/relationships/hyperlink" Target="https://www.clubefii.com.br/fiis/FMOF11" TargetMode="External"/><Relationship Id="rId1084" Type="http://schemas.openxmlformats.org/officeDocument/2006/relationships/hyperlink" Target="https://www.clubefii.com.br/fiis/SFND11" TargetMode="External"/><Relationship Id="rId131" Type="http://schemas.openxmlformats.org/officeDocument/2006/relationships/hyperlink" Target="https://www.clubefii.com.br/fiis/BPMA11" TargetMode="External"/><Relationship Id="rId373" Type="http://schemas.openxmlformats.org/officeDocument/2006/relationships/hyperlink" Target="https://www.clubefii.com.br/fiis/FMOF11" TargetMode="External"/><Relationship Id="rId1085" Type="http://schemas.openxmlformats.org/officeDocument/2006/relationships/hyperlink" Target="https://www.clubefii.com.br/fiis/SHDP11B" TargetMode="External"/><Relationship Id="rId130" Type="http://schemas.openxmlformats.org/officeDocument/2006/relationships/hyperlink" Target="https://www.clubefii.com.br/fiis/BPMA11" TargetMode="External"/><Relationship Id="rId372" Type="http://schemas.openxmlformats.org/officeDocument/2006/relationships/hyperlink" Target="https://www.clubefii.com.br/fiis/FLRP11" TargetMode="External"/><Relationship Id="rId1086" Type="http://schemas.openxmlformats.org/officeDocument/2006/relationships/hyperlink" Target="https://www.clubefii.com.br/fiis/SHDP11B" TargetMode="External"/><Relationship Id="rId371" Type="http://schemas.openxmlformats.org/officeDocument/2006/relationships/hyperlink" Target="https://www.clubefii.com.br/fiis/FLRP11" TargetMode="External"/><Relationship Id="rId1087" Type="http://schemas.openxmlformats.org/officeDocument/2006/relationships/hyperlink" Target="https://www.clubefii.com.br/fiis/SHDP11B" TargetMode="External"/><Relationship Id="rId136" Type="http://schemas.openxmlformats.org/officeDocument/2006/relationships/hyperlink" Target="https://www.clubefii.com.br/fiis/BPML11" TargetMode="External"/><Relationship Id="rId378" Type="http://schemas.openxmlformats.org/officeDocument/2006/relationships/hyperlink" Target="https://www.clubefii.com.br/fiis/FOFT11" TargetMode="External"/><Relationship Id="rId1088" Type="http://schemas.openxmlformats.org/officeDocument/2006/relationships/hyperlink" Target="https://www.clubefii.com.br/fiis/SHDP11B" TargetMode="External"/><Relationship Id="rId135" Type="http://schemas.openxmlformats.org/officeDocument/2006/relationships/hyperlink" Target="https://www.clubefii.com.br/fiis/BPML11" TargetMode="External"/><Relationship Id="rId377" Type="http://schemas.openxmlformats.org/officeDocument/2006/relationships/hyperlink" Target="https://www.clubefii.com.br/fiis/FOFT11" TargetMode="External"/><Relationship Id="rId1089" Type="http://schemas.openxmlformats.org/officeDocument/2006/relationships/hyperlink" Target="https://www.clubefii.com.br/fiis/SHOP11" TargetMode="External"/><Relationship Id="rId134" Type="http://schemas.openxmlformats.org/officeDocument/2006/relationships/hyperlink" Target="https://www.clubefii.com.br/fiis/BPML11" TargetMode="External"/><Relationship Id="rId376" Type="http://schemas.openxmlformats.org/officeDocument/2006/relationships/hyperlink" Target="https://www.clubefii.com.br/fiis/FMOF11" TargetMode="External"/><Relationship Id="rId133" Type="http://schemas.openxmlformats.org/officeDocument/2006/relationships/hyperlink" Target="https://www.clubefii.com.br/fiis/BPML11" TargetMode="External"/><Relationship Id="rId375" Type="http://schemas.openxmlformats.org/officeDocument/2006/relationships/hyperlink" Target="https://www.clubefii.com.br/fiis/FMOF11" TargetMode="External"/><Relationship Id="rId172" Type="http://schemas.openxmlformats.org/officeDocument/2006/relationships/hyperlink" Target="https://www.clubefii.com.br/fiis/BTCR11" TargetMode="External"/><Relationship Id="rId171" Type="http://schemas.openxmlformats.org/officeDocument/2006/relationships/hyperlink" Target="https://www.clubefii.com.br/fiis/BTCR11" TargetMode="External"/><Relationship Id="rId170" Type="http://schemas.openxmlformats.org/officeDocument/2006/relationships/hyperlink" Target="https://www.clubefii.com.br/fiis/BTCR11" TargetMode="External"/><Relationship Id="rId165" Type="http://schemas.openxmlformats.org/officeDocument/2006/relationships/hyperlink" Target="https://www.clubefii.com.br/fiis/BRLA11" TargetMode="External"/><Relationship Id="rId164" Type="http://schemas.openxmlformats.org/officeDocument/2006/relationships/hyperlink" Target="https://www.clubefii.com.br/fiis/BRIP11" TargetMode="External"/><Relationship Id="rId163" Type="http://schemas.openxmlformats.org/officeDocument/2006/relationships/hyperlink" Target="https://www.clubefii.com.br/fiis/BRIP11" TargetMode="External"/><Relationship Id="rId162" Type="http://schemas.openxmlformats.org/officeDocument/2006/relationships/hyperlink" Target="https://www.clubefii.com.br/fiis/BRIP11" TargetMode="External"/><Relationship Id="rId169" Type="http://schemas.openxmlformats.org/officeDocument/2006/relationships/hyperlink" Target="https://www.clubefii.com.br/fiis/BTCR11" TargetMode="External"/><Relationship Id="rId168" Type="http://schemas.openxmlformats.org/officeDocument/2006/relationships/hyperlink" Target="https://www.clubefii.com.br/fiis/BRLA11" TargetMode="External"/><Relationship Id="rId167" Type="http://schemas.openxmlformats.org/officeDocument/2006/relationships/hyperlink" Target="https://www.clubefii.com.br/fiis/BRLA11" TargetMode="External"/><Relationship Id="rId166" Type="http://schemas.openxmlformats.org/officeDocument/2006/relationships/hyperlink" Target="https://www.clubefii.com.br/fiis/BRLA11" TargetMode="External"/><Relationship Id="rId161" Type="http://schemas.openxmlformats.org/officeDocument/2006/relationships/hyperlink" Target="https://www.clubefii.com.br/fiis/BRIP11" TargetMode="External"/><Relationship Id="rId160" Type="http://schemas.openxmlformats.org/officeDocument/2006/relationships/hyperlink" Target="https://www.clubefii.com.br/fiis/BRIM11" TargetMode="External"/><Relationship Id="rId159" Type="http://schemas.openxmlformats.org/officeDocument/2006/relationships/hyperlink" Target="https://www.clubefii.com.br/fiis/BRIM11" TargetMode="External"/><Relationship Id="rId154" Type="http://schemas.openxmlformats.org/officeDocument/2006/relationships/hyperlink" Target="https://www.clubefii.com.br/fiis/BRHT11B" TargetMode="External"/><Relationship Id="rId396" Type="http://schemas.openxmlformats.org/officeDocument/2006/relationships/hyperlink" Target="https://www.clubefii.com.br/fiis/FTMJ11" TargetMode="External"/><Relationship Id="rId153" Type="http://schemas.openxmlformats.org/officeDocument/2006/relationships/hyperlink" Target="https://www.clubefii.com.br/fiis/BRHT11B" TargetMode="External"/><Relationship Id="rId395" Type="http://schemas.openxmlformats.org/officeDocument/2006/relationships/hyperlink" Target="https://www.clubefii.com.br/fiis/FTMJ11" TargetMode="External"/><Relationship Id="rId152" Type="http://schemas.openxmlformats.org/officeDocument/2006/relationships/hyperlink" Target="https://www.clubefii.com.br/fiis/BREV11" TargetMode="External"/><Relationship Id="rId394" Type="http://schemas.openxmlformats.org/officeDocument/2006/relationships/hyperlink" Target="https://www.clubefii.com.br/fiis/FTMJ11" TargetMode="External"/><Relationship Id="rId151" Type="http://schemas.openxmlformats.org/officeDocument/2006/relationships/hyperlink" Target="https://www.clubefii.com.br/fiis/BREV11" TargetMode="External"/><Relationship Id="rId393" Type="http://schemas.openxmlformats.org/officeDocument/2006/relationships/hyperlink" Target="https://www.clubefii.com.br/fiis/FTMJ11" TargetMode="External"/><Relationship Id="rId158" Type="http://schemas.openxmlformats.org/officeDocument/2006/relationships/hyperlink" Target="https://www.clubefii.com.br/fiis/BRIM11" TargetMode="External"/><Relationship Id="rId157" Type="http://schemas.openxmlformats.org/officeDocument/2006/relationships/hyperlink" Target="https://www.clubefii.com.br/fiis/BRIM11" TargetMode="External"/><Relationship Id="rId399" Type="http://schemas.openxmlformats.org/officeDocument/2006/relationships/hyperlink" Target="https://www.clubefii.com.br/fiis/FVBI11" TargetMode="External"/><Relationship Id="rId156" Type="http://schemas.openxmlformats.org/officeDocument/2006/relationships/hyperlink" Target="https://www.clubefii.com.br/fiis/BRHT11B" TargetMode="External"/><Relationship Id="rId398" Type="http://schemas.openxmlformats.org/officeDocument/2006/relationships/hyperlink" Target="https://www.clubefii.com.br/fiis/FVBI11" TargetMode="External"/><Relationship Id="rId155" Type="http://schemas.openxmlformats.org/officeDocument/2006/relationships/hyperlink" Target="https://www.clubefii.com.br/fiis/BRHT11B" TargetMode="External"/><Relationship Id="rId397" Type="http://schemas.openxmlformats.org/officeDocument/2006/relationships/hyperlink" Target="https://www.clubefii.com.br/fiis/FVBI11" TargetMode="External"/><Relationship Id="rId808" Type="http://schemas.openxmlformats.org/officeDocument/2006/relationships/hyperlink" Target="https://www.clubefii.com.br/fiis/PATB11" TargetMode="External"/><Relationship Id="rId807" Type="http://schemas.openxmlformats.org/officeDocument/2006/relationships/hyperlink" Target="https://www.clubefii.com.br/fiis/PATB11" TargetMode="External"/><Relationship Id="rId806" Type="http://schemas.openxmlformats.org/officeDocument/2006/relationships/hyperlink" Target="https://www.clubefii.com.br/fiis/PATB11" TargetMode="External"/><Relationship Id="rId805" Type="http://schemas.openxmlformats.org/officeDocument/2006/relationships/hyperlink" Target="https://www.clubefii.com.br/fiis/PATB11" TargetMode="External"/><Relationship Id="rId809" Type="http://schemas.openxmlformats.org/officeDocument/2006/relationships/hyperlink" Target="https://www.clubefii.com.br/fiis/PATC11" TargetMode="External"/><Relationship Id="rId800" Type="http://schemas.openxmlformats.org/officeDocument/2006/relationships/hyperlink" Target="https://www.clubefii.com.br/fiis/OULG11" TargetMode="External"/><Relationship Id="rId804" Type="http://schemas.openxmlformats.org/officeDocument/2006/relationships/hyperlink" Target="https://www.clubefii.com.br/fiis/PABY11" TargetMode="External"/><Relationship Id="rId803" Type="http://schemas.openxmlformats.org/officeDocument/2006/relationships/hyperlink" Target="https://www.clubefii.com.br/fiis/PABY11" TargetMode="External"/><Relationship Id="rId802" Type="http://schemas.openxmlformats.org/officeDocument/2006/relationships/hyperlink" Target="https://www.clubefii.com.br/fiis/PABY11" TargetMode="External"/><Relationship Id="rId801" Type="http://schemas.openxmlformats.org/officeDocument/2006/relationships/hyperlink" Target="https://www.clubefii.com.br/fiis/PABY11" TargetMode="External"/><Relationship Id="rId40" Type="http://schemas.openxmlformats.org/officeDocument/2006/relationships/hyperlink" Target="https://www.clubefii.com.br/fiis/ARFI11B" TargetMode="External"/><Relationship Id="rId1334" Type="http://schemas.openxmlformats.org/officeDocument/2006/relationships/hyperlink" Target="https://www.clubefii.com.br/fiis/XPSF11" TargetMode="External"/><Relationship Id="rId1335" Type="http://schemas.openxmlformats.org/officeDocument/2006/relationships/hyperlink" Target="https://www.clubefii.com.br/fiis/XPSF11" TargetMode="External"/><Relationship Id="rId42" Type="http://schemas.openxmlformats.org/officeDocument/2006/relationships/hyperlink" Target="https://www.clubefii.com.br/fiis/ARRI11" TargetMode="External"/><Relationship Id="rId1336" Type="http://schemas.openxmlformats.org/officeDocument/2006/relationships/hyperlink" Target="https://www.clubefii.com.br/fiis/XPSF11" TargetMode="External"/><Relationship Id="rId41" Type="http://schemas.openxmlformats.org/officeDocument/2006/relationships/hyperlink" Target="https://www.clubefii.com.br/fiis/ARRI11" TargetMode="External"/><Relationship Id="rId1337" Type="http://schemas.openxmlformats.org/officeDocument/2006/relationships/hyperlink" Target="https://www.clubefii.com.br/fiis/XTED11" TargetMode="External"/><Relationship Id="rId44" Type="http://schemas.openxmlformats.org/officeDocument/2006/relationships/hyperlink" Target="https://www.clubefii.com.br/fiis/ARRI11" TargetMode="External"/><Relationship Id="rId1338" Type="http://schemas.openxmlformats.org/officeDocument/2006/relationships/hyperlink" Target="https://www.clubefii.com.br/fiis/XTED11" TargetMode="External"/><Relationship Id="rId43" Type="http://schemas.openxmlformats.org/officeDocument/2006/relationships/hyperlink" Target="https://www.clubefii.com.br/fiis/ARRI11" TargetMode="External"/><Relationship Id="rId1339" Type="http://schemas.openxmlformats.org/officeDocument/2006/relationships/hyperlink" Target="https://www.clubefii.com.br/fiis/XTED11" TargetMode="External"/><Relationship Id="rId46" Type="http://schemas.openxmlformats.org/officeDocument/2006/relationships/hyperlink" Target="https://www.clubefii.com.br/fiis/ATCR11" TargetMode="External"/><Relationship Id="rId45" Type="http://schemas.openxmlformats.org/officeDocument/2006/relationships/hyperlink" Target="https://www.clubefii.com.br/fiis/ATCR11" TargetMode="External"/><Relationship Id="rId509" Type="http://schemas.openxmlformats.org/officeDocument/2006/relationships/hyperlink" Target="https://www.clubefii.com.br/fiis/HOSI11" TargetMode="External"/><Relationship Id="rId508" Type="http://schemas.openxmlformats.org/officeDocument/2006/relationships/hyperlink" Target="https://www.clubefii.com.br/fiis/HMOC11" TargetMode="External"/><Relationship Id="rId503" Type="http://schemas.openxmlformats.org/officeDocument/2006/relationships/hyperlink" Target="https://www.clubefii.com.br/fiis/HLOG11" TargetMode="External"/><Relationship Id="rId745" Type="http://schemas.openxmlformats.org/officeDocument/2006/relationships/hyperlink" Target="https://www.clubefii.com.br/fiis/MXRF11" TargetMode="External"/><Relationship Id="rId987" Type="http://schemas.openxmlformats.org/officeDocument/2006/relationships/hyperlink" Target="https://www.clubefii.com.br/fiis/RCRB11" TargetMode="External"/><Relationship Id="rId502" Type="http://schemas.openxmlformats.org/officeDocument/2006/relationships/hyperlink" Target="https://www.clubefii.com.br/fiis/HLOG11" TargetMode="External"/><Relationship Id="rId744" Type="http://schemas.openxmlformats.org/officeDocument/2006/relationships/hyperlink" Target="https://www.clubefii.com.br/fiis/MVFI11" TargetMode="External"/><Relationship Id="rId986" Type="http://schemas.openxmlformats.org/officeDocument/2006/relationships/hyperlink" Target="https://www.clubefii.com.br/fiis/RCRB11" TargetMode="External"/><Relationship Id="rId501" Type="http://schemas.openxmlformats.org/officeDocument/2006/relationships/hyperlink" Target="https://www.clubefii.com.br/fiis/HLOG11" TargetMode="External"/><Relationship Id="rId743" Type="http://schemas.openxmlformats.org/officeDocument/2006/relationships/hyperlink" Target="https://www.clubefii.com.br/fiis/MVFI11" TargetMode="External"/><Relationship Id="rId985" Type="http://schemas.openxmlformats.org/officeDocument/2006/relationships/hyperlink" Target="https://www.clubefii.com.br/fiis/RCRB11" TargetMode="External"/><Relationship Id="rId500" Type="http://schemas.openxmlformats.org/officeDocument/2006/relationships/hyperlink" Target="https://www.clubefii.com.br/fiis/HGRU11" TargetMode="External"/><Relationship Id="rId742" Type="http://schemas.openxmlformats.org/officeDocument/2006/relationships/hyperlink" Target="https://www.clubefii.com.br/fiis/MVFI11" TargetMode="External"/><Relationship Id="rId984" Type="http://schemas.openxmlformats.org/officeDocument/2006/relationships/hyperlink" Target="https://www.clubefii.com.br/fiis/RCFF11" TargetMode="External"/><Relationship Id="rId507" Type="http://schemas.openxmlformats.org/officeDocument/2006/relationships/hyperlink" Target="https://www.clubefii.com.br/fiis/HMOC11" TargetMode="External"/><Relationship Id="rId749" Type="http://schemas.openxmlformats.org/officeDocument/2006/relationships/hyperlink" Target="https://www.clubefii.com.br/fiis/NCHB11" TargetMode="External"/><Relationship Id="rId506" Type="http://schemas.openxmlformats.org/officeDocument/2006/relationships/hyperlink" Target="https://www.clubefii.com.br/fiis/HMOC11" TargetMode="External"/><Relationship Id="rId748" Type="http://schemas.openxmlformats.org/officeDocument/2006/relationships/hyperlink" Target="https://www.clubefii.com.br/fiis/MXRF11" TargetMode="External"/><Relationship Id="rId505" Type="http://schemas.openxmlformats.org/officeDocument/2006/relationships/hyperlink" Target="https://www.clubefii.com.br/fiis/HMOC11" TargetMode="External"/><Relationship Id="rId747" Type="http://schemas.openxmlformats.org/officeDocument/2006/relationships/hyperlink" Target="https://www.clubefii.com.br/fiis/MXRF11" TargetMode="External"/><Relationship Id="rId989" Type="http://schemas.openxmlformats.org/officeDocument/2006/relationships/hyperlink" Target="https://www.clubefii.com.br/fiis/RCRI11" TargetMode="External"/><Relationship Id="rId504" Type="http://schemas.openxmlformats.org/officeDocument/2006/relationships/hyperlink" Target="https://www.clubefii.com.br/fiis/HLOG11" TargetMode="External"/><Relationship Id="rId746" Type="http://schemas.openxmlformats.org/officeDocument/2006/relationships/hyperlink" Target="https://www.clubefii.com.br/fiis/MXRF11" TargetMode="External"/><Relationship Id="rId988" Type="http://schemas.openxmlformats.org/officeDocument/2006/relationships/hyperlink" Target="https://www.clubefii.com.br/fiis/RCRB11" TargetMode="External"/><Relationship Id="rId48" Type="http://schemas.openxmlformats.org/officeDocument/2006/relationships/hyperlink" Target="https://www.clubefii.com.br/fiis/ATCR11" TargetMode="External"/><Relationship Id="rId47" Type="http://schemas.openxmlformats.org/officeDocument/2006/relationships/hyperlink" Target="https://www.clubefii.com.br/fiis/ATCR11" TargetMode="External"/><Relationship Id="rId49" Type="http://schemas.openxmlformats.org/officeDocument/2006/relationships/hyperlink" Target="https://www.clubefii.com.br/fiis/ATSA11" TargetMode="External"/><Relationship Id="rId741" Type="http://schemas.openxmlformats.org/officeDocument/2006/relationships/hyperlink" Target="https://www.clubefii.com.br/fiis/MVFI11" TargetMode="External"/><Relationship Id="rId983" Type="http://schemas.openxmlformats.org/officeDocument/2006/relationships/hyperlink" Target="https://www.clubefii.com.br/fiis/RCFF11" TargetMode="External"/><Relationship Id="rId1330" Type="http://schemas.openxmlformats.org/officeDocument/2006/relationships/hyperlink" Target="https://www.clubefii.com.br/fiis/XPPR11" TargetMode="External"/><Relationship Id="rId740" Type="http://schemas.openxmlformats.org/officeDocument/2006/relationships/hyperlink" Target="https://www.clubefii.com.br/fiis/MTRS11" TargetMode="External"/><Relationship Id="rId982" Type="http://schemas.openxmlformats.org/officeDocument/2006/relationships/hyperlink" Target="https://www.clubefii.com.br/fiis/RCFF11" TargetMode="External"/><Relationship Id="rId1331" Type="http://schemas.openxmlformats.org/officeDocument/2006/relationships/hyperlink" Target="https://www.clubefii.com.br/fiis/XPPR11" TargetMode="External"/><Relationship Id="rId981" Type="http://schemas.openxmlformats.org/officeDocument/2006/relationships/hyperlink" Target="https://www.clubefii.com.br/fiis/RCFF11" TargetMode="External"/><Relationship Id="rId1332" Type="http://schemas.openxmlformats.org/officeDocument/2006/relationships/hyperlink" Target="https://www.clubefii.com.br/fiis/XPPR11" TargetMode="External"/><Relationship Id="rId980" Type="http://schemas.openxmlformats.org/officeDocument/2006/relationships/hyperlink" Target="https://www.clubefii.com.br/fiis/RCFA11" TargetMode="External"/><Relationship Id="rId1333" Type="http://schemas.openxmlformats.org/officeDocument/2006/relationships/hyperlink" Target="https://www.clubefii.com.br/fiis/XPSF11" TargetMode="External"/><Relationship Id="rId1323" Type="http://schemas.openxmlformats.org/officeDocument/2006/relationships/hyperlink" Target="https://www.clubefii.com.br/fiis/XPLG11" TargetMode="External"/><Relationship Id="rId1324" Type="http://schemas.openxmlformats.org/officeDocument/2006/relationships/hyperlink" Target="https://www.clubefii.com.br/fiis/XPLG11" TargetMode="External"/><Relationship Id="rId31" Type="http://schemas.openxmlformats.org/officeDocument/2006/relationships/hyperlink" Target="https://www.clubefii.com.br/fiis/AQLL11" TargetMode="External"/><Relationship Id="rId1325" Type="http://schemas.openxmlformats.org/officeDocument/2006/relationships/hyperlink" Target="https://www.clubefii.com.br/fiis/XPML11" TargetMode="External"/><Relationship Id="rId30" Type="http://schemas.openxmlformats.org/officeDocument/2006/relationships/hyperlink" Target="https://www.clubefii.com.br/fiis/AQLL11" TargetMode="External"/><Relationship Id="rId1326" Type="http://schemas.openxmlformats.org/officeDocument/2006/relationships/hyperlink" Target="https://www.clubefii.com.br/fiis/XPML11" TargetMode="External"/><Relationship Id="rId33" Type="http://schemas.openxmlformats.org/officeDocument/2006/relationships/hyperlink" Target="https://www.clubefii.com.br/fiis/ARCT11" TargetMode="External"/><Relationship Id="rId1327" Type="http://schemas.openxmlformats.org/officeDocument/2006/relationships/hyperlink" Target="https://www.clubefii.com.br/fiis/XPML11" TargetMode="External"/><Relationship Id="rId32" Type="http://schemas.openxmlformats.org/officeDocument/2006/relationships/hyperlink" Target="https://www.clubefii.com.br/fiis/AQLL11" TargetMode="External"/><Relationship Id="rId1328" Type="http://schemas.openxmlformats.org/officeDocument/2006/relationships/hyperlink" Target="https://www.clubefii.com.br/fiis/XPML11" TargetMode="External"/><Relationship Id="rId35" Type="http://schemas.openxmlformats.org/officeDocument/2006/relationships/hyperlink" Target="https://www.clubefii.com.br/fiis/ARCT11" TargetMode="External"/><Relationship Id="rId1329" Type="http://schemas.openxmlformats.org/officeDocument/2006/relationships/hyperlink" Target="https://www.clubefii.com.br/fiis/XPPR11" TargetMode="External"/><Relationship Id="rId34" Type="http://schemas.openxmlformats.org/officeDocument/2006/relationships/hyperlink" Target="https://www.clubefii.com.br/fiis/ARCT11" TargetMode="External"/><Relationship Id="rId739" Type="http://schemas.openxmlformats.org/officeDocument/2006/relationships/hyperlink" Target="https://www.clubefii.com.br/fiis/MTRS11" TargetMode="External"/><Relationship Id="rId734" Type="http://schemas.openxmlformats.org/officeDocument/2006/relationships/hyperlink" Target="https://www.clubefii.com.br/fiis/MTOF11" TargetMode="External"/><Relationship Id="rId976" Type="http://schemas.openxmlformats.org/officeDocument/2006/relationships/hyperlink" Target="https://www.clubefii.com.br/fiis/RCCS11" TargetMode="External"/><Relationship Id="rId733" Type="http://schemas.openxmlformats.org/officeDocument/2006/relationships/hyperlink" Target="https://www.clubefii.com.br/fiis/MTOF11" TargetMode="External"/><Relationship Id="rId975" Type="http://schemas.openxmlformats.org/officeDocument/2006/relationships/hyperlink" Target="https://www.clubefii.com.br/fiis/RCCS11" TargetMode="External"/><Relationship Id="rId732" Type="http://schemas.openxmlformats.org/officeDocument/2006/relationships/hyperlink" Target="https://www.clubefii.com.br/fiis/MSHP11" TargetMode="External"/><Relationship Id="rId974" Type="http://schemas.openxmlformats.org/officeDocument/2006/relationships/hyperlink" Target="https://www.clubefii.com.br/fiis/RCCS11" TargetMode="External"/><Relationship Id="rId731" Type="http://schemas.openxmlformats.org/officeDocument/2006/relationships/hyperlink" Target="https://www.clubefii.com.br/fiis/MSHP11" TargetMode="External"/><Relationship Id="rId973" Type="http://schemas.openxmlformats.org/officeDocument/2006/relationships/hyperlink" Target="https://www.clubefii.com.br/fiis/RCCS11" TargetMode="External"/><Relationship Id="rId738" Type="http://schemas.openxmlformats.org/officeDocument/2006/relationships/hyperlink" Target="https://www.clubefii.com.br/fiis/MTRS11" TargetMode="External"/><Relationship Id="rId737" Type="http://schemas.openxmlformats.org/officeDocument/2006/relationships/hyperlink" Target="https://www.clubefii.com.br/fiis/MTRS11" TargetMode="External"/><Relationship Id="rId979" Type="http://schemas.openxmlformats.org/officeDocument/2006/relationships/hyperlink" Target="https://www.clubefii.com.br/fiis/RCFA11" TargetMode="External"/><Relationship Id="rId736" Type="http://schemas.openxmlformats.org/officeDocument/2006/relationships/hyperlink" Target="https://www.clubefii.com.br/fiis/MTOF11" TargetMode="External"/><Relationship Id="rId978" Type="http://schemas.openxmlformats.org/officeDocument/2006/relationships/hyperlink" Target="https://www.clubefii.com.br/fiis/RCFA11" TargetMode="External"/><Relationship Id="rId735" Type="http://schemas.openxmlformats.org/officeDocument/2006/relationships/hyperlink" Target="https://www.clubefii.com.br/fiis/MTOF11" TargetMode="External"/><Relationship Id="rId977" Type="http://schemas.openxmlformats.org/officeDocument/2006/relationships/hyperlink" Target="https://www.clubefii.com.br/fiis/RCFA11" TargetMode="External"/><Relationship Id="rId37" Type="http://schemas.openxmlformats.org/officeDocument/2006/relationships/hyperlink" Target="https://www.clubefii.com.br/fiis/ARFI11B" TargetMode="External"/><Relationship Id="rId36" Type="http://schemas.openxmlformats.org/officeDocument/2006/relationships/hyperlink" Target="https://www.clubefii.com.br/fiis/ARCT11" TargetMode="External"/><Relationship Id="rId39" Type="http://schemas.openxmlformats.org/officeDocument/2006/relationships/hyperlink" Target="https://www.clubefii.com.br/fiis/ARFI11B" TargetMode="External"/><Relationship Id="rId38" Type="http://schemas.openxmlformats.org/officeDocument/2006/relationships/hyperlink" Target="https://www.clubefii.com.br/fiis/ARFI11B" TargetMode="External"/><Relationship Id="rId730" Type="http://schemas.openxmlformats.org/officeDocument/2006/relationships/hyperlink" Target="https://www.clubefii.com.br/fiis/MSHP11" TargetMode="External"/><Relationship Id="rId972" Type="http://schemas.openxmlformats.org/officeDocument/2006/relationships/hyperlink" Target="https://www.clubefii.com.br/fiis/RBVO11" TargetMode="External"/><Relationship Id="rId971" Type="http://schemas.openxmlformats.org/officeDocument/2006/relationships/hyperlink" Target="https://www.clubefii.com.br/fiis/RBVO11" TargetMode="External"/><Relationship Id="rId1320" Type="http://schemas.openxmlformats.org/officeDocument/2006/relationships/hyperlink" Target="https://www.clubefii.com.br/fiis/XPIN11" TargetMode="External"/><Relationship Id="rId970" Type="http://schemas.openxmlformats.org/officeDocument/2006/relationships/hyperlink" Target="https://www.clubefii.com.br/fiis/RBVO11" TargetMode="External"/><Relationship Id="rId1321" Type="http://schemas.openxmlformats.org/officeDocument/2006/relationships/hyperlink" Target="https://www.clubefii.com.br/fiis/XPLG11" TargetMode="External"/><Relationship Id="rId1322" Type="http://schemas.openxmlformats.org/officeDocument/2006/relationships/hyperlink" Target="https://www.clubefii.com.br/fiis/XPLG11" TargetMode="External"/><Relationship Id="rId1114" Type="http://schemas.openxmlformats.org/officeDocument/2006/relationships/hyperlink" Target="https://www.clubefii.com.br/fiis/STFI11" TargetMode="External"/><Relationship Id="rId1115" Type="http://schemas.openxmlformats.org/officeDocument/2006/relationships/hyperlink" Target="https://www.clubefii.com.br/fiis/STFI11" TargetMode="External"/><Relationship Id="rId20" Type="http://schemas.openxmlformats.org/officeDocument/2006/relationships/hyperlink" Target="https://www.clubefii.com.br/fiis/ALMI11" TargetMode="External"/><Relationship Id="rId1116" Type="http://schemas.openxmlformats.org/officeDocument/2006/relationships/hyperlink" Target="https://www.clubefii.com.br/fiis/STFI11" TargetMode="External"/><Relationship Id="rId1117" Type="http://schemas.openxmlformats.org/officeDocument/2006/relationships/hyperlink" Target="https://www.clubefii.com.br/fiis/STRX11" TargetMode="External"/><Relationship Id="rId22" Type="http://schemas.openxmlformats.org/officeDocument/2006/relationships/hyperlink" Target="https://www.clubefii.com.br/fiis/ALZR11" TargetMode="External"/><Relationship Id="rId1118" Type="http://schemas.openxmlformats.org/officeDocument/2006/relationships/hyperlink" Target="https://www.clubefii.com.br/fiis/STRX11" TargetMode="External"/><Relationship Id="rId21" Type="http://schemas.openxmlformats.org/officeDocument/2006/relationships/hyperlink" Target="https://www.clubefii.com.br/fiis/ALZR11" TargetMode="External"/><Relationship Id="rId1119" Type="http://schemas.openxmlformats.org/officeDocument/2006/relationships/hyperlink" Target="https://www.clubefii.com.br/fiis/STRX11" TargetMode="External"/><Relationship Id="rId24" Type="http://schemas.openxmlformats.org/officeDocument/2006/relationships/hyperlink" Target="https://www.clubefii.com.br/fiis/ALZR11" TargetMode="External"/><Relationship Id="rId23" Type="http://schemas.openxmlformats.org/officeDocument/2006/relationships/hyperlink" Target="https://www.clubefii.com.br/fiis/ALZR11" TargetMode="External"/><Relationship Id="rId525" Type="http://schemas.openxmlformats.org/officeDocument/2006/relationships/hyperlink" Target="https://www.clubefii.com.br/fiis/HSAF11" TargetMode="External"/><Relationship Id="rId767" Type="http://schemas.openxmlformats.org/officeDocument/2006/relationships/hyperlink" Target="https://www.clubefii.com.br/fiis/NSLU11" TargetMode="External"/><Relationship Id="rId524" Type="http://schemas.openxmlformats.org/officeDocument/2006/relationships/hyperlink" Target="https://www.clubefii.com.br/fiis/HREC11" TargetMode="External"/><Relationship Id="rId766" Type="http://schemas.openxmlformats.org/officeDocument/2006/relationships/hyperlink" Target="https://www.clubefii.com.br/fiis/NSLU11" TargetMode="External"/><Relationship Id="rId523" Type="http://schemas.openxmlformats.org/officeDocument/2006/relationships/hyperlink" Target="https://www.clubefii.com.br/fiis/HREC11" TargetMode="External"/><Relationship Id="rId765" Type="http://schemas.openxmlformats.org/officeDocument/2006/relationships/hyperlink" Target="https://www.clubefii.com.br/fiis/NSLU11" TargetMode="External"/><Relationship Id="rId522" Type="http://schemas.openxmlformats.org/officeDocument/2006/relationships/hyperlink" Target="https://www.clubefii.com.br/fiis/HREC11" TargetMode="External"/><Relationship Id="rId764" Type="http://schemas.openxmlformats.org/officeDocument/2006/relationships/hyperlink" Target="https://www.clubefii.com.br/fiis/NPAR11" TargetMode="External"/><Relationship Id="rId529" Type="http://schemas.openxmlformats.org/officeDocument/2006/relationships/hyperlink" Target="https://www.clubefii.com.br/fiis/HSLG11" TargetMode="External"/><Relationship Id="rId528" Type="http://schemas.openxmlformats.org/officeDocument/2006/relationships/hyperlink" Target="https://www.clubefii.com.br/fiis/HSAF11" TargetMode="External"/><Relationship Id="rId527" Type="http://schemas.openxmlformats.org/officeDocument/2006/relationships/hyperlink" Target="https://www.clubefii.com.br/fiis/HSAF11" TargetMode="External"/><Relationship Id="rId769" Type="http://schemas.openxmlformats.org/officeDocument/2006/relationships/hyperlink" Target="https://www.clubefii.com.br/fiis/NVHO11" TargetMode="External"/><Relationship Id="rId526" Type="http://schemas.openxmlformats.org/officeDocument/2006/relationships/hyperlink" Target="https://www.clubefii.com.br/fiis/HSAF11" TargetMode="External"/><Relationship Id="rId768" Type="http://schemas.openxmlformats.org/officeDocument/2006/relationships/hyperlink" Target="https://www.clubefii.com.br/fiis/NSLU11" TargetMode="External"/><Relationship Id="rId26" Type="http://schemas.openxmlformats.org/officeDocument/2006/relationships/hyperlink" Target="https://www.clubefii.com.br/fiis/ANCR11B" TargetMode="External"/><Relationship Id="rId25" Type="http://schemas.openxmlformats.org/officeDocument/2006/relationships/hyperlink" Target="https://www.clubefii.com.br/fiis/ANCR11B" TargetMode="External"/><Relationship Id="rId28" Type="http://schemas.openxmlformats.org/officeDocument/2006/relationships/hyperlink" Target="https://www.clubefii.com.br/fiis/ANCR11B" TargetMode="External"/><Relationship Id="rId27" Type="http://schemas.openxmlformats.org/officeDocument/2006/relationships/hyperlink" Target="https://www.clubefii.com.br/fiis/ANCR11B" TargetMode="External"/><Relationship Id="rId521" Type="http://schemas.openxmlformats.org/officeDocument/2006/relationships/hyperlink" Target="https://www.clubefii.com.br/fiis/HREC11" TargetMode="External"/><Relationship Id="rId763" Type="http://schemas.openxmlformats.org/officeDocument/2006/relationships/hyperlink" Target="https://www.clubefii.com.br/fiis/NPAR11" TargetMode="External"/><Relationship Id="rId1110" Type="http://schemas.openxmlformats.org/officeDocument/2006/relationships/hyperlink" Target="https://www.clubefii.com.br/fiis/SPVJ11" TargetMode="External"/><Relationship Id="rId29" Type="http://schemas.openxmlformats.org/officeDocument/2006/relationships/hyperlink" Target="https://www.clubefii.com.br/fiis/AQLL11" TargetMode="External"/><Relationship Id="rId520" Type="http://schemas.openxmlformats.org/officeDocument/2006/relationships/hyperlink" Target="https://www.clubefii.com.br/fiis/HRDF11" TargetMode="External"/><Relationship Id="rId762" Type="http://schemas.openxmlformats.org/officeDocument/2006/relationships/hyperlink" Target="https://www.clubefii.com.br/fiis/NPAR11" TargetMode="External"/><Relationship Id="rId1111" Type="http://schemas.openxmlformats.org/officeDocument/2006/relationships/hyperlink" Target="https://www.clubefii.com.br/fiis/SPVJ11" TargetMode="External"/><Relationship Id="rId761" Type="http://schemas.openxmlformats.org/officeDocument/2006/relationships/hyperlink" Target="https://www.clubefii.com.br/fiis/NPAR11" TargetMode="External"/><Relationship Id="rId1112" Type="http://schemas.openxmlformats.org/officeDocument/2006/relationships/hyperlink" Target="https://www.clubefii.com.br/fiis/SPVJ11" TargetMode="External"/><Relationship Id="rId760" Type="http://schemas.openxmlformats.org/officeDocument/2006/relationships/hyperlink" Target="https://www.clubefii.com.br/fiis/NEWU11" TargetMode="External"/><Relationship Id="rId1113" Type="http://schemas.openxmlformats.org/officeDocument/2006/relationships/hyperlink" Target="https://www.clubefii.com.br/fiis/STFI11" TargetMode="External"/><Relationship Id="rId1103" Type="http://schemas.openxmlformats.org/officeDocument/2006/relationships/hyperlink" Target="https://www.clubefii.com.br/fiis/SPAF11" TargetMode="External"/><Relationship Id="rId1104" Type="http://schemas.openxmlformats.org/officeDocument/2006/relationships/hyperlink" Target="https://www.clubefii.com.br/fiis/SPAF11" TargetMode="External"/><Relationship Id="rId1105" Type="http://schemas.openxmlformats.org/officeDocument/2006/relationships/hyperlink" Target="https://www.clubefii.com.br/fiis/SPTW11" TargetMode="External"/><Relationship Id="rId1106" Type="http://schemas.openxmlformats.org/officeDocument/2006/relationships/hyperlink" Target="https://www.clubefii.com.br/fiis/SPTW11" TargetMode="External"/><Relationship Id="rId11" Type="http://schemas.openxmlformats.org/officeDocument/2006/relationships/hyperlink" Target="https://www.clubefii.com.br/fiis/AFOF11" TargetMode="External"/><Relationship Id="rId1107" Type="http://schemas.openxmlformats.org/officeDocument/2006/relationships/hyperlink" Target="https://www.clubefii.com.br/fiis/SPTW11" TargetMode="External"/><Relationship Id="rId10" Type="http://schemas.openxmlformats.org/officeDocument/2006/relationships/hyperlink" Target="https://www.clubefii.com.br/fiis/AFOF11" TargetMode="External"/><Relationship Id="rId1108" Type="http://schemas.openxmlformats.org/officeDocument/2006/relationships/hyperlink" Target="https://www.clubefii.com.br/fiis/SPTW11" TargetMode="External"/><Relationship Id="rId13" Type="http://schemas.openxmlformats.org/officeDocument/2006/relationships/hyperlink" Target="https://www.clubefii.com.br/fiis/AIEC11" TargetMode="External"/><Relationship Id="rId1109" Type="http://schemas.openxmlformats.org/officeDocument/2006/relationships/hyperlink" Target="https://www.clubefii.com.br/fiis/SPVJ11" TargetMode="External"/><Relationship Id="rId12" Type="http://schemas.openxmlformats.org/officeDocument/2006/relationships/hyperlink" Target="https://www.clubefii.com.br/fiis/AFOF11" TargetMode="External"/><Relationship Id="rId519" Type="http://schemas.openxmlformats.org/officeDocument/2006/relationships/hyperlink" Target="https://www.clubefii.com.br/fiis/HRDF11" TargetMode="External"/><Relationship Id="rId514" Type="http://schemas.openxmlformats.org/officeDocument/2006/relationships/hyperlink" Target="https://www.clubefii.com.br/fiis/HPDP11" TargetMode="External"/><Relationship Id="rId756" Type="http://schemas.openxmlformats.org/officeDocument/2006/relationships/hyperlink" Target="https://www.clubefii.com.br/fiis/NEWL11" TargetMode="External"/><Relationship Id="rId998" Type="http://schemas.openxmlformats.org/officeDocument/2006/relationships/hyperlink" Target="https://www.clubefii.com.br/fiis/RECH11" TargetMode="External"/><Relationship Id="rId513" Type="http://schemas.openxmlformats.org/officeDocument/2006/relationships/hyperlink" Target="https://www.clubefii.com.br/fiis/HPDP11" TargetMode="External"/><Relationship Id="rId755" Type="http://schemas.openxmlformats.org/officeDocument/2006/relationships/hyperlink" Target="https://www.clubefii.com.br/fiis/NEWL11" TargetMode="External"/><Relationship Id="rId997" Type="http://schemas.openxmlformats.org/officeDocument/2006/relationships/hyperlink" Target="https://www.clubefii.com.br/fiis/RECH11" TargetMode="External"/><Relationship Id="rId512" Type="http://schemas.openxmlformats.org/officeDocument/2006/relationships/hyperlink" Target="https://www.clubefii.com.br/fiis/HOSI11" TargetMode="External"/><Relationship Id="rId754" Type="http://schemas.openxmlformats.org/officeDocument/2006/relationships/hyperlink" Target="https://www.clubefii.com.br/fiis/NEWL11" TargetMode="External"/><Relationship Id="rId996" Type="http://schemas.openxmlformats.org/officeDocument/2006/relationships/hyperlink" Target="https://www.clubefii.com.br/fiis/RDPD11" TargetMode="External"/><Relationship Id="rId511" Type="http://schemas.openxmlformats.org/officeDocument/2006/relationships/hyperlink" Target="https://www.clubefii.com.br/fiis/HOSI11" TargetMode="External"/><Relationship Id="rId753" Type="http://schemas.openxmlformats.org/officeDocument/2006/relationships/hyperlink" Target="https://www.clubefii.com.br/fiis/NEWL11" TargetMode="External"/><Relationship Id="rId995" Type="http://schemas.openxmlformats.org/officeDocument/2006/relationships/hyperlink" Target="https://www.clubefii.com.br/fiis/RDPD11" TargetMode="External"/><Relationship Id="rId518" Type="http://schemas.openxmlformats.org/officeDocument/2006/relationships/hyperlink" Target="https://www.clubefii.com.br/fiis/HRDF11" TargetMode="External"/><Relationship Id="rId517" Type="http://schemas.openxmlformats.org/officeDocument/2006/relationships/hyperlink" Target="https://www.clubefii.com.br/fiis/HRDF11" TargetMode="External"/><Relationship Id="rId759" Type="http://schemas.openxmlformats.org/officeDocument/2006/relationships/hyperlink" Target="https://www.clubefii.com.br/fiis/NEWU11" TargetMode="External"/><Relationship Id="rId516" Type="http://schemas.openxmlformats.org/officeDocument/2006/relationships/hyperlink" Target="https://www.clubefii.com.br/fiis/HPDP11" TargetMode="External"/><Relationship Id="rId758" Type="http://schemas.openxmlformats.org/officeDocument/2006/relationships/hyperlink" Target="https://www.clubefii.com.br/fiis/NEWU11" TargetMode="External"/><Relationship Id="rId515" Type="http://schemas.openxmlformats.org/officeDocument/2006/relationships/hyperlink" Target="https://www.clubefii.com.br/fiis/HPDP11" TargetMode="External"/><Relationship Id="rId757" Type="http://schemas.openxmlformats.org/officeDocument/2006/relationships/hyperlink" Target="https://www.clubefii.com.br/fiis/NEWU11" TargetMode="External"/><Relationship Id="rId999" Type="http://schemas.openxmlformats.org/officeDocument/2006/relationships/hyperlink" Target="https://www.clubefii.com.br/fiis/RECH11" TargetMode="External"/><Relationship Id="rId15" Type="http://schemas.openxmlformats.org/officeDocument/2006/relationships/hyperlink" Target="https://www.clubefii.com.br/fiis/AIEC11" TargetMode="External"/><Relationship Id="rId990" Type="http://schemas.openxmlformats.org/officeDocument/2006/relationships/hyperlink" Target="https://www.clubefii.com.br/fiis/RCRI11" TargetMode="External"/><Relationship Id="rId14" Type="http://schemas.openxmlformats.org/officeDocument/2006/relationships/hyperlink" Target="https://www.clubefii.com.br/fiis/AIEC11" TargetMode="External"/><Relationship Id="rId17" Type="http://schemas.openxmlformats.org/officeDocument/2006/relationships/hyperlink" Target="https://www.clubefii.com.br/fiis/ALMI11" TargetMode="External"/><Relationship Id="rId16" Type="http://schemas.openxmlformats.org/officeDocument/2006/relationships/hyperlink" Target="https://www.clubefii.com.br/fiis/AIEC11" TargetMode="External"/><Relationship Id="rId1340" Type="http://schemas.openxmlformats.org/officeDocument/2006/relationships/hyperlink" Target="https://www.clubefii.com.br/fiis/XTED11" TargetMode="External"/><Relationship Id="rId19" Type="http://schemas.openxmlformats.org/officeDocument/2006/relationships/hyperlink" Target="https://www.clubefii.com.br/fiis/ALMI11" TargetMode="External"/><Relationship Id="rId510" Type="http://schemas.openxmlformats.org/officeDocument/2006/relationships/hyperlink" Target="https://www.clubefii.com.br/fiis/HOSI11" TargetMode="External"/><Relationship Id="rId752" Type="http://schemas.openxmlformats.org/officeDocument/2006/relationships/hyperlink" Target="https://www.clubefii.com.br/fiis/NCHB11" TargetMode="External"/><Relationship Id="rId994" Type="http://schemas.openxmlformats.org/officeDocument/2006/relationships/hyperlink" Target="https://www.clubefii.com.br/fiis/RDPD11" TargetMode="External"/><Relationship Id="rId1341" Type="http://schemas.openxmlformats.org/officeDocument/2006/relationships/drawing" Target="../drawings/drawing5.xml"/><Relationship Id="rId18" Type="http://schemas.openxmlformats.org/officeDocument/2006/relationships/hyperlink" Target="https://www.clubefii.com.br/fiis/ALMI11" TargetMode="External"/><Relationship Id="rId751" Type="http://schemas.openxmlformats.org/officeDocument/2006/relationships/hyperlink" Target="https://www.clubefii.com.br/fiis/NCHB11" TargetMode="External"/><Relationship Id="rId993" Type="http://schemas.openxmlformats.org/officeDocument/2006/relationships/hyperlink" Target="https://www.clubefii.com.br/fiis/RDPD11" TargetMode="External"/><Relationship Id="rId1100" Type="http://schemas.openxmlformats.org/officeDocument/2006/relationships/hyperlink" Target="https://www.clubefii.com.br/fiis/SOLR11" TargetMode="External"/><Relationship Id="rId750" Type="http://schemas.openxmlformats.org/officeDocument/2006/relationships/hyperlink" Target="https://www.clubefii.com.br/fiis/NCHB11" TargetMode="External"/><Relationship Id="rId992" Type="http://schemas.openxmlformats.org/officeDocument/2006/relationships/hyperlink" Target="https://www.clubefii.com.br/fiis/RCRI11" TargetMode="External"/><Relationship Id="rId1101" Type="http://schemas.openxmlformats.org/officeDocument/2006/relationships/hyperlink" Target="https://www.clubefii.com.br/fiis/SPAF11" TargetMode="External"/><Relationship Id="rId991" Type="http://schemas.openxmlformats.org/officeDocument/2006/relationships/hyperlink" Target="https://www.clubefii.com.br/fiis/RCRI11" TargetMode="External"/><Relationship Id="rId1102" Type="http://schemas.openxmlformats.org/officeDocument/2006/relationships/hyperlink" Target="https://www.clubefii.com.br/fiis/SPAF11" TargetMode="External"/><Relationship Id="rId84" Type="http://schemas.openxmlformats.org/officeDocument/2006/relationships/hyperlink" Target="https://www.clubefii.com.br/fiis/BCIA11" TargetMode="External"/><Relationship Id="rId83" Type="http://schemas.openxmlformats.org/officeDocument/2006/relationships/hyperlink" Target="https://www.clubefii.com.br/fiis/BCIA11" TargetMode="External"/><Relationship Id="rId86" Type="http://schemas.openxmlformats.org/officeDocument/2006/relationships/hyperlink" Target="https://www.clubefii.com.br/fiis/BCRI11" TargetMode="External"/><Relationship Id="rId85" Type="http://schemas.openxmlformats.org/officeDocument/2006/relationships/hyperlink" Target="https://www.clubefii.com.br/fiis/BCRI11" TargetMode="External"/><Relationship Id="rId88" Type="http://schemas.openxmlformats.org/officeDocument/2006/relationships/hyperlink" Target="https://www.clubefii.com.br/fiis/BCRI11" TargetMode="External"/><Relationship Id="rId87" Type="http://schemas.openxmlformats.org/officeDocument/2006/relationships/hyperlink" Target="https://www.clubefii.com.br/fiis/BCRI11" TargetMode="External"/><Relationship Id="rId89" Type="http://schemas.openxmlformats.org/officeDocument/2006/relationships/hyperlink" Target="https://www.clubefii.com.br/fiis/BICR11" TargetMode="External"/><Relationship Id="rId709" Type="http://schemas.openxmlformats.org/officeDocument/2006/relationships/hyperlink" Target="https://www.clubefii.com.br/fiis/MGFF11" TargetMode="External"/><Relationship Id="rId708" Type="http://schemas.openxmlformats.org/officeDocument/2006/relationships/hyperlink" Target="https://www.clubefii.com.br/fiis/MGCR11" TargetMode="External"/><Relationship Id="rId707" Type="http://schemas.openxmlformats.org/officeDocument/2006/relationships/hyperlink" Target="https://www.clubefii.com.br/fiis/MGCR11" TargetMode="External"/><Relationship Id="rId949" Type="http://schemas.openxmlformats.org/officeDocument/2006/relationships/hyperlink" Target="https://www.clubefii.com.br/fiis/RBRR11" TargetMode="External"/><Relationship Id="rId706" Type="http://schemas.openxmlformats.org/officeDocument/2006/relationships/hyperlink" Target="https://www.clubefii.com.br/fiis/MGCR11" TargetMode="External"/><Relationship Id="rId948" Type="http://schemas.openxmlformats.org/officeDocument/2006/relationships/hyperlink" Target="https://www.clubefii.com.br/fiis/RBRP11" TargetMode="External"/><Relationship Id="rId80" Type="http://schemas.openxmlformats.org/officeDocument/2006/relationships/hyperlink" Target="https://www.clubefii.com.br/fiis/BCFF11" TargetMode="External"/><Relationship Id="rId82" Type="http://schemas.openxmlformats.org/officeDocument/2006/relationships/hyperlink" Target="https://www.clubefii.com.br/fiis/BCIA11" TargetMode="External"/><Relationship Id="rId81" Type="http://schemas.openxmlformats.org/officeDocument/2006/relationships/hyperlink" Target="https://www.clubefii.com.br/fiis/BCIA11" TargetMode="External"/><Relationship Id="rId701" Type="http://schemas.openxmlformats.org/officeDocument/2006/relationships/hyperlink" Target="https://www.clubefii.com.br/fiis/MFII11" TargetMode="External"/><Relationship Id="rId943" Type="http://schemas.openxmlformats.org/officeDocument/2006/relationships/hyperlink" Target="https://www.clubefii.com.br/fiis/RBRM11" TargetMode="External"/><Relationship Id="rId700" Type="http://schemas.openxmlformats.org/officeDocument/2006/relationships/hyperlink" Target="https://www.clubefii.com.br/fiis/MFAI11" TargetMode="External"/><Relationship Id="rId942" Type="http://schemas.openxmlformats.org/officeDocument/2006/relationships/hyperlink" Target="https://www.clubefii.com.br/fiis/RBRM11" TargetMode="External"/><Relationship Id="rId941" Type="http://schemas.openxmlformats.org/officeDocument/2006/relationships/hyperlink" Target="https://www.clubefii.com.br/fiis/RBRM11" TargetMode="External"/><Relationship Id="rId940" Type="http://schemas.openxmlformats.org/officeDocument/2006/relationships/hyperlink" Target="https://www.clubefii.com.br/fiis/RBRL11" TargetMode="External"/><Relationship Id="rId705" Type="http://schemas.openxmlformats.org/officeDocument/2006/relationships/hyperlink" Target="https://www.clubefii.com.br/fiis/MGCR11" TargetMode="External"/><Relationship Id="rId947" Type="http://schemas.openxmlformats.org/officeDocument/2006/relationships/hyperlink" Target="https://www.clubefii.com.br/fiis/RBRP11" TargetMode="External"/><Relationship Id="rId704" Type="http://schemas.openxmlformats.org/officeDocument/2006/relationships/hyperlink" Target="https://www.clubefii.com.br/fiis/MFII11" TargetMode="External"/><Relationship Id="rId946" Type="http://schemas.openxmlformats.org/officeDocument/2006/relationships/hyperlink" Target="https://www.clubefii.com.br/fiis/RBRP11" TargetMode="External"/><Relationship Id="rId703" Type="http://schemas.openxmlformats.org/officeDocument/2006/relationships/hyperlink" Target="https://www.clubefii.com.br/fiis/MFII11" TargetMode="External"/><Relationship Id="rId945" Type="http://schemas.openxmlformats.org/officeDocument/2006/relationships/hyperlink" Target="https://www.clubefii.com.br/fiis/RBRP11" TargetMode="External"/><Relationship Id="rId702" Type="http://schemas.openxmlformats.org/officeDocument/2006/relationships/hyperlink" Target="https://www.clubefii.com.br/fiis/MFII11" TargetMode="External"/><Relationship Id="rId944" Type="http://schemas.openxmlformats.org/officeDocument/2006/relationships/hyperlink" Target="https://www.clubefii.com.br/fiis/RBRM11" TargetMode="External"/><Relationship Id="rId73" Type="http://schemas.openxmlformats.org/officeDocument/2006/relationships/hyperlink" Target="https://www.clubefii.com.br/fiis/BBVJ11" TargetMode="External"/><Relationship Id="rId72" Type="http://schemas.openxmlformats.org/officeDocument/2006/relationships/hyperlink" Target="https://www.clubefii.com.br/fiis/BBRC11" TargetMode="External"/><Relationship Id="rId75" Type="http://schemas.openxmlformats.org/officeDocument/2006/relationships/hyperlink" Target="https://www.clubefii.com.br/fiis/BBVJ11" TargetMode="External"/><Relationship Id="rId74" Type="http://schemas.openxmlformats.org/officeDocument/2006/relationships/hyperlink" Target="https://www.clubefii.com.br/fiis/BBVJ11" TargetMode="External"/><Relationship Id="rId77" Type="http://schemas.openxmlformats.org/officeDocument/2006/relationships/hyperlink" Target="https://www.clubefii.com.br/fiis/BCFF11" TargetMode="External"/><Relationship Id="rId76" Type="http://schemas.openxmlformats.org/officeDocument/2006/relationships/hyperlink" Target="https://www.clubefii.com.br/fiis/BBVJ11" TargetMode="External"/><Relationship Id="rId79" Type="http://schemas.openxmlformats.org/officeDocument/2006/relationships/hyperlink" Target="https://www.clubefii.com.br/fiis/BCFF11" TargetMode="External"/><Relationship Id="rId78" Type="http://schemas.openxmlformats.org/officeDocument/2006/relationships/hyperlink" Target="https://www.clubefii.com.br/fiis/BCFF11" TargetMode="External"/><Relationship Id="rId939" Type="http://schemas.openxmlformats.org/officeDocument/2006/relationships/hyperlink" Target="https://www.clubefii.com.br/fiis/RBRL11" TargetMode="External"/><Relationship Id="rId938" Type="http://schemas.openxmlformats.org/officeDocument/2006/relationships/hyperlink" Target="https://www.clubefii.com.br/fiis/RBRL11" TargetMode="External"/><Relationship Id="rId937" Type="http://schemas.openxmlformats.org/officeDocument/2006/relationships/hyperlink" Target="https://www.clubefii.com.br/fiis/RBRL11" TargetMode="External"/><Relationship Id="rId71" Type="http://schemas.openxmlformats.org/officeDocument/2006/relationships/hyperlink" Target="https://www.clubefii.com.br/fiis/BBRC11" TargetMode="External"/><Relationship Id="rId70" Type="http://schemas.openxmlformats.org/officeDocument/2006/relationships/hyperlink" Target="https://www.clubefii.com.br/fiis/BBRC11" TargetMode="External"/><Relationship Id="rId932" Type="http://schemas.openxmlformats.org/officeDocument/2006/relationships/hyperlink" Target="https://www.clubefii.com.br/fiis/RBRD11" TargetMode="External"/><Relationship Id="rId931" Type="http://schemas.openxmlformats.org/officeDocument/2006/relationships/hyperlink" Target="https://www.clubefii.com.br/fiis/RBRD11" TargetMode="External"/><Relationship Id="rId930" Type="http://schemas.openxmlformats.org/officeDocument/2006/relationships/hyperlink" Target="https://www.clubefii.com.br/fiis/RBRD11" TargetMode="External"/><Relationship Id="rId936" Type="http://schemas.openxmlformats.org/officeDocument/2006/relationships/hyperlink" Target="https://www.clubefii.com.br/fiis/RBRF11" TargetMode="External"/><Relationship Id="rId935" Type="http://schemas.openxmlformats.org/officeDocument/2006/relationships/hyperlink" Target="https://www.clubefii.com.br/fiis/RBRF11" TargetMode="External"/><Relationship Id="rId934" Type="http://schemas.openxmlformats.org/officeDocument/2006/relationships/hyperlink" Target="https://www.clubefii.com.br/fiis/RBRF11" TargetMode="External"/><Relationship Id="rId933" Type="http://schemas.openxmlformats.org/officeDocument/2006/relationships/hyperlink" Target="https://www.clubefii.com.br/fiis/RBRF11" TargetMode="External"/><Relationship Id="rId62" Type="http://schemas.openxmlformats.org/officeDocument/2006/relationships/hyperlink" Target="https://www.clubefii.com.br/fiis/BBIM11" TargetMode="External"/><Relationship Id="rId1312" Type="http://schemas.openxmlformats.org/officeDocument/2006/relationships/hyperlink" Target="https://www.clubefii.com.br/fiis/XPHT11" TargetMode="External"/><Relationship Id="rId61" Type="http://schemas.openxmlformats.org/officeDocument/2006/relationships/hyperlink" Target="https://www.clubefii.com.br/fiis/BBIM11" TargetMode="External"/><Relationship Id="rId1313" Type="http://schemas.openxmlformats.org/officeDocument/2006/relationships/hyperlink" Target="https://www.clubefii.com.br/fiis/XPHT12" TargetMode="External"/><Relationship Id="rId64" Type="http://schemas.openxmlformats.org/officeDocument/2006/relationships/hyperlink" Target="https://www.clubefii.com.br/fiis/BBIM11" TargetMode="External"/><Relationship Id="rId1314" Type="http://schemas.openxmlformats.org/officeDocument/2006/relationships/hyperlink" Target="https://www.clubefii.com.br/fiis/XPHT12" TargetMode="External"/><Relationship Id="rId63" Type="http://schemas.openxmlformats.org/officeDocument/2006/relationships/hyperlink" Target="https://www.clubefii.com.br/fiis/BBIM11" TargetMode="External"/><Relationship Id="rId1315" Type="http://schemas.openxmlformats.org/officeDocument/2006/relationships/hyperlink" Target="https://www.clubefii.com.br/fiis/XPHT12" TargetMode="External"/><Relationship Id="rId66" Type="http://schemas.openxmlformats.org/officeDocument/2006/relationships/hyperlink" Target="https://www.clubefii.com.br/fiis/BBPO11" TargetMode="External"/><Relationship Id="rId1316" Type="http://schemas.openxmlformats.org/officeDocument/2006/relationships/hyperlink" Target="https://www.clubefii.com.br/fiis/XPHT12" TargetMode="External"/><Relationship Id="rId65" Type="http://schemas.openxmlformats.org/officeDocument/2006/relationships/hyperlink" Target="https://www.clubefii.com.br/fiis/BBPO11" TargetMode="External"/><Relationship Id="rId1317" Type="http://schemas.openxmlformats.org/officeDocument/2006/relationships/hyperlink" Target="https://www.clubefii.com.br/fiis/XPIN11" TargetMode="External"/><Relationship Id="rId68" Type="http://schemas.openxmlformats.org/officeDocument/2006/relationships/hyperlink" Target="https://www.clubefii.com.br/fiis/BBPO11" TargetMode="External"/><Relationship Id="rId1318" Type="http://schemas.openxmlformats.org/officeDocument/2006/relationships/hyperlink" Target="https://www.clubefii.com.br/fiis/XPIN11" TargetMode="External"/><Relationship Id="rId67" Type="http://schemas.openxmlformats.org/officeDocument/2006/relationships/hyperlink" Target="https://www.clubefii.com.br/fiis/BBPO11" TargetMode="External"/><Relationship Id="rId1319" Type="http://schemas.openxmlformats.org/officeDocument/2006/relationships/hyperlink" Target="https://www.clubefii.com.br/fiis/XPIN11" TargetMode="External"/><Relationship Id="rId729" Type="http://schemas.openxmlformats.org/officeDocument/2006/relationships/hyperlink" Target="https://www.clubefii.com.br/fiis/MSHP11" TargetMode="External"/><Relationship Id="rId728" Type="http://schemas.openxmlformats.org/officeDocument/2006/relationships/hyperlink" Target="https://www.clubefii.com.br/fiis/MORE11" TargetMode="External"/><Relationship Id="rId60" Type="http://schemas.openxmlformats.org/officeDocument/2006/relationships/hyperlink" Target="https://www.clubefii.com.br/fiis/BBFI11B" TargetMode="External"/><Relationship Id="rId723" Type="http://schemas.openxmlformats.org/officeDocument/2006/relationships/hyperlink" Target="https://www.clubefii.com.br/fiis/MOFF11" TargetMode="External"/><Relationship Id="rId965" Type="http://schemas.openxmlformats.org/officeDocument/2006/relationships/hyperlink" Target="https://www.clubefii.com.br/fiis/RBVA11" TargetMode="External"/><Relationship Id="rId722" Type="http://schemas.openxmlformats.org/officeDocument/2006/relationships/hyperlink" Target="https://www.clubefii.com.br/fiis/MOFF11" TargetMode="External"/><Relationship Id="rId964" Type="http://schemas.openxmlformats.org/officeDocument/2006/relationships/hyperlink" Target="https://www.clubefii.com.br/fiis/RBTS11" TargetMode="External"/><Relationship Id="rId721" Type="http://schemas.openxmlformats.org/officeDocument/2006/relationships/hyperlink" Target="https://www.clubefii.com.br/fiis/MOFF11" TargetMode="External"/><Relationship Id="rId963" Type="http://schemas.openxmlformats.org/officeDocument/2006/relationships/hyperlink" Target="https://www.clubefii.com.br/fiis/RBTS11" TargetMode="External"/><Relationship Id="rId720" Type="http://schemas.openxmlformats.org/officeDocument/2006/relationships/hyperlink" Target="https://www.clubefii.com.br/fiis/MINT11" TargetMode="External"/><Relationship Id="rId962" Type="http://schemas.openxmlformats.org/officeDocument/2006/relationships/hyperlink" Target="https://www.clubefii.com.br/fiis/RBTS11" TargetMode="External"/><Relationship Id="rId727" Type="http://schemas.openxmlformats.org/officeDocument/2006/relationships/hyperlink" Target="https://www.clubefii.com.br/fiis/MORE11" TargetMode="External"/><Relationship Id="rId969" Type="http://schemas.openxmlformats.org/officeDocument/2006/relationships/hyperlink" Target="https://www.clubefii.com.br/fiis/RBVO11" TargetMode="External"/><Relationship Id="rId726" Type="http://schemas.openxmlformats.org/officeDocument/2006/relationships/hyperlink" Target="https://www.clubefii.com.br/fiis/MORE11" TargetMode="External"/><Relationship Id="rId968" Type="http://schemas.openxmlformats.org/officeDocument/2006/relationships/hyperlink" Target="https://www.clubefii.com.br/fiis/RBVA11" TargetMode="External"/><Relationship Id="rId725" Type="http://schemas.openxmlformats.org/officeDocument/2006/relationships/hyperlink" Target="https://www.clubefii.com.br/fiis/MORE11" TargetMode="External"/><Relationship Id="rId967" Type="http://schemas.openxmlformats.org/officeDocument/2006/relationships/hyperlink" Target="https://www.clubefii.com.br/fiis/RBVA11" TargetMode="External"/><Relationship Id="rId724" Type="http://schemas.openxmlformats.org/officeDocument/2006/relationships/hyperlink" Target="https://www.clubefii.com.br/fiis/MOFF11" TargetMode="External"/><Relationship Id="rId966" Type="http://schemas.openxmlformats.org/officeDocument/2006/relationships/hyperlink" Target="https://www.clubefii.com.br/fiis/RBVA11" TargetMode="External"/><Relationship Id="rId69" Type="http://schemas.openxmlformats.org/officeDocument/2006/relationships/hyperlink" Target="https://www.clubefii.com.br/fiis/BBRC11" TargetMode="External"/><Relationship Id="rId961" Type="http://schemas.openxmlformats.org/officeDocument/2006/relationships/hyperlink" Target="https://www.clubefii.com.br/fiis/RBTS11" TargetMode="External"/><Relationship Id="rId960" Type="http://schemas.openxmlformats.org/officeDocument/2006/relationships/hyperlink" Target="https://www.clubefii.com.br/fiis/RBRY11" TargetMode="External"/><Relationship Id="rId1310" Type="http://schemas.openxmlformats.org/officeDocument/2006/relationships/hyperlink" Target="https://www.clubefii.com.br/fiis/XPHT11" TargetMode="External"/><Relationship Id="rId1311" Type="http://schemas.openxmlformats.org/officeDocument/2006/relationships/hyperlink" Target="https://www.clubefii.com.br/fiis/XPHT11" TargetMode="External"/><Relationship Id="rId51" Type="http://schemas.openxmlformats.org/officeDocument/2006/relationships/hyperlink" Target="https://www.clubefii.com.br/fiis/ATSA11" TargetMode="External"/><Relationship Id="rId1301" Type="http://schemas.openxmlformats.org/officeDocument/2006/relationships/hyperlink" Target="https://www.clubefii.com.br/fiis/XPCM11" TargetMode="External"/><Relationship Id="rId50" Type="http://schemas.openxmlformats.org/officeDocument/2006/relationships/hyperlink" Target="https://www.clubefii.com.br/fiis/ATSA11" TargetMode="External"/><Relationship Id="rId1302" Type="http://schemas.openxmlformats.org/officeDocument/2006/relationships/hyperlink" Target="https://www.clubefii.com.br/fiis/XPCM11" TargetMode="External"/><Relationship Id="rId53" Type="http://schemas.openxmlformats.org/officeDocument/2006/relationships/hyperlink" Target="https://www.clubefii.com.br/fiis/BARI11" TargetMode="External"/><Relationship Id="rId1303" Type="http://schemas.openxmlformats.org/officeDocument/2006/relationships/hyperlink" Target="https://www.clubefii.com.br/fiis/XPCM11" TargetMode="External"/><Relationship Id="rId52" Type="http://schemas.openxmlformats.org/officeDocument/2006/relationships/hyperlink" Target="https://www.clubefii.com.br/fiis/ATSA11" TargetMode="External"/><Relationship Id="rId1304" Type="http://schemas.openxmlformats.org/officeDocument/2006/relationships/hyperlink" Target="https://www.clubefii.com.br/fiis/XPCM11" TargetMode="External"/><Relationship Id="rId55" Type="http://schemas.openxmlformats.org/officeDocument/2006/relationships/hyperlink" Target="https://www.clubefii.com.br/fiis/BARI11" TargetMode="External"/><Relationship Id="rId1305" Type="http://schemas.openxmlformats.org/officeDocument/2006/relationships/hyperlink" Target="https://www.clubefii.com.br/fiis/XPGA11" TargetMode="External"/><Relationship Id="rId54" Type="http://schemas.openxmlformats.org/officeDocument/2006/relationships/hyperlink" Target="https://www.clubefii.com.br/fiis/BARI11" TargetMode="External"/><Relationship Id="rId1306" Type="http://schemas.openxmlformats.org/officeDocument/2006/relationships/hyperlink" Target="https://www.clubefii.com.br/fiis/XPGA11" TargetMode="External"/><Relationship Id="rId57" Type="http://schemas.openxmlformats.org/officeDocument/2006/relationships/hyperlink" Target="https://www.clubefii.com.br/fiis/BBFI11B" TargetMode="External"/><Relationship Id="rId1307" Type="http://schemas.openxmlformats.org/officeDocument/2006/relationships/hyperlink" Target="https://www.clubefii.com.br/fiis/XPGA11" TargetMode="External"/><Relationship Id="rId56" Type="http://schemas.openxmlformats.org/officeDocument/2006/relationships/hyperlink" Target="https://www.clubefii.com.br/fiis/BARI11" TargetMode="External"/><Relationship Id="rId1308" Type="http://schemas.openxmlformats.org/officeDocument/2006/relationships/hyperlink" Target="https://www.clubefii.com.br/fiis/XPGA11" TargetMode="External"/><Relationship Id="rId1309" Type="http://schemas.openxmlformats.org/officeDocument/2006/relationships/hyperlink" Target="https://www.clubefii.com.br/fiis/XPHT11" TargetMode="External"/><Relationship Id="rId719" Type="http://schemas.openxmlformats.org/officeDocument/2006/relationships/hyperlink" Target="https://www.clubefii.com.br/fiis/MINT11" TargetMode="External"/><Relationship Id="rId718" Type="http://schemas.openxmlformats.org/officeDocument/2006/relationships/hyperlink" Target="https://www.clubefii.com.br/fiis/MINT11" TargetMode="External"/><Relationship Id="rId717" Type="http://schemas.openxmlformats.org/officeDocument/2006/relationships/hyperlink" Target="https://www.clubefii.com.br/fiis/MINT11" TargetMode="External"/><Relationship Id="rId959" Type="http://schemas.openxmlformats.org/officeDocument/2006/relationships/hyperlink" Target="https://www.clubefii.com.br/fiis/RBRY11" TargetMode="External"/><Relationship Id="rId712" Type="http://schemas.openxmlformats.org/officeDocument/2006/relationships/hyperlink" Target="https://www.clubefii.com.br/fiis/MGFF11" TargetMode="External"/><Relationship Id="rId954" Type="http://schemas.openxmlformats.org/officeDocument/2006/relationships/hyperlink" Target="https://www.clubefii.com.br/fiis/RBRS11" TargetMode="External"/><Relationship Id="rId711" Type="http://schemas.openxmlformats.org/officeDocument/2006/relationships/hyperlink" Target="https://www.clubefii.com.br/fiis/MGFF11" TargetMode="External"/><Relationship Id="rId953" Type="http://schemas.openxmlformats.org/officeDocument/2006/relationships/hyperlink" Target="https://www.clubefii.com.br/fiis/RBRS11" TargetMode="External"/><Relationship Id="rId710" Type="http://schemas.openxmlformats.org/officeDocument/2006/relationships/hyperlink" Target="https://www.clubefii.com.br/fiis/MGFF11" TargetMode="External"/><Relationship Id="rId952" Type="http://schemas.openxmlformats.org/officeDocument/2006/relationships/hyperlink" Target="https://www.clubefii.com.br/fiis/RBRR11" TargetMode="External"/><Relationship Id="rId951" Type="http://schemas.openxmlformats.org/officeDocument/2006/relationships/hyperlink" Target="https://www.clubefii.com.br/fiis/RBRR11" TargetMode="External"/><Relationship Id="rId716" Type="http://schemas.openxmlformats.org/officeDocument/2006/relationships/hyperlink" Target="https://www.clubefii.com.br/fiis/MGHT11" TargetMode="External"/><Relationship Id="rId958" Type="http://schemas.openxmlformats.org/officeDocument/2006/relationships/hyperlink" Target="https://www.clubefii.com.br/fiis/RBRY11" TargetMode="External"/><Relationship Id="rId715" Type="http://schemas.openxmlformats.org/officeDocument/2006/relationships/hyperlink" Target="https://www.clubefii.com.br/fiis/MGHT11" TargetMode="External"/><Relationship Id="rId957" Type="http://schemas.openxmlformats.org/officeDocument/2006/relationships/hyperlink" Target="https://www.clubefii.com.br/fiis/RBRY11" TargetMode="External"/><Relationship Id="rId714" Type="http://schemas.openxmlformats.org/officeDocument/2006/relationships/hyperlink" Target="https://www.clubefii.com.br/fiis/MGHT11" TargetMode="External"/><Relationship Id="rId956" Type="http://schemas.openxmlformats.org/officeDocument/2006/relationships/hyperlink" Target="https://www.clubefii.com.br/fiis/RBRS11" TargetMode="External"/><Relationship Id="rId713" Type="http://schemas.openxmlformats.org/officeDocument/2006/relationships/hyperlink" Target="https://www.clubefii.com.br/fiis/MGHT11" TargetMode="External"/><Relationship Id="rId955" Type="http://schemas.openxmlformats.org/officeDocument/2006/relationships/hyperlink" Target="https://www.clubefii.com.br/fiis/RBRS11" TargetMode="External"/><Relationship Id="rId59" Type="http://schemas.openxmlformats.org/officeDocument/2006/relationships/hyperlink" Target="https://www.clubefii.com.br/fiis/BBFI11B" TargetMode="External"/><Relationship Id="rId58" Type="http://schemas.openxmlformats.org/officeDocument/2006/relationships/hyperlink" Target="https://www.clubefii.com.br/fiis/BBFI11B" TargetMode="External"/><Relationship Id="rId950" Type="http://schemas.openxmlformats.org/officeDocument/2006/relationships/hyperlink" Target="https://www.clubefii.com.br/fiis/RBRR11" TargetMode="External"/><Relationship Id="rId1300" Type="http://schemas.openxmlformats.org/officeDocument/2006/relationships/hyperlink" Target="https://www.clubefii.com.br/fiis/XPCI11" TargetMode="External"/><Relationship Id="rId590" Type="http://schemas.openxmlformats.org/officeDocument/2006/relationships/hyperlink" Target="https://www.clubefii.com.br/fiis/JRDM11" TargetMode="External"/><Relationship Id="rId107" Type="http://schemas.openxmlformats.org/officeDocument/2006/relationships/hyperlink" Target="https://www.clubefii.com.br/fiis/BLMO11" TargetMode="External"/><Relationship Id="rId349" Type="http://schemas.openxmlformats.org/officeDocument/2006/relationships/hyperlink" Target="https://www.clubefii.com.br/fiis/FISC11" TargetMode="External"/><Relationship Id="rId106" Type="http://schemas.openxmlformats.org/officeDocument/2006/relationships/hyperlink" Target="https://www.clubefii.com.br/fiis/BLMO11" TargetMode="External"/><Relationship Id="rId348" Type="http://schemas.openxmlformats.org/officeDocument/2006/relationships/hyperlink" Target="https://www.clubefii.com.br/fiis/FINF11" TargetMode="External"/><Relationship Id="rId105" Type="http://schemas.openxmlformats.org/officeDocument/2006/relationships/hyperlink" Target="https://www.clubefii.com.br/fiis/BLMO11" TargetMode="External"/><Relationship Id="rId347" Type="http://schemas.openxmlformats.org/officeDocument/2006/relationships/hyperlink" Target="https://www.clubefii.com.br/fiis/FINF11" TargetMode="External"/><Relationship Id="rId589" Type="http://schemas.openxmlformats.org/officeDocument/2006/relationships/hyperlink" Target="https://www.clubefii.com.br/fiis/JRDM11" TargetMode="External"/><Relationship Id="rId104" Type="http://schemas.openxmlformats.org/officeDocument/2006/relationships/hyperlink" Target="https://www.clubefii.com.br/fiis/BLMG11" TargetMode="External"/><Relationship Id="rId346" Type="http://schemas.openxmlformats.org/officeDocument/2006/relationships/hyperlink" Target="https://www.clubefii.com.br/fiis/FINF11" TargetMode="External"/><Relationship Id="rId588" Type="http://schemas.openxmlformats.org/officeDocument/2006/relationships/hyperlink" Target="https://www.clubefii.com.br/fiis/JPPC11" TargetMode="External"/><Relationship Id="rId109" Type="http://schemas.openxmlformats.org/officeDocument/2006/relationships/hyperlink" Target="https://www.clubefii.com.br/fiis/BLMR11" TargetMode="External"/><Relationship Id="rId1170" Type="http://schemas.openxmlformats.org/officeDocument/2006/relationships/hyperlink" Target="https://www.clubefii.com.br/fiis/TRNT11" TargetMode="External"/><Relationship Id="rId108" Type="http://schemas.openxmlformats.org/officeDocument/2006/relationships/hyperlink" Target="https://www.clubefii.com.br/fiis/BLMO11" TargetMode="External"/><Relationship Id="rId1171" Type="http://schemas.openxmlformats.org/officeDocument/2006/relationships/hyperlink" Target="https://www.clubefii.com.br/fiis/TRNT11" TargetMode="External"/><Relationship Id="rId341" Type="http://schemas.openxmlformats.org/officeDocument/2006/relationships/hyperlink" Target="https://www.clubefii.com.br/fiis/FIIP11B" TargetMode="External"/><Relationship Id="rId583" Type="http://schemas.openxmlformats.org/officeDocument/2006/relationships/hyperlink" Target="https://www.clubefii.com.br/fiis/JPPA11" TargetMode="External"/><Relationship Id="rId1172" Type="http://schemas.openxmlformats.org/officeDocument/2006/relationships/hyperlink" Target="https://www.clubefii.com.br/fiis/TRNT11" TargetMode="External"/><Relationship Id="rId340" Type="http://schemas.openxmlformats.org/officeDocument/2006/relationships/hyperlink" Target="https://www.clubefii.com.br/fiis/FIIB11" TargetMode="External"/><Relationship Id="rId582" Type="http://schemas.openxmlformats.org/officeDocument/2006/relationships/hyperlink" Target="https://www.clubefii.com.br/fiis/JPPA11" TargetMode="External"/><Relationship Id="rId1173" Type="http://schemas.openxmlformats.org/officeDocument/2006/relationships/hyperlink" Target="https://www.clubefii.com.br/fiis/TRXB11" TargetMode="External"/><Relationship Id="rId581" Type="http://schemas.openxmlformats.org/officeDocument/2006/relationships/hyperlink" Target="https://www.clubefii.com.br/fiis/JPPA11" TargetMode="External"/><Relationship Id="rId1174" Type="http://schemas.openxmlformats.org/officeDocument/2006/relationships/hyperlink" Target="https://www.clubefii.com.br/fiis/TRXB11" TargetMode="External"/><Relationship Id="rId580" Type="http://schemas.openxmlformats.org/officeDocument/2006/relationships/hyperlink" Target="https://www.clubefii.com.br/fiis/JFLL11" TargetMode="External"/><Relationship Id="rId1175" Type="http://schemas.openxmlformats.org/officeDocument/2006/relationships/hyperlink" Target="https://www.clubefii.com.br/fiis/TRXB11" TargetMode="External"/><Relationship Id="rId103" Type="http://schemas.openxmlformats.org/officeDocument/2006/relationships/hyperlink" Target="https://www.clubefii.com.br/fiis/BLMG11" TargetMode="External"/><Relationship Id="rId345" Type="http://schemas.openxmlformats.org/officeDocument/2006/relationships/hyperlink" Target="https://www.clubefii.com.br/fiis/FINF11" TargetMode="External"/><Relationship Id="rId587" Type="http://schemas.openxmlformats.org/officeDocument/2006/relationships/hyperlink" Target="https://www.clubefii.com.br/fiis/JPPC11" TargetMode="External"/><Relationship Id="rId1176" Type="http://schemas.openxmlformats.org/officeDocument/2006/relationships/hyperlink" Target="https://www.clubefii.com.br/fiis/TRXB11" TargetMode="External"/><Relationship Id="rId102" Type="http://schemas.openxmlformats.org/officeDocument/2006/relationships/hyperlink" Target="https://www.clubefii.com.br/fiis/BLMG11" TargetMode="External"/><Relationship Id="rId344" Type="http://schemas.openxmlformats.org/officeDocument/2006/relationships/hyperlink" Target="https://www.clubefii.com.br/fiis/FIIP11B" TargetMode="External"/><Relationship Id="rId586" Type="http://schemas.openxmlformats.org/officeDocument/2006/relationships/hyperlink" Target="https://www.clubefii.com.br/fiis/JPPC11" TargetMode="External"/><Relationship Id="rId1177" Type="http://schemas.openxmlformats.org/officeDocument/2006/relationships/hyperlink" Target="https://www.clubefii.com.br/fiis/TRXF11" TargetMode="External"/><Relationship Id="rId101" Type="http://schemas.openxmlformats.org/officeDocument/2006/relationships/hyperlink" Target="https://www.clubefii.com.br/fiis/BLMG11" TargetMode="External"/><Relationship Id="rId343" Type="http://schemas.openxmlformats.org/officeDocument/2006/relationships/hyperlink" Target="https://www.clubefii.com.br/fiis/FIIP11B" TargetMode="External"/><Relationship Id="rId585" Type="http://schemas.openxmlformats.org/officeDocument/2006/relationships/hyperlink" Target="https://www.clubefii.com.br/fiis/JPPC11" TargetMode="External"/><Relationship Id="rId1178" Type="http://schemas.openxmlformats.org/officeDocument/2006/relationships/hyperlink" Target="https://www.clubefii.com.br/fiis/TRXF11" TargetMode="External"/><Relationship Id="rId100" Type="http://schemas.openxmlformats.org/officeDocument/2006/relationships/hyperlink" Target="https://www.clubefii.com.br/fiis/BLCP11" TargetMode="External"/><Relationship Id="rId342" Type="http://schemas.openxmlformats.org/officeDocument/2006/relationships/hyperlink" Target="https://www.clubefii.com.br/fiis/FIIP11B" TargetMode="External"/><Relationship Id="rId584" Type="http://schemas.openxmlformats.org/officeDocument/2006/relationships/hyperlink" Target="https://www.clubefii.com.br/fiis/JPPA11" TargetMode="External"/><Relationship Id="rId1179" Type="http://schemas.openxmlformats.org/officeDocument/2006/relationships/hyperlink" Target="https://www.clubefii.com.br/fiis/TRXF11" TargetMode="External"/><Relationship Id="rId1169" Type="http://schemas.openxmlformats.org/officeDocument/2006/relationships/hyperlink" Target="https://www.clubefii.com.br/fiis/TRNT11" TargetMode="External"/><Relationship Id="rId338" Type="http://schemas.openxmlformats.org/officeDocument/2006/relationships/hyperlink" Target="https://www.clubefii.com.br/fiis/FIIB11" TargetMode="External"/><Relationship Id="rId337" Type="http://schemas.openxmlformats.org/officeDocument/2006/relationships/hyperlink" Target="https://www.clubefii.com.br/fiis/FIIB11" TargetMode="External"/><Relationship Id="rId579" Type="http://schemas.openxmlformats.org/officeDocument/2006/relationships/hyperlink" Target="https://www.clubefii.com.br/fiis/JFLL11" TargetMode="External"/><Relationship Id="rId336" Type="http://schemas.openxmlformats.org/officeDocument/2006/relationships/hyperlink" Target="https://www.clubefii.com.br/fiis/FIGS11" TargetMode="External"/><Relationship Id="rId578" Type="http://schemas.openxmlformats.org/officeDocument/2006/relationships/hyperlink" Target="https://www.clubefii.com.br/fiis/JFLL11" TargetMode="External"/><Relationship Id="rId335" Type="http://schemas.openxmlformats.org/officeDocument/2006/relationships/hyperlink" Target="https://www.clubefii.com.br/fiis/FIGS11" TargetMode="External"/><Relationship Id="rId577" Type="http://schemas.openxmlformats.org/officeDocument/2006/relationships/hyperlink" Target="https://www.clubefii.com.br/fiis/JFLL11" TargetMode="External"/><Relationship Id="rId339" Type="http://schemas.openxmlformats.org/officeDocument/2006/relationships/hyperlink" Target="https://www.clubefii.com.br/fiis/FIIB11" TargetMode="External"/><Relationship Id="rId1160" Type="http://schemas.openxmlformats.org/officeDocument/2006/relationships/hyperlink" Target="https://www.clubefii.com.br/fiis/TORD11" TargetMode="External"/><Relationship Id="rId330" Type="http://schemas.openxmlformats.org/officeDocument/2006/relationships/hyperlink" Target="https://www.clubefii.com.br/fiis/FEXC11" TargetMode="External"/><Relationship Id="rId572" Type="http://schemas.openxmlformats.org/officeDocument/2006/relationships/hyperlink" Target="https://www.clubefii.com.br/fiis/IRDM11" TargetMode="External"/><Relationship Id="rId1161" Type="http://schemas.openxmlformats.org/officeDocument/2006/relationships/hyperlink" Target="https://www.clubefii.com.br/fiis/TORM11" TargetMode="External"/><Relationship Id="rId571" Type="http://schemas.openxmlformats.org/officeDocument/2006/relationships/hyperlink" Target="https://www.clubefii.com.br/fiis/IRDM11" TargetMode="External"/><Relationship Id="rId1162" Type="http://schemas.openxmlformats.org/officeDocument/2006/relationships/hyperlink" Target="https://www.clubefii.com.br/fiis/TORM11" TargetMode="External"/><Relationship Id="rId570" Type="http://schemas.openxmlformats.org/officeDocument/2006/relationships/hyperlink" Target="https://www.clubefii.com.br/fiis/IRDM11" TargetMode="External"/><Relationship Id="rId1163" Type="http://schemas.openxmlformats.org/officeDocument/2006/relationships/hyperlink" Target="https://www.clubefii.com.br/fiis/TORM11" TargetMode="External"/><Relationship Id="rId1164" Type="http://schemas.openxmlformats.org/officeDocument/2006/relationships/hyperlink" Target="https://www.clubefii.com.br/fiis/TORM11" TargetMode="External"/><Relationship Id="rId334" Type="http://schemas.openxmlformats.org/officeDocument/2006/relationships/hyperlink" Target="https://www.clubefii.com.br/fiis/FIGS11" TargetMode="External"/><Relationship Id="rId576" Type="http://schemas.openxmlformats.org/officeDocument/2006/relationships/hyperlink" Target="https://www.clubefii.com.br/fiis/JBFO11" TargetMode="External"/><Relationship Id="rId1165" Type="http://schemas.openxmlformats.org/officeDocument/2006/relationships/hyperlink" Target="https://www.clubefii.com.br/fiis/TOUR11" TargetMode="External"/><Relationship Id="rId333" Type="http://schemas.openxmlformats.org/officeDocument/2006/relationships/hyperlink" Target="https://www.clubefii.com.br/fiis/FIGS11" TargetMode="External"/><Relationship Id="rId575" Type="http://schemas.openxmlformats.org/officeDocument/2006/relationships/hyperlink" Target="https://www.clubefii.com.br/fiis/JBFO11" TargetMode="External"/><Relationship Id="rId1166" Type="http://schemas.openxmlformats.org/officeDocument/2006/relationships/hyperlink" Target="https://www.clubefii.com.br/fiis/TOUR11" TargetMode="External"/><Relationship Id="rId332" Type="http://schemas.openxmlformats.org/officeDocument/2006/relationships/hyperlink" Target="https://www.clubefii.com.br/fiis/FEXC11" TargetMode="External"/><Relationship Id="rId574" Type="http://schemas.openxmlformats.org/officeDocument/2006/relationships/hyperlink" Target="https://www.clubefii.com.br/fiis/JBFO11" TargetMode="External"/><Relationship Id="rId1167" Type="http://schemas.openxmlformats.org/officeDocument/2006/relationships/hyperlink" Target="https://www.clubefii.com.br/fiis/TOUR11" TargetMode="External"/><Relationship Id="rId331" Type="http://schemas.openxmlformats.org/officeDocument/2006/relationships/hyperlink" Target="https://www.clubefii.com.br/fiis/FEXC11" TargetMode="External"/><Relationship Id="rId573" Type="http://schemas.openxmlformats.org/officeDocument/2006/relationships/hyperlink" Target="https://www.clubefii.com.br/fiis/JBFO11" TargetMode="External"/><Relationship Id="rId1168" Type="http://schemas.openxmlformats.org/officeDocument/2006/relationships/hyperlink" Target="https://www.clubefii.com.br/fiis/TOUR11" TargetMode="External"/><Relationship Id="rId370" Type="http://schemas.openxmlformats.org/officeDocument/2006/relationships/hyperlink" Target="https://www.clubefii.com.br/fiis/FLRP11" TargetMode="External"/><Relationship Id="rId129" Type="http://schemas.openxmlformats.org/officeDocument/2006/relationships/hyperlink" Target="https://www.clubefii.com.br/fiis/BPMA11" TargetMode="External"/><Relationship Id="rId128" Type="http://schemas.openxmlformats.org/officeDocument/2006/relationships/hyperlink" Target="https://www.clubefii.com.br/fiis/BPFF11" TargetMode="External"/><Relationship Id="rId127" Type="http://schemas.openxmlformats.org/officeDocument/2006/relationships/hyperlink" Target="https://www.clubefii.com.br/fiis/BPFF11" TargetMode="External"/><Relationship Id="rId369" Type="http://schemas.openxmlformats.org/officeDocument/2006/relationships/hyperlink" Target="https://www.clubefii.com.br/fiis/FLRP11" TargetMode="External"/><Relationship Id="rId126" Type="http://schemas.openxmlformats.org/officeDocument/2006/relationships/hyperlink" Target="https://www.clubefii.com.br/fiis/BPFF11" TargetMode="External"/><Relationship Id="rId368" Type="http://schemas.openxmlformats.org/officeDocument/2006/relationships/hyperlink" Target="https://www.clubefii.com.br/fiis/FLMA11" TargetMode="External"/><Relationship Id="rId1190" Type="http://schemas.openxmlformats.org/officeDocument/2006/relationships/hyperlink" Target="https://www.clubefii.com.br/fiis/URPR11" TargetMode="External"/><Relationship Id="rId1191" Type="http://schemas.openxmlformats.org/officeDocument/2006/relationships/hyperlink" Target="https://www.clubefii.com.br/fiis/URPR11" TargetMode="External"/><Relationship Id="rId1192" Type="http://schemas.openxmlformats.org/officeDocument/2006/relationships/hyperlink" Target="https://www.clubefii.com.br/fiis/URPR11" TargetMode="External"/><Relationship Id="rId1193" Type="http://schemas.openxmlformats.org/officeDocument/2006/relationships/hyperlink" Target="https://www.clubefii.com.br/fiis/VCJR11" TargetMode="External"/><Relationship Id="rId121" Type="http://schemas.openxmlformats.org/officeDocument/2006/relationships/hyperlink" Target="https://www.clubefii.com.br/fiis/BNFS11" TargetMode="External"/><Relationship Id="rId363" Type="http://schemas.openxmlformats.org/officeDocument/2006/relationships/hyperlink" Target="https://www.clubefii.com.br/fiis/FLCR11" TargetMode="External"/><Relationship Id="rId1194" Type="http://schemas.openxmlformats.org/officeDocument/2006/relationships/hyperlink" Target="https://www.clubefii.com.br/fiis/VCJR11" TargetMode="External"/><Relationship Id="rId120" Type="http://schemas.openxmlformats.org/officeDocument/2006/relationships/hyperlink" Target="https://www.clubefii.com.br/fiis/BMLC11B" TargetMode="External"/><Relationship Id="rId362" Type="http://schemas.openxmlformats.org/officeDocument/2006/relationships/hyperlink" Target="https://www.clubefii.com.br/fiis/FLCR11" TargetMode="External"/><Relationship Id="rId1195" Type="http://schemas.openxmlformats.org/officeDocument/2006/relationships/hyperlink" Target="https://www.clubefii.com.br/fiis/VCJR11" TargetMode="External"/><Relationship Id="rId361" Type="http://schemas.openxmlformats.org/officeDocument/2006/relationships/hyperlink" Target="https://www.clubefii.com.br/fiis/FLCR11" TargetMode="External"/><Relationship Id="rId1196" Type="http://schemas.openxmlformats.org/officeDocument/2006/relationships/hyperlink" Target="https://www.clubefii.com.br/fiis/VCJR11" TargetMode="External"/><Relationship Id="rId360" Type="http://schemas.openxmlformats.org/officeDocument/2006/relationships/hyperlink" Target="https://www.clubefii.com.br/fiis/FIVN11" TargetMode="External"/><Relationship Id="rId1197" Type="http://schemas.openxmlformats.org/officeDocument/2006/relationships/hyperlink" Target="https://www.clubefii.com.br/fiis/VERE11" TargetMode="External"/><Relationship Id="rId125" Type="http://schemas.openxmlformats.org/officeDocument/2006/relationships/hyperlink" Target="https://www.clubefii.com.br/fiis/BPFF11" TargetMode="External"/><Relationship Id="rId367" Type="http://schemas.openxmlformats.org/officeDocument/2006/relationships/hyperlink" Target="https://www.clubefii.com.br/fiis/FLMA11" TargetMode="External"/><Relationship Id="rId1198" Type="http://schemas.openxmlformats.org/officeDocument/2006/relationships/hyperlink" Target="https://www.clubefii.com.br/fiis/VERE11" TargetMode="External"/><Relationship Id="rId124" Type="http://schemas.openxmlformats.org/officeDocument/2006/relationships/hyperlink" Target="https://www.clubefii.com.br/fiis/BNFS11" TargetMode="External"/><Relationship Id="rId366" Type="http://schemas.openxmlformats.org/officeDocument/2006/relationships/hyperlink" Target="https://www.clubefii.com.br/fiis/FLMA11" TargetMode="External"/><Relationship Id="rId1199" Type="http://schemas.openxmlformats.org/officeDocument/2006/relationships/hyperlink" Target="https://www.clubefii.com.br/fiis/VERE11" TargetMode="External"/><Relationship Id="rId123" Type="http://schemas.openxmlformats.org/officeDocument/2006/relationships/hyperlink" Target="https://www.clubefii.com.br/fiis/BNFS11" TargetMode="External"/><Relationship Id="rId365" Type="http://schemas.openxmlformats.org/officeDocument/2006/relationships/hyperlink" Target="https://www.clubefii.com.br/fiis/FLMA11" TargetMode="External"/><Relationship Id="rId122" Type="http://schemas.openxmlformats.org/officeDocument/2006/relationships/hyperlink" Target="https://www.clubefii.com.br/fiis/BNFS11" TargetMode="External"/><Relationship Id="rId364" Type="http://schemas.openxmlformats.org/officeDocument/2006/relationships/hyperlink" Target="https://www.clubefii.com.br/fiis/FLCR11" TargetMode="External"/><Relationship Id="rId95" Type="http://schemas.openxmlformats.org/officeDocument/2006/relationships/hyperlink" Target="https://www.clubefii.com.br/fiis/BJRC11" TargetMode="External"/><Relationship Id="rId94" Type="http://schemas.openxmlformats.org/officeDocument/2006/relationships/hyperlink" Target="https://www.clubefii.com.br/fiis/BJRC11" TargetMode="External"/><Relationship Id="rId97" Type="http://schemas.openxmlformats.org/officeDocument/2006/relationships/hyperlink" Target="https://www.clubefii.com.br/fiis/BLCP11" TargetMode="External"/><Relationship Id="rId96" Type="http://schemas.openxmlformats.org/officeDocument/2006/relationships/hyperlink" Target="https://www.clubefii.com.br/fiis/BJRC11" TargetMode="External"/><Relationship Id="rId99" Type="http://schemas.openxmlformats.org/officeDocument/2006/relationships/hyperlink" Target="https://www.clubefii.com.br/fiis/BLCP11" TargetMode="External"/><Relationship Id="rId98" Type="http://schemas.openxmlformats.org/officeDocument/2006/relationships/hyperlink" Target="https://www.clubefii.com.br/fiis/BLCP11" TargetMode="External"/><Relationship Id="rId91" Type="http://schemas.openxmlformats.org/officeDocument/2006/relationships/hyperlink" Target="https://www.clubefii.com.br/fiis/BICR11" TargetMode="External"/><Relationship Id="rId90" Type="http://schemas.openxmlformats.org/officeDocument/2006/relationships/hyperlink" Target="https://www.clubefii.com.br/fiis/BICR11" TargetMode="External"/><Relationship Id="rId93" Type="http://schemas.openxmlformats.org/officeDocument/2006/relationships/hyperlink" Target="https://www.clubefii.com.br/fiis/BJRC11" TargetMode="External"/><Relationship Id="rId92" Type="http://schemas.openxmlformats.org/officeDocument/2006/relationships/hyperlink" Target="https://www.clubefii.com.br/fiis/BICR11" TargetMode="External"/><Relationship Id="rId118" Type="http://schemas.openxmlformats.org/officeDocument/2006/relationships/hyperlink" Target="https://www.clubefii.com.br/fiis/BMLC11B" TargetMode="External"/><Relationship Id="rId117" Type="http://schemas.openxmlformats.org/officeDocument/2006/relationships/hyperlink" Target="https://www.clubefii.com.br/fiis/BMLC11B" TargetMode="External"/><Relationship Id="rId359" Type="http://schemas.openxmlformats.org/officeDocument/2006/relationships/hyperlink" Target="https://www.clubefii.com.br/fiis/FIVN11" TargetMode="External"/><Relationship Id="rId116" Type="http://schemas.openxmlformats.org/officeDocument/2006/relationships/hyperlink" Target="https://www.clubefii.com.br/fiis/BMII11" TargetMode="External"/><Relationship Id="rId358" Type="http://schemas.openxmlformats.org/officeDocument/2006/relationships/hyperlink" Target="https://www.clubefii.com.br/fiis/FIVN11" TargetMode="External"/><Relationship Id="rId115" Type="http://schemas.openxmlformats.org/officeDocument/2006/relationships/hyperlink" Target="https://www.clubefii.com.br/fiis/BMII11" TargetMode="External"/><Relationship Id="rId357" Type="http://schemas.openxmlformats.org/officeDocument/2006/relationships/hyperlink" Target="https://www.clubefii.com.br/fiis/FIVN11" TargetMode="External"/><Relationship Id="rId599" Type="http://schemas.openxmlformats.org/officeDocument/2006/relationships/hyperlink" Target="https://www.clubefii.com.br/fiis/JSRE11" TargetMode="External"/><Relationship Id="rId1180" Type="http://schemas.openxmlformats.org/officeDocument/2006/relationships/hyperlink" Target="https://www.clubefii.com.br/fiis/TRXF11" TargetMode="External"/><Relationship Id="rId1181" Type="http://schemas.openxmlformats.org/officeDocument/2006/relationships/hyperlink" Target="https://www.clubefii.com.br/fiis/TSNC11" TargetMode="External"/><Relationship Id="rId119" Type="http://schemas.openxmlformats.org/officeDocument/2006/relationships/hyperlink" Target="https://www.clubefii.com.br/fiis/BMLC11B" TargetMode="External"/><Relationship Id="rId1182" Type="http://schemas.openxmlformats.org/officeDocument/2006/relationships/hyperlink" Target="https://www.clubefii.com.br/fiis/TSNC11" TargetMode="External"/><Relationship Id="rId110" Type="http://schemas.openxmlformats.org/officeDocument/2006/relationships/hyperlink" Target="https://www.clubefii.com.br/fiis/BLMR11" TargetMode="External"/><Relationship Id="rId352" Type="http://schemas.openxmlformats.org/officeDocument/2006/relationships/hyperlink" Target="https://www.clubefii.com.br/fiis/FISC11" TargetMode="External"/><Relationship Id="rId594" Type="http://schemas.openxmlformats.org/officeDocument/2006/relationships/hyperlink" Target="https://www.clubefii.com.br/fiis/JSIM11" TargetMode="External"/><Relationship Id="rId1183" Type="http://schemas.openxmlformats.org/officeDocument/2006/relationships/hyperlink" Target="https://www.clubefii.com.br/fiis/TSNC11" TargetMode="External"/><Relationship Id="rId351" Type="http://schemas.openxmlformats.org/officeDocument/2006/relationships/hyperlink" Target="https://www.clubefii.com.br/fiis/FISC11" TargetMode="External"/><Relationship Id="rId593" Type="http://schemas.openxmlformats.org/officeDocument/2006/relationships/hyperlink" Target="https://www.clubefii.com.br/fiis/JSIM11" TargetMode="External"/><Relationship Id="rId1184" Type="http://schemas.openxmlformats.org/officeDocument/2006/relationships/hyperlink" Target="https://www.clubefii.com.br/fiis/TSNC11" TargetMode="External"/><Relationship Id="rId350" Type="http://schemas.openxmlformats.org/officeDocument/2006/relationships/hyperlink" Target="https://www.clubefii.com.br/fiis/FISC11" TargetMode="External"/><Relationship Id="rId592" Type="http://schemas.openxmlformats.org/officeDocument/2006/relationships/hyperlink" Target="https://www.clubefii.com.br/fiis/JRDM11" TargetMode="External"/><Relationship Id="rId1185" Type="http://schemas.openxmlformats.org/officeDocument/2006/relationships/hyperlink" Target="https://www.clubefii.com.br/fiis/URBN11" TargetMode="External"/><Relationship Id="rId591" Type="http://schemas.openxmlformats.org/officeDocument/2006/relationships/hyperlink" Target="https://www.clubefii.com.br/fiis/JRDM11" TargetMode="External"/><Relationship Id="rId1186" Type="http://schemas.openxmlformats.org/officeDocument/2006/relationships/hyperlink" Target="https://www.clubefii.com.br/fiis/URBN11" TargetMode="External"/><Relationship Id="rId114" Type="http://schemas.openxmlformats.org/officeDocument/2006/relationships/hyperlink" Target="https://www.clubefii.com.br/fiis/BMII11" TargetMode="External"/><Relationship Id="rId356" Type="http://schemas.openxmlformats.org/officeDocument/2006/relationships/hyperlink" Target="https://www.clubefii.com.br/fiis/FISD11" TargetMode="External"/><Relationship Id="rId598" Type="http://schemas.openxmlformats.org/officeDocument/2006/relationships/hyperlink" Target="https://www.clubefii.com.br/fiis/JSRE11" TargetMode="External"/><Relationship Id="rId1187" Type="http://schemas.openxmlformats.org/officeDocument/2006/relationships/hyperlink" Target="https://www.clubefii.com.br/fiis/URBN11" TargetMode="External"/><Relationship Id="rId113" Type="http://schemas.openxmlformats.org/officeDocument/2006/relationships/hyperlink" Target="https://www.clubefii.com.br/fiis/BMII11" TargetMode="External"/><Relationship Id="rId355" Type="http://schemas.openxmlformats.org/officeDocument/2006/relationships/hyperlink" Target="https://www.clubefii.com.br/fiis/FISD11" TargetMode="External"/><Relationship Id="rId597" Type="http://schemas.openxmlformats.org/officeDocument/2006/relationships/hyperlink" Target="https://www.clubefii.com.br/fiis/JSRE11" TargetMode="External"/><Relationship Id="rId1188" Type="http://schemas.openxmlformats.org/officeDocument/2006/relationships/hyperlink" Target="https://www.clubefii.com.br/fiis/URBN11" TargetMode="External"/><Relationship Id="rId112" Type="http://schemas.openxmlformats.org/officeDocument/2006/relationships/hyperlink" Target="https://www.clubefii.com.br/fiis/BLMR11" TargetMode="External"/><Relationship Id="rId354" Type="http://schemas.openxmlformats.org/officeDocument/2006/relationships/hyperlink" Target="https://www.clubefii.com.br/fiis/FISD11" TargetMode="External"/><Relationship Id="rId596" Type="http://schemas.openxmlformats.org/officeDocument/2006/relationships/hyperlink" Target="https://www.clubefii.com.br/fiis/JSIM11" TargetMode="External"/><Relationship Id="rId1189" Type="http://schemas.openxmlformats.org/officeDocument/2006/relationships/hyperlink" Target="https://www.clubefii.com.br/fiis/URPR11" TargetMode="External"/><Relationship Id="rId111" Type="http://schemas.openxmlformats.org/officeDocument/2006/relationships/hyperlink" Target="https://www.clubefii.com.br/fiis/BLMR11" TargetMode="External"/><Relationship Id="rId353" Type="http://schemas.openxmlformats.org/officeDocument/2006/relationships/hyperlink" Target="https://www.clubefii.com.br/fiis/FISD11" TargetMode="External"/><Relationship Id="rId595" Type="http://schemas.openxmlformats.org/officeDocument/2006/relationships/hyperlink" Target="https://www.clubefii.com.br/fiis/JSIM11" TargetMode="External"/><Relationship Id="rId1136" Type="http://schemas.openxmlformats.org/officeDocument/2006/relationships/hyperlink" Target="https://www.clubefii.com.br/fiis/TCPF11" TargetMode="External"/><Relationship Id="rId1137" Type="http://schemas.openxmlformats.org/officeDocument/2006/relationships/hyperlink" Target="https://www.clubefii.com.br/fiis/TELD11" TargetMode="External"/><Relationship Id="rId1138" Type="http://schemas.openxmlformats.org/officeDocument/2006/relationships/hyperlink" Target="https://www.clubefii.com.br/fiis/TELD11" TargetMode="External"/><Relationship Id="rId1139" Type="http://schemas.openxmlformats.org/officeDocument/2006/relationships/hyperlink" Target="https://www.clubefii.com.br/fiis/TELD11" TargetMode="External"/><Relationship Id="rId305" Type="http://schemas.openxmlformats.org/officeDocument/2006/relationships/hyperlink" Target="https://www.clubefii.com.br/fiis/EVHF11" TargetMode="External"/><Relationship Id="rId547" Type="http://schemas.openxmlformats.org/officeDocument/2006/relationships/hyperlink" Target="https://www.clubefii.com.br/fiis/HUSC11" TargetMode="External"/><Relationship Id="rId789" Type="http://schemas.openxmlformats.org/officeDocument/2006/relationships/hyperlink" Target="https://www.clubefii.com.br/fiis/OUFF11" TargetMode="External"/><Relationship Id="rId304" Type="http://schemas.openxmlformats.org/officeDocument/2006/relationships/hyperlink" Target="https://www.clubefii.com.br/fiis/EVBI11" TargetMode="External"/><Relationship Id="rId546" Type="http://schemas.openxmlformats.org/officeDocument/2006/relationships/hyperlink" Target="https://www.clubefii.com.br/fiis/HUSC11" TargetMode="External"/><Relationship Id="rId788" Type="http://schemas.openxmlformats.org/officeDocument/2006/relationships/hyperlink" Target="https://www.clubefii.com.br/fiis/OUCY11" TargetMode="External"/><Relationship Id="rId303" Type="http://schemas.openxmlformats.org/officeDocument/2006/relationships/hyperlink" Target="https://www.clubefii.com.br/fiis/EVBI11" TargetMode="External"/><Relationship Id="rId545" Type="http://schemas.openxmlformats.org/officeDocument/2006/relationships/hyperlink" Target="https://www.clubefii.com.br/fiis/HUSC11" TargetMode="External"/><Relationship Id="rId787" Type="http://schemas.openxmlformats.org/officeDocument/2006/relationships/hyperlink" Target="https://www.clubefii.com.br/fiis/OUCY11" TargetMode="External"/><Relationship Id="rId302" Type="http://schemas.openxmlformats.org/officeDocument/2006/relationships/hyperlink" Target="https://www.clubefii.com.br/fiis/EVBI11" TargetMode="External"/><Relationship Id="rId544" Type="http://schemas.openxmlformats.org/officeDocument/2006/relationships/hyperlink" Target="https://www.clubefii.com.br/fiis/HTMX11" TargetMode="External"/><Relationship Id="rId786" Type="http://schemas.openxmlformats.org/officeDocument/2006/relationships/hyperlink" Target="https://www.clubefii.com.br/fiis/OUCY11" TargetMode="External"/><Relationship Id="rId309" Type="http://schemas.openxmlformats.org/officeDocument/2006/relationships/hyperlink" Target="https://www.clubefii.com.br/fiis/FAED11" TargetMode="External"/><Relationship Id="rId308" Type="http://schemas.openxmlformats.org/officeDocument/2006/relationships/hyperlink" Target="https://www.clubefii.com.br/fiis/EVHF11" TargetMode="External"/><Relationship Id="rId307" Type="http://schemas.openxmlformats.org/officeDocument/2006/relationships/hyperlink" Target="https://www.clubefii.com.br/fiis/EVHF11" TargetMode="External"/><Relationship Id="rId549" Type="http://schemas.openxmlformats.org/officeDocument/2006/relationships/hyperlink" Target="https://www.clubefii.com.br/fiis/HUSI11" TargetMode="External"/><Relationship Id="rId306" Type="http://schemas.openxmlformats.org/officeDocument/2006/relationships/hyperlink" Target="https://www.clubefii.com.br/fiis/EVHF11" TargetMode="External"/><Relationship Id="rId548" Type="http://schemas.openxmlformats.org/officeDocument/2006/relationships/hyperlink" Target="https://www.clubefii.com.br/fiis/HUSC11" TargetMode="External"/><Relationship Id="rId781" Type="http://schemas.openxmlformats.org/officeDocument/2006/relationships/hyperlink" Target="https://www.clubefii.com.br/fiis/ORPD11" TargetMode="External"/><Relationship Id="rId780" Type="http://schemas.openxmlformats.org/officeDocument/2006/relationships/hyperlink" Target="https://www.clubefii.com.br/fiis/ONEF11" TargetMode="External"/><Relationship Id="rId1130" Type="http://schemas.openxmlformats.org/officeDocument/2006/relationships/hyperlink" Target="https://www.clubefii.com.br/fiis/TCIN12" TargetMode="External"/><Relationship Id="rId1131" Type="http://schemas.openxmlformats.org/officeDocument/2006/relationships/hyperlink" Target="https://www.clubefii.com.br/fiis/TCIN12" TargetMode="External"/><Relationship Id="rId301" Type="http://schemas.openxmlformats.org/officeDocument/2006/relationships/hyperlink" Target="https://www.clubefii.com.br/fiis/EVBI11" TargetMode="External"/><Relationship Id="rId543" Type="http://schemas.openxmlformats.org/officeDocument/2006/relationships/hyperlink" Target="https://www.clubefii.com.br/fiis/HTMX11" TargetMode="External"/><Relationship Id="rId785" Type="http://schemas.openxmlformats.org/officeDocument/2006/relationships/hyperlink" Target="https://www.clubefii.com.br/fiis/OUCY11" TargetMode="External"/><Relationship Id="rId1132" Type="http://schemas.openxmlformats.org/officeDocument/2006/relationships/hyperlink" Target="https://www.clubefii.com.br/fiis/TCIN12" TargetMode="External"/><Relationship Id="rId300" Type="http://schemas.openxmlformats.org/officeDocument/2006/relationships/hyperlink" Target="https://www.clubefii.com.br/fiis/EURO11" TargetMode="External"/><Relationship Id="rId542" Type="http://schemas.openxmlformats.org/officeDocument/2006/relationships/hyperlink" Target="https://www.clubefii.com.br/fiis/HTMX11" TargetMode="External"/><Relationship Id="rId784" Type="http://schemas.openxmlformats.org/officeDocument/2006/relationships/hyperlink" Target="https://www.clubefii.com.br/fiis/ORPD11" TargetMode="External"/><Relationship Id="rId1133" Type="http://schemas.openxmlformats.org/officeDocument/2006/relationships/hyperlink" Target="https://www.clubefii.com.br/fiis/TCPF11" TargetMode="External"/><Relationship Id="rId541" Type="http://schemas.openxmlformats.org/officeDocument/2006/relationships/hyperlink" Target="https://www.clubefii.com.br/fiis/HTMX11" TargetMode="External"/><Relationship Id="rId783" Type="http://schemas.openxmlformats.org/officeDocument/2006/relationships/hyperlink" Target="https://www.clubefii.com.br/fiis/ORPD11" TargetMode="External"/><Relationship Id="rId1134" Type="http://schemas.openxmlformats.org/officeDocument/2006/relationships/hyperlink" Target="https://www.clubefii.com.br/fiis/TCPF11" TargetMode="External"/><Relationship Id="rId540" Type="http://schemas.openxmlformats.org/officeDocument/2006/relationships/hyperlink" Target="https://www.clubefii.com.br/fiis/HSRE11" TargetMode="External"/><Relationship Id="rId782" Type="http://schemas.openxmlformats.org/officeDocument/2006/relationships/hyperlink" Target="https://www.clubefii.com.br/fiis/ORPD11" TargetMode="External"/><Relationship Id="rId1135" Type="http://schemas.openxmlformats.org/officeDocument/2006/relationships/hyperlink" Target="https://www.clubefii.com.br/fiis/TCPF11" TargetMode="External"/><Relationship Id="rId1125" Type="http://schemas.openxmlformats.org/officeDocument/2006/relationships/hyperlink" Target="https://www.clubefii.com.br/fiis/TCIN11" TargetMode="External"/><Relationship Id="rId1126" Type="http://schemas.openxmlformats.org/officeDocument/2006/relationships/hyperlink" Target="https://www.clubefii.com.br/fiis/TCIN11" TargetMode="External"/><Relationship Id="rId1127" Type="http://schemas.openxmlformats.org/officeDocument/2006/relationships/hyperlink" Target="https://www.clubefii.com.br/fiis/TCIN11" TargetMode="External"/><Relationship Id="rId1128" Type="http://schemas.openxmlformats.org/officeDocument/2006/relationships/hyperlink" Target="https://www.clubefii.com.br/fiis/TCIN11" TargetMode="External"/><Relationship Id="rId1129" Type="http://schemas.openxmlformats.org/officeDocument/2006/relationships/hyperlink" Target="https://www.clubefii.com.br/fiis/TCIN12" TargetMode="External"/><Relationship Id="rId536" Type="http://schemas.openxmlformats.org/officeDocument/2006/relationships/hyperlink" Target="https://www.clubefii.com.br/fiis/HSML11" TargetMode="External"/><Relationship Id="rId778" Type="http://schemas.openxmlformats.org/officeDocument/2006/relationships/hyperlink" Target="https://www.clubefii.com.br/fiis/ONEF11" TargetMode="External"/><Relationship Id="rId535" Type="http://schemas.openxmlformats.org/officeDocument/2006/relationships/hyperlink" Target="https://www.clubefii.com.br/fiis/HSML11" TargetMode="External"/><Relationship Id="rId777" Type="http://schemas.openxmlformats.org/officeDocument/2006/relationships/hyperlink" Target="https://www.clubefii.com.br/fiis/ONEF11" TargetMode="External"/><Relationship Id="rId534" Type="http://schemas.openxmlformats.org/officeDocument/2006/relationships/hyperlink" Target="https://www.clubefii.com.br/fiis/HSML11" TargetMode="External"/><Relationship Id="rId776" Type="http://schemas.openxmlformats.org/officeDocument/2006/relationships/hyperlink" Target="https://www.clubefii.com.br/fiis/NVIF11B" TargetMode="External"/><Relationship Id="rId533" Type="http://schemas.openxmlformats.org/officeDocument/2006/relationships/hyperlink" Target="https://www.clubefii.com.br/fiis/HSML11" TargetMode="External"/><Relationship Id="rId775" Type="http://schemas.openxmlformats.org/officeDocument/2006/relationships/hyperlink" Target="https://www.clubefii.com.br/fiis/NVIF11B" TargetMode="External"/><Relationship Id="rId539" Type="http://schemas.openxmlformats.org/officeDocument/2006/relationships/hyperlink" Target="https://www.clubefii.com.br/fiis/HSRE11" TargetMode="External"/><Relationship Id="rId538" Type="http://schemas.openxmlformats.org/officeDocument/2006/relationships/hyperlink" Target="https://www.clubefii.com.br/fiis/HSRE11" TargetMode="External"/><Relationship Id="rId537" Type="http://schemas.openxmlformats.org/officeDocument/2006/relationships/hyperlink" Target="https://www.clubefii.com.br/fiis/HSRE11" TargetMode="External"/><Relationship Id="rId779" Type="http://schemas.openxmlformats.org/officeDocument/2006/relationships/hyperlink" Target="https://www.clubefii.com.br/fiis/ONEF11" TargetMode="External"/><Relationship Id="rId770" Type="http://schemas.openxmlformats.org/officeDocument/2006/relationships/hyperlink" Target="https://www.clubefii.com.br/fiis/NVHO11" TargetMode="External"/><Relationship Id="rId1120" Type="http://schemas.openxmlformats.org/officeDocument/2006/relationships/hyperlink" Target="https://www.clubefii.com.br/fiis/STRX11" TargetMode="External"/><Relationship Id="rId532" Type="http://schemas.openxmlformats.org/officeDocument/2006/relationships/hyperlink" Target="https://www.clubefii.com.br/fiis/HSLG11" TargetMode="External"/><Relationship Id="rId774" Type="http://schemas.openxmlformats.org/officeDocument/2006/relationships/hyperlink" Target="https://www.clubefii.com.br/fiis/NVIF11B" TargetMode="External"/><Relationship Id="rId1121" Type="http://schemas.openxmlformats.org/officeDocument/2006/relationships/hyperlink" Target="https://www.clubefii.com.br/fiis/TBOF11" TargetMode="External"/><Relationship Id="rId531" Type="http://schemas.openxmlformats.org/officeDocument/2006/relationships/hyperlink" Target="https://www.clubefii.com.br/fiis/HSLG11" TargetMode="External"/><Relationship Id="rId773" Type="http://schemas.openxmlformats.org/officeDocument/2006/relationships/hyperlink" Target="https://www.clubefii.com.br/fiis/NVIF11B" TargetMode="External"/><Relationship Id="rId1122" Type="http://schemas.openxmlformats.org/officeDocument/2006/relationships/hyperlink" Target="https://www.clubefii.com.br/fiis/TBOF11" TargetMode="External"/><Relationship Id="rId530" Type="http://schemas.openxmlformats.org/officeDocument/2006/relationships/hyperlink" Target="https://www.clubefii.com.br/fiis/HSLG11" TargetMode="External"/><Relationship Id="rId772" Type="http://schemas.openxmlformats.org/officeDocument/2006/relationships/hyperlink" Target="https://www.clubefii.com.br/fiis/NVHO11" TargetMode="External"/><Relationship Id="rId1123" Type="http://schemas.openxmlformats.org/officeDocument/2006/relationships/hyperlink" Target="https://www.clubefii.com.br/fiis/TBOF11" TargetMode="External"/><Relationship Id="rId771" Type="http://schemas.openxmlformats.org/officeDocument/2006/relationships/hyperlink" Target="https://www.clubefii.com.br/fiis/NVHO11" TargetMode="External"/><Relationship Id="rId1124" Type="http://schemas.openxmlformats.org/officeDocument/2006/relationships/hyperlink" Target="https://www.clubefii.com.br/fiis/TBOF11" TargetMode="External"/><Relationship Id="rId1158" Type="http://schemas.openxmlformats.org/officeDocument/2006/relationships/hyperlink" Target="https://www.clubefii.com.br/fiis/TORD11" TargetMode="External"/><Relationship Id="rId1159" Type="http://schemas.openxmlformats.org/officeDocument/2006/relationships/hyperlink" Target="https://www.clubefii.com.br/fiis/TORD11" TargetMode="External"/><Relationship Id="rId327" Type="http://schemas.openxmlformats.org/officeDocument/2006/relationships/hyperlink" Target="https://www.clubefii.com.br/fiis/FCFL11" TargetMode="External"/><Relationship Id="rId569" Type="http://schemas.openxmlformats.org/officeDocument/2006/relationships/hyperlink" Target="https://www.clubefii.com.br/fiis/IRDM11" TargetMode="External"/><Relationship Id="rId326" Type="http://schemas.openxmlformats.org/officeDocument/2006/relationships/hyperlink" Target="https://www.clubefii.com.br/fiis/FCFL11" TargetMode="External"/><Relationship Id="rId568" Type="http://schemas.openxmlformats.org/officeDocument/2006/relationships/hyperlink" Target="https://www.clubefii.com.br/fiis/IFIX" TargetMode="External"/><Relationship Id="rId325" Type="http://schemas.openxmlformats.org/officeDocument/2006/relationships/hyperlink" Target="https://www.clubefii.com.br/fiis/FCFL11" TargetMode="External"/><Relationship Id="rId567" Type="http://schemas.openxmlformats.org/officeDocument/2006/relationships/hyperlink" Target="https://www.clubefii.com.br/fiis/IFIX" TargetMode="External"/><Relationship Id="rId324" Type="http://schemas.openxmlformats.org/officeDocument/2006/relationships/hyperlink" Target="https://www.clubefii.com.br/fiis/FCAS11" TargetMode="External"/><Relationship Id="rId566" Type="http://schemas.openxmlformats.org/officeDocument/2006/relationships/hyperlink" Target="https://www.clubefii.com.br/fiis/IFIX" TargetMode="External"/><Relationship Id="rId329" Type="http://schemas.openxmlformats.org/officeDocument/2006/relationships/hyperlink" Target="https://www.clubefii.com.br/fiis/FEXC11" TargetMode="External"/><Relationship Id="rId328" Type="http://schemas.openxmlformats.org/officeDocument/2006/relationships/hyperlink" Target="https://www.clubefii.com.br/fiis/FCFL11" TargetMode="External"/><Relationship Id="rId561" Type="http://schemas.openxmlformats.org/officeDocument/2006/relationships/hyperlink" Target="https://www.clubefii.com.br/fiis/IFIE11" TargetMode="External"/><Relationship Id="rId1150" Type="http://schemas.openxmlformats.org/officeDocument/2006/relationships/hyperlink" Target="https://www.clubefii.com.br/fiis/TGAR11" TargetMode="External"/><Relationship Id="rId560" Type="http://schemas.openxmlformats.org/officeDocument/2006/relationships/hyperlink" Target="https://www.clubefii.com.br/fiis/IFID11" TargetMode="External"/><Relationship Id="rId1151" Type="http://schemas.openxmlformats.org/officeDocument/2006/relationships/hyperlink" Target="https://www.clubefii.com.br/fiis/TGAR11" TargetMode="External"/><Relationship Id="rId1152" Type="http://schemas.openxmlformats.org/officeDocument/2006/relationships/hyperlink" Target="https://www.clubefii.com.br/fiis/TGAR11" TargetMode="External"/><Relationship Id="rId1153" Type="http://schemas.openxmlformats.org/officeDocument/2006/relationships/hyperlink" Target="https://www.clubefii.com.br/fiis/THRA11" TargetMode="External"/><Relationship Id="rId323" Type="http://schemas.openxmlformats.org/officeDocument/2006/relationships/hyperlink" Target="https://www.clubefii.com.br/fiis/FCAS11" TargetMode="External"/><Relationship Id="rId565" Type="http://schemas.openxmlformats.org/officeDocument/2006/relationships/hyperlink" Target="https://www.clubefii.com.br/fiis/IFIX" TargetMode="External"/><Relationship Id="rId1154" Type="http://schemas.openxmlformats.org/officeDocument/2006/relationships/hyperlink" Target="https://www.clubefii.com.br/fiis/THRA11" TargetMode="External"/><Relationship Id="rId322" Type="http://schemas.openxmlformats.org/officeDocument/2006/relationships/hyperlink" Target="https://www.clubefii.com.br/fiis/FCAS11" TargetMode="External"/><Relationship Id="rId564" Type="http://schemas.openxmlformats.org/officeDocument/2006/relationships/hyperlink" Target="https://www.clubefii.com.br/fiis/IFIE11" TargetMode="External"/><Relationship Id="rId1155" Type="http://schemas.openxmlformats.org/officeDocument/2006/relationships/hyperlink" Target="https://www.clubefii.com.br/fiis/THRA11" TargetMode="External"/><Relationship Id="rId321" Type="http://schemas.openxmlformats.org/officeDocument/2006/relationships/hyperlink" Target="https://www.clubefii.com.br/fiis/FCAS11" TargetMode="External"/><Relationship Id="rId563" Type="http://schemas.openxmlformats.org/officeDocument/2006/relationships/hyperlink" Target="https://www.clubefii.com.br/fiis/IFIE11" TargetMode="External"/><Relationship Id="rId1156" Type="http://schemas.openxmlformats.org/officeDocument/2006/relationships/hyperlink" Target="https://www.clubefii.com.br/fiis/THRA11" TargetMode="External"/><Relationship Id="rId320" Type="http://schemas.openxmlformats.org/officeDocument/2006/relationships/hyperlink" Target="https://www.clubefii.com.br/fiis/FATN11" TargetMode="External"/><Relationship Id="rId562" Type="http://schemas.openxmlformats.org/officeDocument/2006/relationships/hyperlink" Target="https://www.clubefii.com.br/fiis/IFIE11" TargetMode="External"/><Relationship Id="rId1157" Type="http://schemas.openxmlformats.org/officeDocument/2006/relationships/hyperlink" Target="https://www.clubefii.com.br/fiis/TORD11" TargetMode="External"/><Relationship Id="rId1147" Type="http://schemas.openxmlformats.org/officeDocument/2006/relationships/hyperlink" Target="https://www.clubefii.com.br/fiis/TFOF11" TargetMode="External"/><Relationship Id="rId1148" Type="http://schemas.openxmlformats.org/officeDocument/2006/relationships/hyperlink" Target="https://www.clubefii.com.br/fiis/TFOF11" TargetMode="External"/><Relationship Id="rId1149" Type="http://schemas.openxmlformats.org/officeDocument/2006/relationships/hyperlink" Target="https://www.clubefii.com.br/fiis/TGAR11" TargetMode="External"/><Relationship Id="rId316" Type="http://schemas.openxmlformats.org/officeDocument/2006/relationships/hyperlink" Target="https://www.clubefii.com.br/fiis/FAMB11B" TargetMode="External"/><Relationship Id="rId558" Type="http://schemas.openxmlformats.org/officeDocument/2006/relationships/hyperlink" Target="https://www.clubefii.com.br/fiis/IFID11" TargetMode="External"/><Relationship Id="rId315" Type="http://schemas.openxmlformats.org/officeDocument/2006/relationships/hyperlink" Target="https://www.clubefii.com.br/fiis/FAMB11B" TargetMode="External"/><Relationship Id="rId557" Type="http://schemas.openxmlformats.org/officeDocument/2006/relationships/hyperlink" Target="https://www.clubefii.com.br/fiis/IFID11" TargetMode="External"/><Relationship Id="rId799" Type="http://schemas.openxmlformats.org/officeDocument/2006/relationships/hyperlink" Target="https://www.clubefii.com.br/fiis/OULG11" TargetMode="External"/><Relationship Id="rId314" Type="http://schemas.openxmlformats.org/officeDocument/2006/relationships/hyperlink" Target="https://www.clubefii.com.br/fiis/FAMB11B" TargetMode="External"/><Relationship Id="rId556" Type="http://schemas.openxmlformats.org/officeDocument/2006/relationships/hyperlink" Target="https://www.clubefii.com.br/fiis/IBFF11" TargetMode="External"/><Relationship Id="rId798" Type="http://schemas.openxmlformats.org/officeDocument/2006/relationships/hyperlink" Target="https://www.clubefii.com.br/fiis/OULG11" TargetMode="External"/><Relationship Id="rId313" Type="http://schemas.openxmlformats.org/officeDocument/2006/relationships/hyperlink" Target="https://www.clubefii.com.br/fiis/FAMB11B" TargetMode="External"/><Relationship Id="rId555" Type="http://schemas.openxmlformats.org/officeDocument/2006/relationships/hyperlink" Target="https://www.clubefii.com.br/fiis/IBFF11" TargetMode="External"/><Relationship Id="rId797" Type="http://schemas.openxmlformats.org/officeDocument/2006/relationships/hyperlink" Target="https://www.clubefii.com.br/fiis/OULG11" TargetMode="External"/><Relationship Id="rId319" Type="http://schemas.openxmlformats.org/officeDocument/2006/relationships/hyperlink" Target="https://www.clubefii.com.br/fiis/FATN11" TargetMode="External"/><Relationship Id="rId318" Type="http://schemas.openxmlformats.org/officeDocument/2006/relationships/hyperlink" Target="https://www.clubefii.com.br/fiis/FATN11" TargetMode="External"/><Relationship Id="rId317" Type="http://schemas.openxmlformats.org/officeDocument/2006/relationships/hyperlink" Target="https://www.clubefii.com.br/fiis/FATN11" TargetMode="External"/><Relationship Id="rId559" Type="http://schemas.openxmlformats.org/officeDocument/2006/relationships/hyperlink" Target="https://www.clubefii.com.br/fiis/IFID11" TargetMode="External"/><Relationship Id="rId550" Type="http://schemas.openxmlformats.org/officeDocument/2006/relationships/hyperlink" Target="https://www.clubefii.com.br/fiis/HUSI11" TargetMode="External"/><Relationship Id="rId792" Type="http://schemas.openxmlformats.org/officeDocument/2006/relationships/hyperlink" Target="https://www.clubefii.com.br/fiis/OUFF11" TargetMode="External"/><Relationship Id="rId791" Type="http://schemas.openxmlformats.org/officeDocument/2006/relationships/hyperlink" Target="https://www.clubefii.com.br/fiis/OUFF11" TargetMode="External"/><Relationship Id="rId1140" Type="http://schemas.openxmlformats.org/officeDocument/2006/relationships/hyperlink" Target="https://www.clubefii.com.br/fiis/TELD11" TargetMode="External"/><Relationship Id="rId790" Type="http://schemas.openxmlformats.org/officeDocument/2006/relationships/hyperlink" Target="https://www.clubefii.com.br/fiis/OUFF11" TargetMode="External"/><Relationship Id="rId1141" Type="http://schemas.openxmlformats.org/officeDocument/2006/relationships/hyperlink" Target="https://www.clubefii.com.br/fiis/TEPP11" TargetMode="External"/><Relationship Id="rId1142" Type="http://schemas.openxmlformats.org/officeDocument/2006/relationships/hyperlink" Target="https://www.clubefii.com.br/fiis/TEPP11" TargetMode="External"/><Relationship Id="rId312" Type="http://schemas.openxmlformats.org/officeDocument/2006/relationships/hyperlink" Target="https://www.clubefii.com.br/fiis/FAED11" TargetMode="External"/><Relationship Id="rId554" Type="http://schemas.openxmlformats.org/officeDocument/2006/relationships/hyperlink" Target="https://www.clubefii.com.br/fiis/IBFF11" TargetMode="External"/><Relationship Id="rId796" Type="http://schemas.openxmlformats.org/officeDocument/2006/relationships/hyperlink" Target="https://www.clubefii.com.br/fiis/OUJP11" TargetMode="External"/><Relationship Id="rId1143" Type="http://schemas.openxmlformats.org/officeDocument/2006/relationships/hyperlink" Target="https://www.clubefii.com.br/fiis/TEPP11" TargetMode="External"/><Relationship Id="rId311" Type="http://schemas.openxmlformats.org/officeDocument/2006/relationships/hyperlink" Target="https://www.clubefii.com.br/fiis/FAED11" TargetMode="External"/><Relationship Id="rId553" Type="http://schemas.openxmlformats.org/officeDocument/2006/relationships/hyperlink" Target="https://www.clubefii.com.br/fiis/IBFF11" TargetMode="External"/><Relationship Id="rId795" Type="http://schemas.openxmlformats.org/officeDocument/2006/relationships/hyperlink" Target="https://www.clubefii.com.br/fiis/OUJP11" TargetMode="External"/><Relationship Id="rId1144" Type="http://schemas.openxmlformats.org/officeDocument/2006/relationships/hyperlink" Target="https://www.clubefii.com.br/fiis/TEPP11" TargetMode="External"/><Relationship Id="rId310" Type="http://schemas.openxmlformats.org/officeDocument/2006/relationships/hyperlink" Target="https://www.clubefii.com.br/fiis/FAED11" TargetMode="External"/><Relationship Id="rId552" Type="http://schemas.openxmlformats.org/officeDocument/2006/relationships/hyperlink" Target="https://www.clubefii.com.br/fiis/HUSI11" TargetMode="External"/><Relationship Id="rId794" Type="http://schemas.openxmlformats.org/officeDocument/2006/relationships/hyperlink" Target="https://www.clubefii.com.br/fiis/OUJP11" TargetMode="External"/><Relationship Id="rId1145" Type="http://schemas.openxmlformats.org/officeDocument/2006/relationships/hyperlink" Target="https://www.clubefii.com.br/fiis/TFOF11" TargetMode="External"/><Relationship Id="rId551" Type="http://schemas.openxmlformats.org/officeDocument/2006/relationships/hyperlink" Target="https://www.clubefii.com.br/fiis/HUSI11" TargetMode="External"/><Relationship Id="rId793" Type="http://schemas.openxmlformats.org/officeDocument/2006/relationships/hyperlink" Target="https://www.clubefii.com.br/fiis/OUJP11" TargetMode="External"/><Relationship Id="rId1146" Type="http://schemas.openxmlformats.org/officeDocument/2006/relationships/hyperlink" Target="https://www.clubefii.com.br/fiis/TFOF11" TargetMode="External"/><Relationship Id="rId297" Type="http://schemas.openxmlformats.org/officeDocument/2006/relationships/hyperlink" Target="https://www.clubefii.com.br/fiis/EURO11" TargetMode="External"/><Relationship Id="rId296" Type="http://schemas.openxmlformats.org/officeDocument/2006/relationships/hyperlink" Target="https://www.clubefii.com.br/fiis/ESTQ11" TargetMode="External"/><Relationship Id="rId295" Type="http://schemas.openxmlformats.org/officeDocument/2006/relationships/hyperlink" Target="https://www.clubefii.com.br/fiis/ESTQ11" TargetMode="External"/><Relationship Id="rId294" Type="http://schemas.openxmlformats.org/officeDocument/2006/relationships/hyperlink" Target="https://www.clubefii.com.br/fiis/ESTQ11" TargetMode="External"/><Relationship Id="rId299" Type="http://schemas.openxmlformats.org/officeDocument/2006/relationships/hyperlink" Target="https://www.clubefii.com.br/fiis/EURO11" TargetMode="External"/><Relationship Id="rId298" Type="http://schemas.openxmlformats.org/officeDocument/2006/relationships/hyperlink" Target="https://www.clubefii.com.br/fiis/EURO11" TargetMode="External"/><Relationship Id="rId271" Type="http://schemas.openxmlformats.org/officeDocument/2006/relationships/hyperlink" Target="https://www.clubefii.com.br/fiis/EDFO11B" TargetMode="External"/><Relationship Id="rId270" Type="http://schemas.openxmlformats.org/officeDocument/2006/relationships/hyperlink" Target="https://www.clubefii.com.br/fiis/EDFO11B" TargetMode="External"/><Relationship Id="rId269" Type="http://schemas.openxmlformats.org/officeDocument/2006/relationships/hyperlink" Target="https://www.clubefii.com.br/fiis/EDFO11B" TargetMode="External"/><Relationship Id="rId264" Type="http://schemas.openxmlformats.org/officeDocument/2006/relationships/hyperlink" Target="https://www.clubefii.com.br/fiis/DOVL11B" TargetMode="External"/><Relationship Id="rId263" Type="http://schemas.openxmlformats.org/officeDocument/2006/relationships/hyperlink" Target="https://www.clubefii.com.br/fiis/DOVL11B" TargetMode="External"/><Relationship Id="rId262" Type="http://schemas.openxmlformats.org/officeDocument/2006/relationships/hyperlink" Target="https://www.clubefii.com.br/fiis/DOVL11B" TargetMode="External"/><Relationship Id="rId261" Type="http://schemas.openxmlformats.org/officeDocument/2006/relationships/hyperlink" Target="https://www.clubefii.com.br/fiis/DOVL11B" TargetMode="External"/><Relationship Id="rId268" Type="http://schemas.openxmlformats.org/officeDocument/2006/relationships/hyperlink" Target="https://www.clubefii.com.br/fiis/DRIT11B" TargetMode="External"/><Relationship Id="rId267" Type="http://schemas.openxmlformats.org/officeDocument/2006/relationships/hyperlink" Target="https://www.clubefii.com.br/fiis/DRIT11B" TargetMode="External"/><Relationship Id="rId266" Type="http://schemas.openxmlformats.org/officeDocument/2006/relationships/hyperlink" Target="https://www.clubefii.com.br/fiis/DRIT11B" TargetMode="External"/><Relationship Id="rId265" Type="http://schemas.openxmlformats.org/officeDocument/2006/relationships/hyperlink" Target="https://www.clubefii.com.br/fiis/DRIT11B" TargetMode="External"/><Relationship Id="rId260" Type="http://schemas.openxmlformats.org/officeDocument/2006/relationships/hyperlink" Target="https://www.clubefii.com.br/fiis/DMAC11" TargetMode="External"/><Relationship Id="rId259" Type="http://schemas.openxmlformats.org/officeDocument/2006/relationships/hyperlink" Target="https://www.clubefii.com.br/fiis/DMAC11" TargetMode="External"/><Relationship Id="rId258" Type="http://schemas.openxmlformats.org/officeDocument/2006/relationships/hyperlink" Target="https://www.clubefii.com.br/fiis/DMAC11" TargetMode="External"/><Relationship Id="rId253" Type="http://schemas.openxmlformats.org/officeDocument/2006/relationships/hyperlink" Target="https://www.clubefii.com.br/fiis/DLMT11" TargetMode="External"/><Relationship Id="rId495" Type="http://schemas.openxmlformats.org/officeDocument/2006/relationships/hyperlink" Target="https://www.clubefii.com.br/fiis/HGRE11" TargetMode="External"/><Relationship Id="rId252" Type="http://schemas.openxmlformats.org/officeDocument/2006/relationships/hyperlink" Target="https://www.clubefii.com.br/fiis/DEVA11" TargetMode="External"/><Relationship Id="rId494" Type="http://schemas.openxmlformats.org/officeDocument/2006/relationships/hyperlink" Target="https://www.clubefii.com.br/fiis/HGRE11" TargetMode="External"/><Relationship Id="rId251" Type="http://schemas.openxmlformats.org/officeDocument/2006/relationships/hyperlink" Target="https://www.clubefii.com.br/fiis/DEVA11" TargetMode="External"/><Relationship Id="rId493" Type="http://schemas.openxmlformats.org/officeDocument/2006/relationships/hyperlink" Target="https://www.clubefii.com.br/fiis/HGRE11" TargetMode="External"/><Relationship Id="rId250" Type="http://schemas.openxmlformats.org/officeDocument/2006/relationships/hyperlink" Target="https://www.clubefii.com.br/fiis/DEVA11" TargetMode="External"/><Relationship Id="rId492" Type="http://schemas.openxmlformats.org/officeDocument/2006/relationships/hyperlink" Target="https://www.clubefii.com.br/fiis/HGPO11" TargetMode="External"/><Relationship Id="rId257" Type="http://schemas.openxmlformats.org/officeDocument/2006/relationships/hyperlink" Target="https://www.clubefii.com.br/fiis/DMAC11" TargetMode="External"/><Relationship Id="rId499" Type="http://schemas.openxmlformats.org/officeDocument/2006/relationships/hyperlink" Target="https://www.clubefii.com.br/fiis/HGRU11" TargetMode="External"/><Relationship Id="rId256" Type="http://schemas.openxmlformats.org/officeDocument/2006/relationships/hyperlink" Target="https://www.clubefii.com.br/fiis/DLMT11" TargetMode="External"/><Relationship Id="rId498" Type="http://schemas.openxmlformats.org/officeDocument/2006/relationships/hyperlink" Target="https://www.clubefii.com.br/fiis/HGRU11" TargetMode="External"/><Relationship Id="rId255" Type="http://schemas.openxmlformats.org/officeDocument/2006/relationships/hyperlink" Target="https://www.clubefii.com.br/fiis/DLMT11" TargetMode="External"/><Relationship Id="rId497" Type="http://schemas.openxmlformats.org/officeDocument/2006/relationships/hyperlink" Target="https://www.clubefii.com.br/fiis/HGRU11" TargetMode="External"/><Relationship Id="rId254" Type="http://schemas.openxmlformats.org/officeDocument/2006/relationships/hyperlink" Target="https://www.clubefii.com.br/fiis/DLMT11" TargetMode="External"/><Relationship Id="rId496" Type="http://schemas.openxmlformats.org/officeDocument/2006/relationships/hyperlink" Target="https://www.clubefii.com.br/fiis/HGRE11" TargetMode="External"/><Relationship Id="rId293" Type="http://schemas.openxmlformats.org/officeDocument/2006/relationships/hyperlink" Target="https://www.clubefii.com.br/fiis/ESTQ11" TargetMode="External"/><Relationship Id="rId292" Type="http://schemas.openxmlformats.org/officeDocument/2006/relationships/hyperlink" Target="https://www.clubefii.com.br/fiis/ERPA11" TargetMode="External"/><Relationship Id="rId291" Type="http://schemas.openxmlformats.org/officeDocument/2006/relationships/hyperlink" Target="https://www.clubefii.com.br/fiis/ERPA11" TargetMode="External"/><Relationship Id="rId290" Type="http://schemas.openxmlformats.org/officeDocument/2006/relationships/hyperlink" Target="https://www.clubefii.com.br/fiis/ERPA11" TargetMode="External"/><Relationship Id="rId286" Type="http://schemas.openxmlformats.org/officeDocument/2006/relationships/hyperlink" Target="https://www.clubefii.com.br/fiis/ERCR11" TargetMode="External"/><Relationship Id="rId285" Type="http://schemas.openxmlformats.org/officeDocument/2006/relationships/hyperlink" Target="https://www.clubefii.com.br/fiis/ERCR11" TargetMode="External"/><Relationship Id="rId284" Type="http://schemas.openxmlformats.org/officeDocument/2006/relationships/hyperlink" Target="https://www.clubefii.com.br/fiis/ELDO11B" TargetMode="External"/><Relationship Id="rId283" Type="http://schemas.openxmlformats.org/officeDocument/2006/relationships/hyperlink" Target="https://www.clubefii.com.br/fiis/ELDO11B" TargetMode="External"/><Relationship Id="rId289" Type="http://schemas.openxmlformats.org/officeDocument/2006/relationships/hyperlink" Target="https://www.clubefii.com.br/fiis/ERPA11" TargetMode="External"/><Relationship Id="rId288" Type="http://schemas.openxmlformats.org/officeDocument/2006/relationships/hyperlink" Target="https://www.clubefii.com.br/fiis/ERCR11" TargetMode="External"/><Relationship Id="rId287" Type="http://schemas.openxmlformats.org/officeDocument/2006/relationships/hyperlink" Target="https://www.clubefii.com.br/fiis/ERCR11" TargetMode="External"/><Relationship Id="rId282" Type="http://schemas.openxmlformats.org/officeDocument/2006/relationships/hyperlink" Target="https://www.clubefii.com.br/fiis/ELDO11B" TargetMode="External"/><Relationship Id="rId281" Type="http://schemas.openxmlformats.org/officeDocument/2006/relationships/hyperlink" Target="https://www.clubefii.com.br/fiis/ELDO11B" TargetMode="External"/><Relationship Id="rId280" Type="http://schemas.openxmlformats.org/officeDocument/2006/relationships/hyperlink" Target="https://www.clubefii.com.br/fiis/EGYR11" TargetMode="External"/><Relationship Id="rId275" Type="http://schemas.openxmlformats.org/officeDocument/2006/relationships/hyperlink" Target="https://www.clubefii.com.br/fiis/EDGA11" TargetMode="External"/><Relationship Id="rId274" Type="http://schemas.openxmlformats.org/officeDocument/2006/relationships/hyperlink" Target="https://www.clubefii.com.br/fiis/EDGA11" TargetMode="External"/><Relationship Id="rId273" Type="http://schemas.openxmlformats.org/officeDocument/2006/relationships/hyperlink" Target="https://www.clubefii.com.br/fiis/EDGA11" TargetMode="External"/><Relationship Id="rId272" Type="http://schemas.openxmlformats.org/officeDocument/2006/relationships/hyperlink" Target="https://www.clubefii.com.br/fiis/EDFO11B" TargetMode="External"/><Relationship Id="rId279" Type="http://schemas.openxmlformats.org/officeDocument/2006/relationships/hyperlink" Target="https://www.clubefii.com.br/fiis/EGYR11" TargetMode="External"/><Relationship Id="rId278" Type="http://schemas.openxmlformats.org/officeDocument/2006/relationships/hyperlink" Target="https://www.clubefii.com.br/fiis/EGYR11" TargetMode="External"/><Relationship Id="rId277" Type="http://schemas.openxmlformats.org/officeDocument/2006/relationships/hyperlink" Target="https://www.clubefii.com.br/fiis/EGYR11" TargetMode="External"/><Relationship Id="rId276" Type="http://schemas.openxmlformats.org/officeDocument/2006/relationships/hyperlink" Target="https://www.clubefii.com.br/fiis/EDGA11" TargetMode="External"/><Relationship Id="rId907" Type="http://schemas.openxmlformats.org/officeDocument/2006/relationships/hyperlink" Target="https://www.clubefii.com.br/fiis/RBGS11" TargetMode="External"/><Relationship Id="rId906" Type="http://schemas.openxmlformats.org/officeDocument/2006/relationships/hyperlink" Target="https://www.clubefii.com.br/fiis/RBGS11" TargetMode="External"/><Relationship Id="rId905" Type="http://schemas.openxmlformats.org/officeDocument/2006/relationships/hyperlink" Target="https://www.clubefii.com.br/fiis/RBGS11" TargetMode="External"/><Relationship Id="rId904" Type="http://schemas.openxmlformats.org/officeDocument/2006/relationships/hyperlink" Target="https://www.clubefii.com.br/fiis/RBFF11" TargetMode="External"/><Relationship Id="rId909" Type="http://schemas.openxmlformats.org/officeDocument/2006/relationships/hyperlink" Target="https://www.clubefii.com.br/fiis/RBIR11" TargetMode="External"/><Relationship Id="rId908" Type="http://schemas.openxmlformats.org/officeDocument/2006/relationships/hyperlink" Target="https://www.clubefii.com.br/fiis/RBGS11" TargetMode="External"/><Relationship Id="rId903" Type="http://schemas.openxmlformats.org/officeDocument/2006/relationships/hyperlink" Target="https://www.clubefii.com.br/fiis/RBFF11" TargetMode="External"/><Relationship Id="rId902" Type="http://schemas.openxmlformats.org/officeDocument/2006/relationships/hyperlink" Target="https://www.clubefii.com.br/fiis/RBFF11" TargetMode="External"/><Relationship Id="rId901" Type="http://schemas.openxmlformats.org/officeDocument/2006/relationships/hyperlink" Target="https://www.clubefii.com.br/fiis/RBFF11" TargetMode="External"/><Relationship Id="rId900" Type="http://schemas.openxmlformats.org/officeDocument/2006/relationships/hyperlink" Target="https://www.clubefii.com.br/fiis/RBED11" TargetMode="External"/><Relationship Id="rId929" Type="http://schemas.openxmlformats.org/officeDocument/2006/relationships/hyperlink" Target="https://www.clubefii.com.br/fiis/RBRD11" TargetMode="External"/><Relationship Id="rId928" Type="http://schemas.openxmlformats.org/officeDocument/2006/relationships/hyperlink" Target="https://www.clubefii.com.br/fiis/RBPR11" TargetMode="External"/><Relationship Id="rId927" Type="http://schemas.openxmlformats.org/officeDocument/2006/relationships/hyperlink" Target="https://www.clubefii.com.br/fiis/RBPR11" TargetMode="External"/><Relationship Id="rId926" Type="http://schemas.openxmlformats.org/officeDocument/2006/relationships/hyperlink" Target="https://www.clubefii.com.br/fiis/RBPR11" TargetMode="External"/><Relationship Id="rId921" Type="http://schemas.openxmlformats.org/officeDocument/2006/relationships/hyperlink" Target="https://www.clubefii.com.br/fiis/RBPD11" TargetMode="External"/><Relationship Id="rId920" Type="http://schemas.openxmlformats.org/officeDocument/2006/relationships/hyperlink" Target="https://www.clubefii.com.br/fiis/RBLG11" TargetMode="External"/><Relationship Id="rId925" Type="http://schemas.openxmlformats.org/officeDocument/2006/relationships/hyperlink" Target="https://www.clubefii.com.br/fiis/RBPR11" TargetMode="External"/><Relationship Id="rId924" Type="http://schemas.openxmlformats.org/officeDocument/2006/relationships/hyperlink" Target="https://www.clubefii.com.br/fiis/RBPD11" TargetMode="External"/><Relationship Id="rId923" Type="http://schemas.openxmlformats.org/officeDocument/2006/relationships/hyperlink" Target="https://www.clubefii.com.br/fiis/RBPD11" TargetMode="External"/><Relationship Id="rId922" Type="http://schemas.openxmlformats.org/officeDocument/2006/relationships/hyperlink" Target="https://www.clubefii.com.br/fiis/RBPD11" TargetMode="External"/><Relationship Id="rId918" Type="http://schemas.openxmlformats.org/officeDocument/2006/relationships/hyperlink" Target="https://www.clubefii.com.br/fiis/RBLG11" TargetMode="External"/><Relationship Id="rId917" Type="http://schemas.openxmlformats.org/officeDocument/2006/relationships/hyperlink" Target="https://www.clubefii.com.br/fiis/RBLG11" TargetMode="External"/><Relationship Id="rId916" Type="http://schemas.openxmlformats.org/officeDocument/2006/relationships/hyperlink" Target="https://www.clubefii.com.br/fiis/RBIV11" TargetMode="External"/><Relationship Id="rId915" Type="http://schemas.openxmlformats.org/officeDocument/2006/relationships/hyperlink" Target="https://www.clubefii.com.br/fiis/RBIV11" TargetMode="External"/><Relationship Id="rId919" Type="http://schemas.openxmlformats.org/officeDocument/2006/relationships/hyperlink" Target="https://www.clubefii.com.br/fiis/RBLG11" TargetMode="External"/><Relationship Id="rId910" Type="http://schemas.openxmlformats.org/officeDocument/2006/relationships/hyperlink" Target="https://www.clubefii.com.br/fiis/RBIR11" TargetMode="External"/><Relationship Id="rId914" Type="http://schemas.openxmlformats.org/officeDocument/2006/relationships/hyperlink" Target="https://www.clubefii.com.br/fiis/RBIV11" TargetMode="External"/><Relationship Id="rId913" Type="http://schemas.openxmlformats.org/officeDocument/2006/relationships/hyperlink" Target="https://www.clubefii.com.br/fiis/RBIV11" TargetMode="External"/><Relationship Id="rId912" Type="http://schemas.openxmlformats.org/officeDocument/2006/relationships/hyperlink" Target="https://www.clubefii.com.br/fiis/RBIR11" TargetMode="External"/><Relationship Id="rId911" Type="http://schemas.openxmlformats.org/officeDocument/2006/relationships/hyperlink" Target="https://www.clubefii.com.br/fiis/RBIR11" TargetMode="External"/><Relationship Id="rId1213" Type="http://schemas.openxmlformats.org/officeDocument/2006/relationships/hyperlink" Target="https://www.clubefii.com.br/fiis/VIFI11" TargetMode="External"/><Relationship Id="rId1214" Type="http://schemas.openxmlformats.org/officeDocument/2006/relationships/hyperlink" Target="https://www.clubefii.com.br/fiis/VIFI11" TargetMode="External"/><Relationship Id="rId1215" Type="http://schemas.openxmlformats.org/officeDocument/2006/relationships/hyperlink" Target="https://www.clubefii.com.br/fiis/VIFI11" TargetMode="External"/><Relationship Id="rId1216" Type="http://schemas.openxmlformats.org/officeDocument/2006/relationships/hyperlink" Target="https://www.clubefii.com.br/fiis/VIFI11" TargetMode="External"/><Relationship Id="rId1217" Type="http://schemas.openxmlformats.org/officeDocument/2006/relationships/hyperlink" Target="https://www.clubefii.com.br/fiis/VILG11" TargetMode="External"/><Relationship Id="rId1218" Type="http://schemas.openxmlformats.org/officeDocument/2006/relationships/hyperlink" Target="https://www.clubefii.com.br/fiis/VILG11" TargetMode="External"/><Relationship Id="rId1219" Type="http://schemas.openxmlformats.org/officeDocument/2006/relationships/hyperlink" Target="https://www.clubefii.com.br/fiis/VILG11" TargetMode="External"/><Relationship Id="rId629" Type="http://schemas.openxmlformats.org/officeDocument/2006/relationships/hyperlink" Target="https://www.clubefii.com.br/fiis/KNIP11" TargetMode="External"/><Relationship Id="rId624" Type="http://schemas.openxmlformats.org/officeDocument/2006/relationships/hyperlink" Target="https://www.clubefii.com.br/fiis/KNCR11" TargetMode="External"/><Relationship Id="rId866" Type="http://schemas.openxmlformats.org/officeDocument/2006/relationships/hyperlink" Target="https://www.clubefii.com.br/fiis/QAGR11" TargetMode="External"/><Relationship Id="rId623" Type="http://schemas.openxmlformats.org/officeDocument/2006/relationships/hyperlink" Target="https://www.clubefii.com.br/fiis/KNCR11" TargetMode="External"/><Relationship Id="rId865" Type="http://schemas.openxmlformats.org/officeDocument/2006/relationships/hyperlink" Target="https://www.clubefii.com.br/fiis/QAGR11" TargetMode="External"/><Relationship Id="rId622" Type="http://schemas.openxmlformats.org/officeDocument/2006/relationships/hyperlink" Target="https://www.clubefii.com.br/fiis/KNCR11" TargetMode="External"/><Relationship Id="rId864" Type="http://schemas.openxmlformats.org/officeDocument/2006/relationships/hyperlink" Target="https://www.clubefii.com.br/fiis/PVBI11" TargetMode="External"/><Relationship Id="rId621" Type="http://schemas.openxmlformats.org/officeDocument/2006/relationships/hyperlink" Target="https://www.clubefii.com.br/fiis/KNCR11" TargetMode="External"/><Relationship Id="rId863" Type="http://schemas.openxmlformats.org/officeDocument/2006/relationships/hyperlink" Target="https://www.clubefii.com.br/fiis/PVBI11" TargetMode="External"/><Relationship Id="rId628" Type="http://schemas.openxmlformats.org/officeDocument/2006/relationships/hyperlink" Target="https://www.clubefii.com.br/fiis/KNHY11" TargetMode="External"/><Relationship Id="rId627" Type="http://schemas.openxmlformats.org/officeDocument/2006/relationships/hyperlink" Target="https://www.clubefii.com.br/fiis/KNHY11" TargetMode="External"/><Relationship Id="rId869" Type="http://schemas.openxmlformats.org/officeDocument/2006/relationships/hyperlink" Target="https://www.clubefii.com.br/fiis/QMFF11" TargetMode="External"/><Relationship Id="rId626" Type="http://schemas.openxmlformats.org/officeDocument/2006/relationships/hyperlink" Target="https://www.clubefii.com.br/fiis/KNHY11" TargetMode="External"/><Relationship Id="rId868" Type="http://schemas.openxmlformats.org/officeDocument/2006/relationships/hyperlink" Target="https://www.clubefii.com.br/fiis/QAGR11" TargetMode="External"/><Relationship Id="rId625" Type="http://schemas.openxmlformats.org/officeDocument/2006/relationships/hyperlink" Target="https://www.clubefii.com.br/fiis/KNHY11" TargetMode="External"/><Relationship Id="rId867" Type="http://schemas.openxmlformats.org/officeDocument/2006/relationships/hyperlink" Target="https://www.clubefii.com.br/fiis/QAGR11" TargetMode="External"/><Relationship Id="rId620" Type="http://schemas.openxmlformats.org/officeDocument/2006/relationships/hyperlink" Target="https://www.clubefii.com.br/fiis/KISU11" TargetMode="External"/><Relationship Id="rId862" Type="http://schemas.openxmlformats.org/officeDocument/2006/relationships/hyperlink" Target="https://www.clubefii.com.br/fiis/PVBI11" TargetMode="External"/><Relationship Id="rId861" Type="http://schemas.openxmlformats.org/officeDocument/2006/relationships/hyperlink" Target="https://www.clubefii.com.br/fiis/PVBI11" TargetMode="External"/><Relationship Id="rId1210" Type="http://schemas.openxmlformats.org/officeDocument/2006/relationships/hyperlink" Target="https://www.clubefii.com.br/fiis/VIDS11" TargetMode="External"/><Relationship Id="rId860" Type="http://schemas.openxmlformats.org/officeDocument/2006/relationships/hyperlink" Target="https://www.clubefii.com.br/fiis/PRTS11" TargetMode="External"/><Relationship Id="rId1211" Type="http://schemas.openxmlformats.org/officeDocument/2006/relationships/hyperlink" Target="https://www.clubefii.com.br/fiis/VIDS11" TargetMode="External"/><Relationship Id="rId1212" Type="http://schemas.openxmlformats.org/officeDocument/2006/relationships/hyperlink" Target="https://www.clubefii.com.br/fiis/VIDS11" TargetMode="External"/><Relationship Id="rId1202" Type="http://schemas.openxmlformats.org/officeDocument/2006/relationships/hyperlink" Target="https://www.clubefii.com.br/fiis/VGIP11" TargetMode="External"/><Relationship Id="rId1203" Type="http://schemas.openxmlformats.org/officeDocument/2006/relationships/hyperlink" Target="https://www.clubefii.com.br/fiis/VGIP11" TargetMode="External"/><Relationship Id="rId1204" Type="http://schemas.openxmlformats.org/officeDocument/2006/relationships/hyperlink" Target="https://www.clubefii.com.br/fiis/VGIP11" TargetMode="External"/><Relationship Id="rId1205" Type="http://schemas.openxmlformats.org/officeDocument/2006/relationships/hyperlink" Target="https://www.clubefii.com.br/fiis/VGIR11" TargetMode="External"/><Relationship Id="rId1206" Type="http://schemas.openxmlformats.org/officeDocument/2006/relationships/hyperlink" Target="https://www.clubefii.com.br/fiis/VGIR11" TargetMode="External"/><Relationship Id="rId1207" Type="http://schemas.openxmlformats.org/officeDocument/2006/relationships/hyperlink" Target="https://www.clubefii.com.br/fiis/VGIR11" TargetMode="External"/><Relationship Id="rId1208" Type="http://schemas.openxmlformats.org/officeDocument/2006/relationships/hyperlink" Target="https://www.clubefii.com.br/fiis/VGIR11" TargetMode="External"/><Relationship Id="rId1209" Type="http://schemas.openxmlformats.org/officeDocument/2006/relationships/hyperlink" Target="https://www.clubefii.com.br/fiis/VIDS11" TargetMode="External"/><Relationship Id="rId619" Type="http://schemas.openxmlformats.org/officeDocument/2006/relationships/hyperlink" Target="https://www.clubefii.com.br/fiis/KISU11" TargetMode="External"/><Relationship Id="rId618" Type="http://schemas.openxmlformats.org/officeDocument/2006/relationships/hyperlink" Target="https://www.clubefii.com.br/fiis/KISU11" TargetMode="External"/><Relationship Id="rId613" Type="http://schemas.openxmlformats.org/officeDocument/2006/relationships/hyperlink" Target="https://www.clubefii.com.br/fiis/KINP11" TargetMode="External"/><Relationship Id="rId855" Type="http://schemas.openxmlformats.org/officeDocument/2006/relationships/hyperlink" Target="https://www.clubefii.com.br/fiis/PRSV11" TargetMode="External"/><Relationship Id="rId612" Type="http://schemas.openxmlformats.org/officeDocument/2006/relationships/hyperlink" Target="https://www.clubefii.com.br/fiis/KFOF11" TargetMode="External"/><Relationship Id="rId854" Type="http://schemas.openxmlformats.org/officeDocument/2006/relationships/hyperlink" Target="https://www.clubefii.com.br/fiis/PRSV11" TargetMode="External"/><Relationship Id="rId611" Type="http://schemas.openxmlformats.org/officeDocument/2006/relationships/hyperlink" Target="https://www.clubefii.com.br/fiis/KFOF11" TargetMode="External"/><Relationship Id="rId853" Type="http://schemas.openxmlformats.org/officeDocument/2006/relationships/hyperlink" Target="https://www.clubefii.com.br/fiis/PRSV11" TargetMode="External"/><Relationship Id="rId610" Type="http://schemas.openxmlformats.org/officeDocument/2006/relationships/hyperlink" Target="https://www.clubefii.com.br/fiis/KFOF11" TargetMode="External"/><Relationship Id="rId852" Type="http://schemas.openxmlformats.org/officeDocument/2006/relationships/hyperlink" Target="https://www.clubefii.com.br/fiis/PRSN11B" TargetMode="External"/><Relationship Id="rId617" Type="http://schemas.openxmlformats.org/officeDocument/2006/relationships/hyperlink" Target="https://www.clubefii.com.br/fiis/KISU11" TargetMode="External"/><Relationship Id="rId859" Type="http://schemas.openxmlformats.org/officeDocument/2006/relationships/hyperlink" Target="https://www.clubefii.com.br/fiis/PRTS11" TargetMode="External"/><Relationship Id="rId616" Type="http://schemas.openxmlformats.org/officeDocument/2006/relationships/hyperlink" Target="https://www.clubefii.com.br/fiis/KINP11" TargetMode="External"/><Relationship Id="rId858" Type="http://schemas.openxmlformats.org/officeDocument/2006/relationships/hyperlink" Target="https://www.clubefii.com.br/fiis/PRTS11" TargetMode="External"/><Relationship Id="rId615" Type="http://schemas.openxmlformats.org/officeDocument/2006/relationships/hyperlink" Target="https://www.clubefii.com.br/fiis/KINP11" TargetMode="External"/><Relationship Id="rId857" Type="http://schemas.openxmlformats.org/officeDocument/2006/relationships/hyperlink" Target="https://www.clubefii.com.br/fiis/PRTS11" TargetMode="External"/><Relationship Id="rId614" Type="http://schemas.openxmlformats.org/officeDocument/2006/relationships/hyperlink" Target="https://www.clubefii.com.br/fiis/KINP11" TargetMode="External"/><Relationship Id="rId856" Type="http://schemas.openxmlformats.org/officeDocument/2006/relationships/hyperlink" Target="https://www.clubefii.com.br/fiis/PRSV11" TargetMode="External"/><Relationship Id="rId851" Type="http://schemas.openxmlformats.org/officeDocument/2006/relationships/hyperlink" Target="https://www.clubefii.com.br/fiis/PRSN11B" TargetMode="External"/><Relationship Id="rId850" Type="http://schemas.openxmlformats.org/officeDocument/2006/relationships/hyperlink" Target="https://www.clubefii.com.br/fiis/PRSN11B" TargetMode="External"/><Relationship Id="rId1200" Type="http://schemas.openxmlformats.org/officeDocument/2006/relationships/hyperlink" Target="https://www.clubefii.com.br/fiis/VERE11" TargetMode="External"/><Relationship Id="rId1201" Type="http://schemas.openxmlformats.org/officeDocument/2006/relationships/hyperlink" Target="https://www.clubefii.com.br/fiis/VGIP11" TargetMode="External"/><Relationship Id="rId1235" Type="http://schemas.openxmlformats.org/officeDocument/2006/relationships/hyperlink" Target="https://www.clubefii.com.br/fiis/VLOL11" TargetMode="External"/><Relationship Id="rId1236" Type="http://schemas.openxmlformats.org/officeDocument/2006/relationships/hyperlink" Target="https://www.clubefii.com.br/fiis/VLOL11" TargetMode="External"/><Relationship Id="rId1237" Type="http://schemas.openxmlformats.org/officeDocument/2006/relationships/hyperlink" Target="https://www.clubefii.com.br/fiis/VOTS11" TargetMode="External"/><Relationship Id="rId1238" Type="http://schemas.openxmlformats.org/officeDocument/2006/relationships/hyperlink" Target="https://www.clubefii.com.br/fiis/VOTS11" TargetMode="External"/><Relationship Id="rId1239" Type="http://schemas.openxmlformats.org/officeDocument/2006/relationships/hyperlink" Target="https://www.clubefii.com.br/fiis/VOTS11" TargetMode="External"/><Relationship Id="rId409" Type="http://schemas.openxmlformats.org/officeDocument/2006/relationships/hyperlink" Target="https://www.clubefii.com.br/fiis/GCFF11" TargetMode="External"/><Relationship Id="rId404" Type="http://schemas.openxmlformats.org/officeDocument/2006/relationships/hyperlink" Target="https://www.clubefii.com.br/fiis/FVPQ11" TargetMode="External"/><Relationship Id="rId646" Type="http://schemas.openxmlformats.org/officeDocument/2006/relationships/hyperlink" Target="https://www.clubefii.com.br/fiis/LASC11" TargetMode="External"/><Relationship Id="rId888" Type="http://schemas.openxmlformats.org/officeDocument/2006/relationships/hyperlink" Target="https://www.clubefii.com.br/fiis/RBCB11" TargetMode="External"/><Relationship Id="rId403" Type="http://schemas.openxmlformats.org/officeDocument/2006/relationships/hyperlink" Target="https://www.clubefii.com.br/fiis/FVPQ11" TargetMode="External"/><Relationship Id="rId645" Type="http://schemas.openxmlformats.org/officeDocument/2006/relationships/hyperlink" Target="https://www.clubefii.com.br/fiis/LASC11" TargetMode="External"/><Relationship Id="rId887" Type="http://schemas.openxmlformats.org/officeDocument/2006/relationships/hyperlink" Target="https://www.clubefii.com.br/fiis/RBCB11" TargetMode="External"/><Relationship Id="rId402" Type="http://schemas.openxmlformats.org/officeDocument/2006/relationships/hyperlink" Target="https://www.clubefii.com.br/fiis/FVPQ11" TargetMode="External"/><Relationship Id="rId644" Type="http://schemas.openxmlformats.org/officeDocument/2006/relationships/hyperlink" Target="https://www.clubefii.com.br/fiis/KNSC11" TargetMode="External"/><Relationship Id="rId886" Type="http://schemas.openxmlformats.org/officeDocument/2006/relationships/hyperlink" Target="https://www.clubefii.com.br/fiis/RBCB11" TargetMode="External"/><Relationship Id="rId401" Type="http://schemas.openxmlformats.org/officeDocument/2006/relationships/hyperlink" Target="https://www.clubefii.com.br/fiis/FVPQ11" TargetMode="External"/><Relationship Id="rId643" Type="http://schemas.openxmlformats.org/officeDocument/2006/relationships/hyperlink" Target="https://www.clubefii.com.br/fiis/KNSC11" TargetMode="External"/><Relationship Id="rId885" Type="http://schemas.openxmlformats.org/officeDocument/2006/relationships/hyperlink" Target="https://www.clubefii.com.br/fiis/RBCB11" TargetMode="External"/><Relationship Id="rId408" Type="http://schemas.openxmlformats.org/officeDocument/2006/relationships/hyperlink" Target="https://www.clubefii.com.br/fiis/GALG11" TargetMode="External"/><Relationship Id="rId407" Type="http://schemas.openxmlformats.org/officeDocument/2006/relationships/hyperlink" Target="https://www.clubefii.com.br/fiis/GALG11" TargetMode="External"/><Relationship Id="rId649" Type="http://schemas.openxmlformats.org/officeDocument/2006/relationships/hyperlink" Target="https://www.clubefii.com.br/fiis/LATR11B" TargetMode="External"/><Relationship Id="rId406" Type="http://schemas.openxmlformats.org/officeDocument/2006/relationships/hyperlink" Target="https://www.clubefii.com.br/fiis/GALG11" TargetMode="External"/><Relationship Id="rId648" Type="http://schemas.openxmlformats.org/officeDocument/2006/relationships/hyperlink" Target="https://www.clubefii.com.br/fiis/LASC11" TargetMode="External"/><Relationship Id="rId405" Type="http://schemas.openxmlformats.org/officeDocument/2006/relationships/hyperlink" Target="https://www.clubefii.com.br/fiis/GALG11" TargetMode="External"/><Relationship Id="rId647" Type="http://schemas.openxmlformats.org/officeDocument/2006/relationships/hyperlink" Target="https://www.clubefii.com.br/fiis/LASC11" TargetMode="External"/><Relationship Id="rId889" Type="http://schemas.openxmlformats.org/officeDocument/2006/relationships/hyperlink" Target="https://www.clubefii.com.br/fiis/RBCO11" TargetMode="External"/><Relationship Id="rId880" Type="http://schemas.openxmlformats.org/officeDocument/2006/relationships/hyperlink" Target="https://www.clubefii.com.br/fiis/RBAG11" TargetMode="External"/><Relationship Id="rId1230" Type="http://schemas.openxmlformats.org/officeDocument/2006/relationships/hyperlink" Target="https://www.clubefii.com.br/fiis/VLJS11" TargetMode="External"/><Relationship Id="rId400" Type="http://schemas.openxmlformats.org/officeDocument/2006/relationships/hyperlink" Target="https://www.clubefii.com.br/fiis/FVBI11" TargetMode="External"/><Relationship Id="rId642" Type="http://schemas.openxmlformats.org/officeDocument/2006/relationships/hyperlink" Target="https://www.clubefii.com.br/fiis/KNSC11" TargetMode="External"/><Relationship Id="rId884" Type="http://schemas.openxmlformats.org/officeDocument/2006/relationships/hyperlink" Target="https://www.clubefii.com.br/fiis/RBBV11" TargetMode="External"/><Relationship Id="rId1231" Type="http://schemas.openxmlformats.org/officeDocument/2006/relationships/hyperlink" Target="https://www.clubefii.com.br/fiis/VLJS11" TargetMode="External"/><Relationship Id="rId641" Type="http://schemas.openxmlformats.org/officeDocument/2006/relationships/hyperlink" Target="https://www.clubefii.com.br/fiis/KNSC11" TargetMode="External"/><Relationship Id="rId883" Type="http://schemas.openxmlformats.org/officeDocument/2006/relationships/hyperlink" Target="https://www.clubefii.com.br/fiis/RBBV11" TargetMode="External"/><Relationship Id="rId1232" Type="http://schemas.openxmlformats.org/officeDocument/2006/relationships/hyperlink" Target="https://www.clubefii.com.br/fiis/VLJS11" TargetMode="External"/><Relationship Id="rId640" Type="http://schemas.openxmlformats.org/officeDocument/2006/relationships/hyperlink" Target="https://www.clubefii.com.br/fiis/KNRI11" TargetMode="External"/><Relationship Id="rId882" Type="http://schemas.openxmlformats.org/officeDocument/2006/relationships/hyperlink" Target="https://www.clubefii.com.br/fiis/RBBV11" TargetMode="External"/><Relationship Id="rId1233" Type="http://schemas.openxmlformats.org/officeDocument/2006/relationships/hyperlink" Target="https://www.clubefii.com.br/fiis/VLOL11" TargetMode="External"/><Relationship Id="rId881" Type="http://schemas.openxmlformats.org/officeDocument/2006/relationships/hyperlink" Target="https://www.clubefii.com.br/fiis/RBBV11" TargetMode="External"/><Relationship Id="rId1234" Type="http://schemas.openxmlformats.org/officeDocument/2006/relationships/hyperlink" Target="https://www.clubefii.com.br/fiis/VLOL11" TargetMode="External"/><Relationship Id="rId1224" Type="http://schemas.openxmlformats.org/officeDocument/2006/relationships/hyperlink" Target="https://www.clubefii.com.br/fiis/VINO11" TargetMode="External"/><Relationship Id="rId1225" Type="http://schemas.openxmlformats.org/officeDocument/2006/relationships/hyperlink" Target="https://www.clubefii.com.br/fiis/VISC11" TargetMode="External"/><Relationship Id="rId1226" Type="http://schemas.openxmlformats.org/officeDocument/2006/relationships/hyperlink" Target="https://www.clubefii.com.br/fiis/VISC11" TargetMode="External"/><Relationship Id="rId1227" Type="http://schemas.openxmlformats.org/officeDocument/2006/relationships/hyperlink" Target="https://www.clubefii.com.br/fiis/VISC11" TargetMode="External"/><Relationship Id="rId1228" Type="http://schemas.openxmlformats.org/officeDocument/2006/relationships/hyperlink" Target="https://www.clubefii.com.br/fiis/VISC11" TargetMode="External"/><Relationship Id="rId1229" Type="http://schemas.openxmlformats.org/officeDocument/2006/relationships/hyperlink" Target="https://www.clubefii.com.br/fiis/VLJS11" TargetMode="External"/><Relationship Id="rId635" Type="http://schemas.openxmlformats.org/officeDocument/2006/relationships/hyperlink" Target="https://www.clubefii.com.br/fiis/KNRE11" TargetMode="External"/><Relationship Id="rId877" Type="http://schemas.openxmlformats.org/officeDocument/2006/relationships/hyperlink" Target="https://www.clubefii.com.br/fiis/RBAG11" TargetMode="External"/><Relationship Id="rId634" Type="http://schemas.openxmlformats.org/officeDocument/2006/relationships/hyperlink" Target="https://www.clubefii.com.br/fiis/KNRE11" TargetMode="External"/><Relationship Id="rId876" Type="http://schemas.openxmlformats.org/officeDocument/2006/relationships/hyperlink" Target="https://www.clubefii.com.br/fiis/QREC11" TargetMode="External"/><Relationship Id="rId633" Type="http://schemas.openxmlformats.org/officeDocument/2006/relationships/hyperlink" Target="https://www.clubefii.com.br/fiis/KNRE11" TargetMode="External"/><Relationship Id="rId875" Type="http://schemas.openxmlformats.org/officeDocument/2006/relationships/hyperlink" Target="https://www.clubefii.com.br/fiis/QREC11" TargetMode="External"/><Relationship Id="rId632" Type="http://schemas.openxmlformats.org/officeDocument/2006/relationships/hyperlink" Target="https://www.clubefii.com.br/fiis/KNIP11" TargetMode="External"/><Relationship Id="rId874" Type="http://schemas.openxmlformats.org/officeDocument/2006/relationships/hyperlink" Target="https://www.clubefii.com.br/fiis/QREC11" TargetMode="External"/><Relationship Id="rId639" Type="http://schemas.openxmlformats.org/officeDocument/2006/relationships/hyperlink" Target="https://www.clubefii.com.br/fiis/KNRI11" TargetMode="External"/><Relationship Id="rId638" Type="http://schemas.openxmlformats.org/officeDocument/2006/relationships/hyperlink" Target="https://www.clubefii.com.br/fiis/KNRI11" TargetMode="External"/><Relationship Id="rId637" Type="http://schemas.openxmlformats.org/officeDocument/2006/relationships/hyperlink" Target="https://www.clubefii.com.br/fiis/KNRI11" TargetMode="External"/><Relationship Id="rId879" Type="http://schemas.openxmlformats.org/officeDocument/2006/relationships/hyperlink" Target="https://www.clubefii.com.br/fiis/RBAG11" TargetMode="External"/><Relationship Id="rId636" Type="http://schemas.openxmlformats.org/officeDocument/2006/relationships/hyperlink" Target="https://www.clubefii.com.br/fiis/KNRE11" TargetMode="External"/><Relationship Id="rId878" Type="http://schemas.openxmlformats.org/officeDocument/2006/relationships/hyperlink" Target="https://www.clubefii.com.br/fiis/RBAG11" TargetMode="External"/><Relationship Id="rId631" Type="http://schemas.openxmlformats.org/officeDocument/2006/relationships/hyperlink" Target="https://www.clubefii.com.br/fiis/KNIP11" TargetMode="External"/><Relationship Id="rId873" Type="http://schemas.openxmlformats.org/officeDocument/2006/relationships/hyperlink" Target="https://www.clubefii.com.br/fiis/QREC11" TargetMode="External"/><Relationship Id="rId1220" Type="http://schemas.openxmlformats.org/officeDocument/2006/relationships/hyperlink" Target="https://www.clubefii.com.br/fiis/VILG11" TargetMode="External"/><Relationship Id="rId630" Type="http://schemas.openxmlformats.org/officeDocument/2006/relationships/hyperlink" Target="https://www.clubefii.com.br/fiis/KNIP11" TargetMode="External"/><Relationship Id="rId872" Type="http://schemas.openxmlformats.org/officeDocument/2006/relationships/hyperlink" Target="https://www.clubefii.com.br/fiis/QMFF11" TargetMode="External"/><Relationship Id="rId1221" Type="http://schemas.openxmlformats.org/officeDocument/2006/relationships/hyperlink" Target="https://www.clubefii.com.br/fiis/VINO11" TargetMode="External"/><Relationship Id="rId871" Type="http://schemas.openxmlformats.org/officeDocument/2006/relationships/hyperlink" Target="https://www.clubefii.com.br/fiis/QMFF11" TargetMode="External"/><Relationship Id="rId1222" Type="http://schemas.openxmlformats.org/officeDocument/2006/relationships/hyperlink" Target="https://www.clubefii.com.br/fiis/VINO11" TargetMode="External"/><Relationship Id="rId870" Type="http://schemas.openxmlformats.org/officeDocument/2006/relationships/hyperlink" Target="https://www.clubefii.com.br/fiis/QMFF11" TargetMode="External"/><Relationship Id="rId1223" Type="http://schemas.openxmlformats.org/officeDocument/2006/relationships/hyperlink" Target="https://www.clubefii.com.br/fiis/VINO11" TargetMode="External"/><Relationship Id="rId829" Type="http://schemas.openxmlformats.org/officeDocument/2006/relationships/hyperlink" Target="https://www.clubefii.com.br/fiis/PLRI11" TargetMode="External"/><Relationship Id="rId828" Type="http://schemas.openxmlformats.org/officeDocument/2006/relationships/hyperlink" Target="https://www.clubefii.com.br/fiis/PLCR11" TargetMode="External"/><Relationship Id="rId827" Type="http://schemas.openxmlformats.org/officeDocument/2006/relationships/hyperlink" Target="https://www.clubefii.com.br/fiis/PLCR11" TargetMode="External"/><Relationship Id="rId822" Type="http://schemas.openxmlformats.org/officeDocument/2006/relationships/hyperlink" Target="https://www.clubefii.com.br/fiis/PBYR11" TargetMode="External"/><Relationship Id="rId821" Type="http://schemas.openxmlformats.org/officeDocument/2006/relationships/hyperlink" Target="https://www.clubefii.com.br/fiis/PBYR11" TargetMode="External"/><Relationship Id="rId820" Type="http://schemas.openxmlformats.org/officeDocument/2006/relationships/hyperlink" Target="https://www.clubefii.com.br/fiis/PBLV11" TargetMode="External"/><Relationship Id="rId826" Type="http://schemas.openxmlformats.org/officeDocument/2006/relationships/hyperlink" Target="https://www.clubefii.com.br/fiis/PLCR11" TargetMode="External"/><Relationship Id="rId825" Type="http://schemas.openxmlformats.org/officeDocument/2006/relationships/hyperlink" Target="https://www.clubefii.com.br/fiis/PLCR11" TargetMode="External"/><Relationship Id="rId824" Type="http://schemas.openxmlformats.org/officeDocument/2006/relationships/hyperlink" Target="https://www.clubefii.com.br/fiis/PBYR11" TargetMode="External"/><Relationship Id="rId823" Type="http://schemas.openxmlformats.org/officeDocument/2006/relationships/hyperlink" Target="https://www.clubefii.com.br/fiis/PBYR11" TargetMode="External"/><Relationship Id="rId819" Type="http://schemas.openxmlformats.org/officeDocument/2006/relationships/hyperlink" Target="https://www.clubefii.com.br/fiis/PBLV11" TargetMode="External"/><Relationship Id="rId818" Type="http://schemas.openxmlformats.org/officeDocument/2006/relationships/hyperlink" Target="https://www.clubefii.com.br/fiis/PBLV11" TargetMode="External"/><Relationship Id="rId817" Type="http://schemas.openxmlformats.org/officeDocument/2006/relationships/hyperlink" Target="https://www.clubefii.com.br/fiis/PBLV11" TargetMode="External"/><Relationship Id="rId816" Type="http://schemas.openxmlformats.org/officeDocument/2006/relationships/hyperlink" Target="https://www.clubefii.com.br/fiis/PATL11" TargetMode="External"/><Relationship Id="rId811" Type="http://schemas.openxmlformats.org/officeDocument/2006/relationships/hyperlink" Target="https://www.clubefii.com.br/fiis/PATC11" TargetMode="External"/><Relationship Id="rId810" Type="http://schemas.openxmlformats.org/officeDocument/2006/relationships/hyperlink" Target="https://www.clubefii.com.br/fiis/PATC11" TargetMode="External"/><Relationship Id="rId815" Type="http://schemas.openxmlformats.org/officeDocument/2006/relationships/hyperlink" Target="https://www.clubefii.com.br/fiis/PATL11" TargetMode="External"/><Relationship Id="rId814" Type="http://schemas.openxmlformats.org/officeDocument/2006/relationships/hyperlink" Target="https://www.clubefii.com.br/fiis/PATL11" TargetMode="External"/><Relationship Id="rId813" Type="http://schemas.openxmlformats.org/officeDocument/2006/relationships/hyperlink" Target="https://www.clubefii.com.br/fiis/PATL11" TargetMode="External"/><Relationship Id="rId812" Type="http://schemas.openxmlformats.org/officeDocument/2006/relationships/hyperlink" Target="https://www.clubefii.com.br/fiis/PATC11" TargetMode="External"/><Relationship Id="rId609" Type="http://schemas.openxmlformats.org/officeDocument/2006/relationships/hyperlink" Target="https://www.clubefii.com.br/fiis/KFOF11" TargetMode="External"/><Relationship Id="rId608" Type="http://schemas.openxmlformats.org/officeDocument/2006/relationships/hyperlink" Target="https://www.clubefii.com.br/fiis/KEVE11" TargetMode="External"/><Relationship Id="rId607" Type="http://schemas.openxmlformats.org/officeDocument/2006/relationships/hyperlink" Target="https://www.clubefii.com.br/fiis/KEVE11" TargetMode="External"/><Relationship Id="rId849" Type="http://schemas.openxmlformats.org/officeDocument/2006/relationships/hyperlink" Target="https://www.clubefii.com.br/fiis/PRSN11B" TargetMode="External"/><Relationship Id="rId602" Type="http://schemas.openxmlformats.org/officeDocument/2006/relationships/hyperlink" Target="https://www.clubefii.com.br/fiis/JTPR11" TargetMode="External"/><Relationship Id="rId844" Type="http://schemas.openxmlformats.org/officeDocument/2006/relationships/hyperlink" Target="https://www.clubefii.com.br/fiis/PQAG11" TargetMode="External"/><Relationship Id="rId601" Type="http://schemas.openxmlformats.org/officeDocument/2006/relationships/hyperlink" Target="https://www.clubefii.com.br/fiis/JTPR11" TargetMode="External"/><Relationship Id="rId843" Type="http://schemas.openxmlformats.org/officeDocument/2006/relationships/hyperlink" Target="https://www.clubefii.com.br/fiis/PQAG11" TargetMode="External"/><Relationship Id="rId600" Type="http://schemas.openxmlformats.org/officeDocument/2006/relationships/hyperlink" Target="https://www.clubefii.com.br/fiis/JSRE11" TargetMode="External"/><Relationship Id="rId842" Type="http://schemas.openxmlformats.org/officeDocument/2006/relationships/hyperlink" Target="https://www.clubefii.com.br/fiis/PQAG11" TargetMode="External"/><Relationship Id="rId841" Type="http://schemas.openxmlformats.org/officeDocument/2006/relationships/hyperlink" Target="https://www.clubefii.com.br/fiis/PQAG11" TargetMode="External"/><Relationship Id="rId606" Type="http://schemas.openxmlformats.org/officeDocument/2006/relationships/hyperlink" Target="https://www.clubefii.com.br/fiis/KEVE11" TargetMode="External"/><Relationship Id="rId848" Type="http://schemas.openxmlformats.org/officeDocument/2006/relationships/hyperlink" Target="https://www.clubefii.com.br/fiis/PQDP11" TargetMode="External"/><Relationship Id="rId605" Type="http://schemas.openxmlformats.org/officeDocument/2006/relationships/hyperlink" Target="https://www.clubefii.com.br/fiis/KEVE11" TargetMode="External"/><Relationship Id="rId847" Type="http://schemas.openxmlformats.org/officeDocument/2006/relationships/hyperlink" Target="https://www.clubefii.com.br/fiis/PQDP11" TargetMode="External"/><Relationship Id="rId604" Type="http://schemas.openxmlformats.org/officeDocument/2006/relationships/hyperlink" Target="https://www.clubefii.com.br/fiis/JTPR11" TargetMode="External"/><Relationship Id="rId846" Type="http://schemas.openxmlformats.org/officeDocument/2006/relationships/hyperlink" Target="https://www.clubefii.com.br/fiis/PQDP11" TargetMode="External"/><Relationship Id="rId603" Type="http://schemas.openxmlformats.org/officeDocument/2006/relationships/hyperlink" Target="https://www.clubefii.com.br/fiis/JTPR11" TargetMode="External"/><Relationship Id="rId845" Type="http://schemas.openxmlformats.org/officeDocument/2006/relationships/hyperlink" Target="https://www.clubefii.com.br/fiis/PQDP11" TargetMode="External"/><Relationship Id="rId840" Type="http://schemas.openxmlformats.org/officeDocument/2006/relationships/hyperlink" Target="https://www.clubefii.com.br/fiis/PORD11" TargetMode="External"/><Relationship Id="rId839" Type="http://schemas.openxmlformats.org/officeDocument/2006/relationships/hyperlink" Target="https://www.clubefii.com.br/fiis/PORD11" TargetMode="External"/><Relationship Id="rId838" Type="http://schemas.openxmlformats.org/officeDocument/2006/relationships/hyperlink" Target="https://www.clubefii.com.br/fiis/PORD11" TargetMode="External"/><Relationship Id="rId833" Type="http://schemas.openxmlformats.org/officeDocument/2006/relationships/hyperlink" Target="https://www.clubefii.com.br/fiis/PNDL11" TargetMode="External"/><Relationship Id="rId832" Type="http://schemas.openxmlformats.org/officeDocument/2006/relationships/hyperlink" Target="https://www.clubefii.com.br/fiis/PLRI11" TargetMode="External"/><Relationship Id="rId831" Type="http://schemas.openxmlformats.org/officeDocument/2006/relationships/hyperlink" Target="https://www.clubefii.com.br/fiis/PLRI11" TargetMode="External"/><Relationship Id="rId830" Type="http://schemas.openxmlformats.org/officeDocument/2006/relationships/hyperlink" Target="https://www.clubefii.com.br/fiis/PLRI11" TargetMode="External"/><Relationship Id="rId837" Type="http://schemas.openxmlformats.org/officeDocument/2006/relationships/hyperlink" Target="https://www.clubefii.com.br/fiis/PORD11" TargetMode="External"/><Relationship Id="rId836" Type="http://schemas.openxmlformats.org/officeDocument/2006/relationships/hyperlink" Target="https://www.clubefii.com.br/fiis/PNDL11" TargetMode="External"/><Relationship Id="rId835" Type="http://schemas.openxmlformats.org/officeDocument/2006/relationships/hyperlink" Target="https://www.clubefii.com.br/fiis/PNDL11" TargetMode="External"/><Relationship Id="rId834" Type="http://schemas.openxmlformats.org/officeDocument/2006/relationships/hyperlink" Target="https://www.clubefii.com.br/fiis/PNDL11" TargetMode="External"/><Relationship Id="rId1059" Type="http://schemas.openxmlformats.org/officeDocument/2006/relationships/hyperlink" Target="https://www.clubefii.com.br/fiis/SAAG11" TargetMode="External"/><Relationship Id="rId228" Type="http://schemas.openxmlformats.org/officeDocument/2006/relationships/hyperlink" Target="https://www.clubefii.com.br/fiis/CTXT11" TargetMode="External"/><Relationship Id="rId227" Type="http://schemas.openxmlformats.org/officeDocument/2006/relationships/hyperlink" Target="https://www.clubefii.com.br/fiis/CTXT11" TargetMode="External"/><Relationship Id="rId469" Type="http://schemas.openxmlformats.org/officeDocument/2006/relationships/hyperlink" Target="https://www.clubefii.com.br/fiis/HFOF11" TargetMode="External"/><Relationship Id="rId226" Type="http://schemas.openxmlformats.org/officeDocument/2006/relationships/hyperlink" Target="https://www.clubefii.com.br/fiis/CTXT11" TargetMode="External"/><Relationship Id="rId468" Type="http://schemas.openxmlformats.org/officeDocument/2006/relationships/hyperlink" Target="https://www.clubefii.com.br/fiis/HDOF11" TargetMode="External"/><Relationship Id="rId225" Type="http://schemas.openxmlformats.org/officeDocument/2006/relationships/hyperlink" Target="https://www.clubefii.com.br/fiis/CTXT11" TargetMode="External"/><Relationship Id="rId467" Type="http://schemas.openxmlformats.org/officeDocument/2006/relationships/hyperlink" Target="https://www.clubefii.com.br/fiis/HDOF11" TargetMode="External"/><Relationship Id="rId1290" Type="http://schemas.openxmlformats.org/officeDocument/2006/relationships/hyperlink" Target="https://www.clubefii.com.br/fiis/WPLZ11" TargetMode="External"/><Relationship Id="rId1291" Type="http://schemas.openxmlformats.org/officeDocument/2006/relationships/hyperlink" Target="https://www.clubefii.com.br/fiis/WPLZ11" TargetMode="External"/><Relationship Id="rId229" Type="http://schemas.openxmlformats.org/officeDocument/2006/relationships/hyperlink" Target="https://www.clubefii.com.br/fiis/CVBI11" TargetMode="External"/><Relationship Id="rId1050" Type="http://schemas.openxmlformats.org/officeDocument/2006/relationships/hyperlink" Target="https://www.clubefii.com.br/fiis/RZAK11" TargetMode="External"/><Relationship Id="rId1292" Type="http://schemas.openxmlformats.org/officeDocument/2006/relationships/hyperlink" Target="https://www.clubefii.com.br/fiis/WPLZ11" TargetMode="External"/><Relationship Id="rId220" Type="http://schemas.openxmlformats.org/officeDocument/2006/relationships/hyperlink" Target="https://www.clubefii.com.br/fiis/CPTS11" TargetMode="External"/><Relationship Id="rId462" Type="http://schemas.openxmlformats.org/officeDocument/2006/relationships/hyperlink" Target="https://www.clubefii.com.br/fiis/HCTR11" TargetMode="External"/><Relationship Id="rId1051" Type="http://schemas.openxmlformats.org/officeDocument/2006/relationships/hyperlink" Target="https://www.clubefii.com.br/fiis/RZAK11" TargetMode="External"/><Relationship Id="rId1293" Type="http://schemas.openxmlformats.org/officeDocument/2006/relationships/hyperlink" Target="https://www.clubefii.com.br/fiis/WTSP11B" TargetMode="External"/><Relationship Id="rId461" Type="http://schemas.openxmlformats.org/officeDocument/2006/relationships/hyperlink" Target="https://www.clubefii.com.br/fiis/HCTR11" TargetMode="External"/><Relationship Id="rId1052" Type="http://schemas.openxmlformats.org/officeDocument/2006/relationships/hyperlink" Target="https://www.clubefii.com.br/fiis/RZAK11" TargetMode="External"/><Relationship Id="rId1294" Type="http://schemas.openxmlformats.org/officeDocument/2006/relationships/hyperlink" Target="https://www.clubefii.com.br/fiis/WTSP11B" TargetMode="External"/><Relationship Id="rId460" Type="http://schemas.openxmlformats.org/officeDocument/2006/relationships/hyperlink" Target="https://www.clubefii.com.br/fiis/HCST11" TargetMode="External"/><Relationship Id="rId1053" Type="http://schemas.openxmlformats.org/officeDocument/2006/relationships/hyperlink" Target="https://www.clubefii.com.br/fiis/RZTR11" TargetMode="External"/><Relationship Id="rId1295" Type="http://schemas.openxmlformats.org/officeDocument/2006/relationships/hyperlink" Target="https://www.clubefii.com.br/fiis/WTSP11B" TargetMode="External"/><Relationship Id="rId1054" Type="http://schemas.openxmlformats.org/officeDocument/2006/relationships/hyperlink" Target="https://www.clubefii.com.br/fiis/RZTR11" TargetMode="External"/><Relationship Id="rId1296" Type="http://schemas.openxmlformats.org/officeDocument/2006/relationships/hyperlink" Target="https://www.clubefii.com.br/fiis/WTSP11B" TargetMode="External"/><Relationship Id="rId224" Type="http://schemas.openxmlformats.org/officeDocument/2006/relationships/hyperlink" Target="https://www.clubefii.com.br/fiis/CRFF11" TargetMode="External"/><Relationship Id="rId466" Type="http://schemas.openxmlformats.org/officeDocument/2006/relationships/hyperlink" Target="https://www.clubefii.com.br/fiis/HDOF11" TargetMode="External"/><Relationship Id="rId1055" Type="http://schemas.openxmlformats.org/officeDocument/2006/relationships/hyperlink" Target="https://www.clubefii.com.br/fiis/RZTR11" TargetMode="External"/><Relationship Id="rId1297" Type="http://schemas.openxmlformats.org/officeDocument/2006/relationships/hyperlink" Target="https://www.clubefii.com.br/fiis/XPCI11" TargetMode="External"/><Relationship Id="rId223" Type="http://schemas.openxmlformats.org/officeDocument/2006/relationships/hyperlink" Target="https://www.clubefii.com.br/fiis/CRFF11" TargetMode="External"/><Relationship Id="rId465" Type="http://schemas.openxmlformats.org/officeDocument/2006/relationships/hyperlink" Target="https://www.clubefii.com.br/fiis/HDOF11" TargetMode="External"/><Relationship Id="rId1056" Type="http://schemas.openxmlformats.org/officeDocument/2006/relationships/hyperlink" Target="https://www.clubefii.com.br/fiis/RZTR11" TargetMode="External"/><Relationship Id="rId1298" Type="http://schemas.openxmlformats.org/officeDocument/2006/relationships/hyperlink" Target="https://www.clubefii.com.br/fiis/XPCI11" TargetMode="External"/><Relationship Id="rId222" Type="http://schemas.openxmlformats.org/officeDocument/2006/relationships/hyperlink" Target="https://www.clubefii.com.br/fiis/CRFF11" TargetMode="External"/><Relationship Id="rId464" Type="http://schemas.openxmlformats.org/officeDocument/2006/relationships/hyperlink" Target="https://www.clubefii.com.br/fiis/HCTR11" TargetMode="External"/><Relationship Id="rId1057" Type="http://schemas.openxmlformats.org/officeDocument/2006/relationships/hyperlink" Target="https://www.clubefii.com.br/fiis/SAAG11" TargetMode="External"/><Relationship Id="rId1299" Type="http://schemas.openxmlformats.org/officeDocument/2006/relationships/hyperlink" Target="https://www.clubefii.com.br/fiis/XPCI11" TargetMode="External"/><Relationship Id="rId221" Type="http://schemas.openxmlformats.org/officeDocument/2006/relationships/hyperlink" Target="https://www.clubefii.com.br/fiis/CRFF11" TargetMode="External"/><Relationship Id="rId463" Type="http://schemas.openxmlformats.org/officeDocument/2006/relationships/hyperlink" Target="https://www.clubefii.com.br/fiis/HCTR11" TargetMode="External"/><Relationship Id="rId1058" Type="http://schemas.openxmlformats.org/officeDocument/2006/relationships/hyperlink" Target="https://www.clubefii.com.br/fiis/SAAG11" TargetMode="External"/><Relationship Id="rId1048" Type="http://schemas.openxmlformats.org/officeDocument/2006/relationships/hyperlink" Target="https://www.clubefii.com.br/fiis/RVBI11" TargetMode="External"/><Relationship Id="rId1049" Type="http://schemas.openxmlformats.org/officeDocument/2006/relationships/hyperlink" Target="https://www.clubefii.com.br/fiis/RZAK11" TargetMode="External"/><Relationship Id="rId217" Type="http://schemas.openxmlformats.org/officeDocument/2006/relationships/hyperlink" Target="https://www.clubefii.com.br/fiis/CPTS11" TargetMode="External"/><Relationship Id="rId459" Type="http://schemas.openxmlformats.org/officeDocument/2006/relationships/hyperlink" Target="https://www.clubefii.com.br/fiis/HCST11" TargetMode="External"/><Relationship Id="rId216" Type="http://schemas.openxmlformats.org/officeDocument/2006/relationships/hyperlink" Target="https://www.clubefii.com.br/fiis/CPFF11" TargetMode="External"/><Relationship Id="rId458" Type="http://schemas.openxmlformats.org/officeDocument/2006/relationships/hyperlink" Target="https://www.clubefii.com.br/fiis/HCST11" TargetMode="External"/><Relationship Id="rId215" Type="http://schemas.openxmlformats.org/officeDocument/2006/relationships/hyperlink" Target="https://www.clubefii.com.br/fiis/CPFF11" TargetMode="External"/><Relationship Id="rId457" Type="http://schemas.openxmlformats.org/officeDocument/2006/relationships/hyperlink" Target="https://www.clubefii.com.br/fiis/HCST11" TargetMode="External"/><Relationship Id="rId699" Type="http://schemas.openxmlformats.org/officeDocument/2006/relationships/hyperlink" Target="https://www.clubefii.com.br/fiis/MFAI11" TargetMode="External"/><Relationship Id="rId214" Type="http://schemas.openxmlformats.org/officeDocument/2006/relationships/hyperlink" Target="https://www.clubefii.com.br/fiis/CPFF11" TargetMode="External"/><Relationship Id="rId456" Type="http://schemas.openxmlformats.org/officeDocument/2006/relationships/hyperlink" Target="https://www.clubefii.com.br/fiis/HCRI11" TargetMode="External"/><Relationship Id="rId698" Type="http://schemas.openxmlformats.org/officeDocument/2006/relationships/hyperlink" Target="https://www.clubefii.com.br/fiis/MFAI11" TargetMode="External"/><Relationship Id="rId219" Type="http://schemas.openxmlformats.org/officeDocument/2006/relationships/hyperlink" Target="https://www.clubefii.com.br/fiis/CPTS11" TargetMode="External"/><Relationship Id="rId1280" Type="http://schemas.openxmlformats.org/officeDocument/2006/relationships/hyperlink" Target="https://www.clubefii.com.br/fiis/VVPR11" TargetMode="External"/><Relationship Id="rId218" Type="http://schemas.openxmlformats.org/officeDocument/2006/relationships/hyperlink" Target="https://www.clubefii.com.br/fiis/CPTS11" TargetMode="External"/><Relationship Id="rId1281" Type="http://schemas.openxmlformats.org/officeDocument/2006/relationships/hyperlink" Target="https://www.clubefii.com.br/fiis/VXXV11" TargetMode="External"/><Relationship Id="rId451" Type="http://schemas.openxmlformats.org/officeDocument/2006/relationships/hyperlink" Target="https://www.clubefii.com.br/fiis/HBTT11" TargetMode="External"/><Relationship Id="rId693" Type="http://schemas.openxmlformats.org/officeDocument/2006/relationships/hyperlink" Target="https://www.clubefii.com.br/fiis/MCFF11" TargetMode="External"/><Relationship Id="rId1040" Type="http://schemas.openxmlformats.org/officeDocument/2006/relationships/hyperlink" Target="https://www.clubefii.com.br/fiis/RSBU11B" TargetMode="External"/><Relationship Id="rId1282" Type="http://schemas.openxmlformats.org/officeDocument/2006/relationships/hyperlink" Target="https://www.clubefii.com.br/fiis/VXXV11" TargetMode="External"/><Relationship Id="rId450" Type="http://schemas.openxmlformats.org/officeDocument/2006/relationships/hyperlink" Target="https://www.clubefii.com.br/fiis/HBTT11" TargetMode="External"/><Relationship Id="rId692" Type="http://schemas.openxmlformats.org/officeDocument/2006/relationships/hyperlink" Target="https://www.clubefii.com.br/fiis/MCCI11" TargetMode="External"/><Relationship Id="rId1041" Type="http://schemas.openxmlformats.org/officeDocument/2006/relationships/hyperlink" Target="https://www.clubefii.com.br/fiis/RSPD11" TargetMode="External"/><Relationship Id="rId1283" Type="http://schemas.openxmlformats.org/officeDocument/2006/relationships/hyperlink" Target="https://www.clubefii.com.br/fiis/VXXV11" TargetMode="External"/><Relationship Id="rId691" Type="http://schemas.openxmlformats.org/officeDocument/2006/relationships/hyperlink" Target="https://www.clubefii.com.br/fiis/MCCI11" TargetMode="External"/><Relationship Id="rId1042" Type="http://schemas.openxmlformats.org/officeDocument/2006/relationships/hyperlink" Target="https://www.clubefii.com.br/fiis/RSPD11" TargetMode="External"/><Relationship Id="rId1284" Type="http://schemas.openxmlformats.org/officeDocument/2006/relationships/hyperlink" Target="https://www.clubefii.com.br/fiis/VXXV11" TargetMode="External"/><Relationship Id="rId690" Type="http://schemas.openxmlformats.org/officeDocument/2006/relationships/hyperlink" Target="https://www.clubefii.com.br/fiis/MCCI11" TargetMode="External"/><Relationship Id="rId1043" Type="http://schemas.openxmlformats.org/officeDocument/2006/relationships/hyperlink" Target="https://www.clubefii.com.br/fiis/RSPD11" TargetMode="External"/><Relationship Id="rId1285" Type="http://schemas.openxmlformats.org/officeDocument/2006/relationships/hyperlink" Target="https://www.clubefii.com.br/fiis/WMRB11B" TargetMode="External"/><Relationship Id="rId213" Type="http://schemas.openxmlformats.org/officeDocument/2006/relationships/hyperlink" Target="https://www.clubefii.com.br/fiis/CPFF11" TargetMode="External"/><Relationship Id="rId455" Type="http://schemas.openxmlformats.org/officeDocument/2006/relationships/hyperlink" Target="https://www.clubefii.com.br/fiis/HCRI11" TargetMode="External"/><Relationship Id="rId697" Type="http://schemas.openxmlformats.org/officeDocument/2006/relationships/hyperlink" Target="https://www.clubefii.com.br/fiis/MFAI11" TargetMode="External"/><Relationship Id="rId1044" Type="http://schemas.openxmlformats.org/officeDocument/2006/relationships/hyperlink" Target="https://www.clubefii.com.br/fiis/RSPD11" TargetMode="External"/><Relationship Id="rId1286" Type="http://schemas.openxmlformats.org/officeDocument/2006/relationships/hyperlink" Target="https://www.clubefii.com.br/fiis/WMRB11B" TargetMode="External"/><Relationship Id="rId212" Type="http://schemas.openxmlformats.org/officeDocument/2006/relationships/hyperlink" Target="https://www.clubefii.com.br/fiis/CNES11" TargetMode="External"/><Relationship Id="rId454" Type="http://schemas.openxmlformats.org/officeDocument/2006/relationships/hyperlink" Target="https://www.clubefii.com.br/fiis/HCRI11" TargetMode="External"/><Relationship Id="rId696" Type="http://schemas.openxmlformats.org/officeDocument/2006/relationships/hyperlink" Target="https://www.clubefii.com.br/fiis/MCFF11" TargetMode="External"/><Relationship Id="rId1045" Type="http://schemas.openxmlformats.org/officeDocument/2006/relationships/hyperlink" Target="https://www.clubefii.com.br/fiis/RVBI11" TargetMode="External"/><Relationship Id="rId1287" Type="http://schemas.openxmlformats.org/officeDocument/2006/relationships/hyperlink" Target="https://www.clubefii.com.br/fiis/WMRB11B" TargetMode="External"/><Relationship Id="rId211" Type="http://schemas.openxmlformats.org/officeDocument/2006/relationships/hyperlink" Target="https://www.clubefii.com.br/fiis/CNES11" TargetMode="External"/><Relationship Id="rId453" Type="http://schemas.openxmlformats.org/officeDocument/2006/relationships/hyperlink" Target="https://www.clubefii.com.br/fiis/HCRI11" TargetMode="External"/><Relationship Id="rId695" Type="http://schemas.openxmlformats.org/officeDocument/2006/relationships/hyperlink" Target="https://www.clubefii.com.br/fiis/MCFF11" TargetMode="External"/><Relationship Id="rId1046" Type="http://schemas.openxmlformats.org/officeDocument/2006/relationships/hyperlink" Target="https://www.clubefii.com.br/fiis/RVBI11" TargetMode="External"/><Relationship Id="rId1288" Type="http://schemas.openxmlformats.org/officeDocument/2006/relationships/hyperlink" Target="https://www.clubefii.com.br/fiis/WMRB11B" TargetMode="External"/><Relationship Id="rId210" Type="http://schemas.openxmlformats.org/officeDocument/2006/relationships/hyperlink" Target="https://www.clubefii.com.br/fiis/CNES11" TargetMode="External"/><Relationship Id="rId452" Type="http://schemas.openxmlformats.org/officeDocument/2006/relationships/hyperlink" Target="https://www.clubefii.com.br/fiis/HBTT11" TargetMode="External"/><Relationship Id="rId694" Type="http://schemas.openxmlformats.org/officeDocument/2006/relationships/hyperlink" Target="https://www.clubefii.com.br/fiis/MCFF11" TargetMode="External"/><Relationship Id="rId1047" Type="http://schemas.openxmlformats.org/officeDocument/2006/relationships/hyperlink" Target="https://www.clubefii.com.br/fiis/RVBI11" TargetMode="External"/><Relationship Id="rId1289" Type="http://schemas.openxmlformats.org/officeDocument/2006/relationships/hyperlink" Target="https://www.clubefii.com.br/fiis/WPLZ11" TargetMode="External"/><Relationship Id="rId491" Type="http://schemas.openxmlformats.org/officeDocument/2006/relationships/hyperlink" Target="https://www.clubefii.com.br/fiis/HGPO11" TargetMode="External"/><Relationship Id="rId490" Type="http://schemas.openxmlformats.org/officeDocument/2006/relationships/hyperlink" Target="https://www.clubefii.com.br/fiis/HGPO11" TargetMode="External"/><Relationship Id="rId249" Type="http://schemas.openxmlformats.org/officeDocument/2006/relationships/hyperlink" Target="https://www.clubefii.com.br/fiis/DEVA11" TargetMode="External"/><Relationship Id="rId248" Type="http://schemas.openxmlformats.org/officeDocument/2006/relationships/hyperlink" Target="https://www.clubefii.com.br/fiis/DAMT11B" TargetMode="External"/><Relationship Id="rId247" Type="http://schemas.openxmlformats.org/officeDocument/2006/relationships/hyperlink" Target="https://www.clubefii.com.br/fiis/DAMT11B" TargetMode="External"/><Relationship Id="rId489" Type="http://schemas.openxmlformats.org/officeDocument/2006/relationships/hyperlink" Target="https://www.clubefii.com.br/fiis/HGPO11" TargetMode="External"/><Relationship Id="rId1070" Type="http://schemas.openxmlformats.org/officeDocument/2006/relationships/hyperlink" Target="https://www.clubefii.com.br/fiis/SARE11" TargetMode="External"/><Relationship Id="rId1071" Type="http://schemas.openxmlformats.org/officeDocument/2006/relationships/hyperlink" Target="https://www.clubefii.com.br/fiis/SARE11" TargetMode="External"/><Relationship Id="rId1072" Type="http://schemas.openxmlformats.org/officeDocument/2006/relationships/hyperlink" Target="https://www.clubefii.com.br/fiis/SARE11" TargetMode="External"/><Relationship Id="rId242" Type="http://schemas.openxmlformats.org/officeDocument/2006/relationships/hyperlink" Target="https://www.clubefii.com.br/fiis/CXTL11" TargetMode="External"/><Relationship Id="rId484" Type="http://schemas.openxmlformats.org/officeDocument/2006/relationships/hyperlink" Target="https://www.clubefii.com.br/fiis/HGFF11" TargetMode="External"/><Relationship Id="rId1073" Type="http://schemas.openxmlformats.org/officeDocument/2006/relationships/hyperlink" Target="https://www.clubefii.com.br/fiis/SCPF11" TargetMode="External"/><Relationship Id="rId241" Type="http://schemas.openxmlformats.org/officeDocument/2006/relationships/hyperlink" Target="https://www.clubefii.com.br/fiis/CXTL11" TargetMode="External"/><Relationship Id="rId483" Type="http://schemas.openxmlformats.org/officeDocument/2006/relationships/hyperlink" Target="https://www.clubefii.com.br/fiis/HGFF11" TargetMode="External"/><Relationship Id="rId1074" Type="http://schemas.openxmlformats.org/officeDocument/2006/relationships/hyperlink" Target="https://www.clubefii.com.br/fiis/SCPF11" TargetMode="External"/><Relationship Id="rId240" Type="http://schemas.openxmlformats.org/officeDocument/2006/relationships/hyperlink" Target="https://www.clubefii.com.br/fiis/CXRI11" TargetMode="External"/><Relationship Id="rId482" Type="http://schemas.openxmlformats.org/officeDocument/2006/relationships/hyperlink" Target="https://www.clubefii.com.br/fiis/HGFF11" TargetMode="External"/><Relationship Id="rId1075" Type="http://schemas.openxmlformats.org/officeDocument/2006/relationships/hyperlink" Target="https://www.clubefii.com.br/fiis/SCPF11" TargetMode="External"/><Relationship Id="rId481" Type="http://schemas.openxmlformats.org/officeDocument/2006/relationships/hyperlink" Target="https://www.clubefii.com.br/fiis/HGFF11" TargetMode="External"/><Relationship Id="rId1076" Type="http://schemas.openxmlformats.org/officeDocument/2006/relationships/hyperlink" Target="https://www.clubefii.com.br/fiis/SCPF11" TargetMode="External"/><Relationship Id="rId246" Type="http://schemas.openxmlformats.org/officeDocument/2006/relationships/hyperlink" Target="https://www.clubefii.com.br/fiis/DAMT11B" TargetMode="External"/><Relationship Id="rId488" Type="http://schemas.openxmlformats.org/officeDocument/2006/relationships/hyperlink" Target="https://www.clubefii.com.br/fiis/HGLG11" TargetMode="External"/><Relationship Id="rId1077" Type="http://schemas.openxmlformats.org/officeDocument/2006/relationships/hyperlink" Target="https://www.clubefii.com.br/fiis/SDIL11" TargetMode="External"/><Relationship Id="rId245" Type="http://schemas.openxmlformats.org/officeDocument/2006/relationships/hyperlink" Target="https://www.clubefii.com.br/fiis/DAMT11B" TargetMode="External"/><Relationship Id="rId487" Type="http://schemas.openxmlformats.org/officeDocument/2006/relationships/hyperlink" Target="https://www.clubefii.com.br/fiis/HGLG11" TargetMode="External"/><Relationship Id="rId1078" Type="http://schemas.openxmlformats.org/officeDocument/2006/relationships/hyperlink" Target="https://www.clubefii.com.br/fiis/SDIL11" TargetMode="External"/><Relationship Id="rId244" Type="http://schemas.openxmlformats.org/officeDocument/2006/relationships/hyperlink" Target="https://www.clubefii.com.br/fiis/CXTL11" TargetMode="External"/><Relationship Id="rId486" Type="http://schemas.openxmlformats.org/officeDocument/2006/relationships/hyperlink" Target="https://www.clubefii.com.br/fiis/HGLG11" TargetMode="External"/><Relationship Id="rId1079" Type="http://schemas.openxmlformats.org/officeDocument/2006/relationships/hyperlink" Target="https://www.clubefii.com.br/fiis/SDIL11" TargetMode="External"/><Relationship Id="rId243" Type="http://schemas.openxmlformats.org/officeDocument/2006/relationships/hyperlink" Target="https://www.clubefii.com.br/fiis/CXTL11" TargetMode="External"/><Relationship Id="rId485" Type="http://schemas.openxmlformats.org/officeDocument/2006/relationships/hyperlink" Target="https://www.clubefii.com.br/fiis/HGLG11" TargetMode="External"/><Relationship Id="rId480" Type="http://schemas.openxmlformats.org/officeDocument/2006/relationships/hyperlink" Target="https://www.clubefii.com.br/fiis/HGCR11" TargetMode="External"/><Relationship Id="rId239" Type="http://schemas.openxmlformats.org/officeDocument/2006/relationships/hyperlink" Target="https://www.clubefii.com.br/fiis/CXRI11" TargetMode="External"/><Relationship Id="rId238" Type="http://schemas.openxmlformats.org/officeDocument/2006/relationships/hyperlink" Target="https://www.clubefii.com.br/fiis/CXRI11" TargetMode="External"/><Relationship Id="rId237" Type="http://schemas.openxmlformats.org/officeDocument/2006/relationships/hyperlink" Target="https://www.clubefii.com.br/fiis/CXRI11" TargetMode="External"/><Relationship Id="rId479" Type="http://schemas.openxmlformats.org/officeDocument/2006/relationships/hyperlink" Target="https://www.clubefii.com.br/fiis/HGCR11" TargetMode="External"/><Relationship Id="rId236" Type="http://schemas.openxmlformats.org/officeDocument/2006/relationships/hyperlink" Target="https://www.clubefii.com.br/fiis/CXCE11B" TargetMode="External"/><Relationship Id="rId478" Type="http://schemas.openxmlformats.org/officeDocument/2006/relationships/hyperlink" Target="https://www.clubefii.com.br/fiis/HGCR11" TargetMode="External"/><Relationship Id="rId1060" Type="http://schemas.openxmlformats.org/officeDocument/2006/relationships/hyperlink" Target="https://www.clubefii.com.br/fiis/SAAG11" TargetMode="External"/><Relationship Id="rId1061" Type="http://schemas.openxmlformats.org/officeDocument/2006/relationships/hyperlink" Target="https://www.clubefii.com.br/fiis/SADI11" TargetMode="External"/><Relationship Id="rId231" Type="http://schemas.openxmlformats.org/officeDocument/2006/relationships/hyperlink" Target="https://www.clubefii.com.br/fiis/CVBI11" TargetMode="External"/><Relationship Id="rId473" Type="http://schemas.openxmlformats.org/officeDocument/2006/relationships/hyperlink" Target="https://www.clubefii.com.br/fiis/HGBS11" TargetMode="External"/><Relationship Id="rId1062" Type="http://schemas.openxmlformats.org/officeDocument/2006/relationships/hyperlink" Target="https://www.clubefii.com.br/fiis/SADI11" TargetMode="External"/><Relationship Id="rId230" Type="http://schemas.openxmlformats.org/officeDocument/2006/relationships/hyperlink" Target="https://www.clubefii.com.br/fiis/CVBI11" TargetMode="External"/><Relationship Id="rId472" Type="http://schemas.openxmlformats.org/officeDocument/2006/relationships/hyperlink" Target="https://www.clubefii.com.br/fiis/HFOF11" TargetMode="External"/><Relationship Id="rId1063" Type="http://schemas.openxmlformats.org/officeDocument/2006/relationships/hyperlink" Target="https://www.clubefii.com.br/fiis/SADI11" TargetMode="External"/><Relationship Id="rId471" Type="http://schemas.openxmlformats.org/officeDocument/2006/relationships/hyperlink" Target="https://www.clubefii.com.br/fiis/HFOF11" TargetMode="External"/><Relationship Id="rId1064" Type="http://schemas.openxmlformats.org/officeDocument/2006/relationships/hyperlink" Target="https://www.clubefii.com.br/fiis/SADI11" TargetMode="External"/><Relationship Id="rId470" Type="http://schemas.openxmlformats.org/officeDocument/2006/relationships/hyperlink" Target="https://www.clubefii.com.br/fiis/HFOF11" TargetMode="External"/><Relationship Id="rId1065" Type="http://schemas.openxmlformats.org/officeDocument/2006/relationships/hyperlink" Target="https://www.clubefii.com.br/fiis/SAIC11B" TargetMode="External"/><Relationship Id="rId235" Type="http://schemas.openxmlformats.org/officeDocument/2006/relationships/hyperlink" Target="https://www.clubefii.com.br/fiis/CXCE11B" TargetMode="External"/><Relationship Id="rId477" Type="http://schemas.openxmlformats.org/officeDocument/2006/relationships/hyperlink" Target="https://www.clubefii.com.br/fiis/HGCR11" TargetMode="External"/><Relationship Id="rId1066" Type="http://schemas.openxmlformats.org/officeDocument/2006/relationships/hyperlink" Target="https://www.clubefii.com.br/fiis/SAIC11B" TargetMode="External"/><Relationship Id="rId234" Type="http://schemas.openxmlformats.org/officeDocument/2006/relationships/hyperlink" Target="https://www.clubefii.com.br/fiis/CXCE11B" TargetMode="External"/><Relationship Id="rId476" Type="http://schemas.openxmlformats.org/officeDocument/2006/relationships/hyperlink" Target="https://www.clubefii.com.br/fiis/HGBS11" TargetMode="External"/><Relationship Id="rId1067" Type="http://schemas.openxmlformats.org/officeDocument/2006/relationships/hyperlink" Target="https://www.clubefii.com.br/fiis/SAIC11B" TargetMode="External"/><Relationship Id="rId233" Type="http://schemas.openxmlformats.org/officeDocument/2006/relationships/hyperlink" Target="https://www.clubefii.com.br/fiis/CXCE11B" TargetMode="External"/><Relationship Id="rId475" Type="http://schemas.openxmlformats.org/officeDocument/2006/relationships/hyperlink" Target="https://www.clubefii.com.br/fiis/HGBS11" TargetMode="External"/><Relationship Id="rId1068" Type="http://schemas.openxmlformats.org/officeDocument/2006/relationships/hyperlink" Target="https://www.clubefii.com.br/fiis/SAIC11B" TargetMode="External"/><Relationship Id="rId232" Type="http://schemas.openxmlformats.org/officeDocument/2006/relationships/hyperlink" Target="https://www.clubefii.com.br/fiis/CVBI11" TargetMode="External"/><Relationship Id="rId474" Type="http://schemas.openxmlformats.org/officeDocument/2006/relationships/hyperlink" Target="https://www.clubefii.com.br/fiis/HGBS11" TargetMode="External"/><Relationship Id="rId1069" Type="http://schemas.openxmlformats.org/officeDocument/2006/relationships/hyperlink" Target="https://www.clubefii.com.br/fiis/SARE11" TargetMode="External"/><Relationship Id="rId1015" Type="http://schemas.openxmlformats.org/officeDocument/2006/relationships/hyperlink" Target="https://www.clubefii.com.br/fiis/RELG11" TargetMode="External"/><Relationship Id="rId1257" Type="http://schemas.openxmlformats.org/officeDocument/2006/relationships/hyperlink" Target="https://www.clubefii.com.br/fiis/VTLT11" TargetMode="External"/><Relationship Id="rId1016" Type="http://schemas.openxmlformats.org/officeDocument/2006/relationships/hyperlink" Target="https://www.clubefii.com.br/fiis/RELG11" TargetMode="External"/><Relationship Id="rId1258" Type="http://schemas.openxmlformats.org/officeDocument/2006/relationships/hyperlink" Target="https://www.clubefii.com.br/fiis/VTLT11" TargetMode="External"/><Relationship Id="rId1017" Type="http://schemas.openxmlformats.org/officeDocument/2006/relationships/hyperlink" Target="https://www.clubefii.com.br/fiis/RFOF11" TargetMode="External"/><Relationship Id="rId1259" Type="http://schemas.openxmlformats.org/officeDocument/2006/relationships/hyperlink" Target="https://www.clubefii.com.br/fiis/VTLT11" TargetMode="External"/><Relationship Id="rId1018" Type="http://schemas.openxmlformats.org/officeDocument/2006/relationships/hyperlink" Target="https://www.clubefii.com.br/fiis/RFOF11" TargetMode="External"/><Relationship Id="rId1019" Type="http://schemas.openxmlformats.org/officeDocument/2006/relationships/hyperlink" Target="https://www.clubefii.com.br/fiis/RFOF11" TargetMode="External"/><Relationship Id="rId426" Type="http://schemas.openxmlformats.org/officeDocument/2006/relationships/hyperlink" Target="https://www.clubefii.com.br/fiis/GSFI11" TargetMode="External"/><Relationship Id="rId668" Type="http://schemas.openxmlformats.org/officeDocument/2006/relationships/hyperlink" Target="https://www.clubefii.com.br/fiis/LOFT13B" TargetMode="External"/><Relationship Id="rId425" Type="http://schemas.openxmlformats.org/officeDocument/2006/relationships/hyperlink" Target="https://www.clubefii.com.br/fiis/GSFI11" TargetMode="External"/><Relationship Id="rId667" Type="http://schemas.openxmlformats.org/officeDocument/2006/relationships/hyperlink" Target="https://www.clubefii.com.br/fiis/LOFT13B" TargetMode="External"/><Relationship Id="rId424" Type="http://schemas.openxmlformats.org/officeDocument/2006/relationships/hyperlink" Target="https://www.clubefii.com.br/fiis/GRLV11" TargetMode="External"/><Relationship Id="rId666" Type="http://schemas.openxmlformats.org/officeDocument/2006/relationships/hyperlink" Target="https://www.clubefii.com.br/fiis/LOFT13B" TargetMode="External"/><Relationship Id="rId423" Type="http://schemas.openxmlformats.org/officeDocument/2006/relationships/hyperlink" Target="https://www.clubefii.com.br/fiis/GRLV11" TargetMode="External"/><Relationship Id="rId665" Type="http://schemas.openxmlformats.org/officeDocument/2006/relationships/hyperlink" Target="https://www.clubefii.com.br/fiis/LOFT13B" TargetMode="External"/><Relationship Id="rId429" Type="http://schemas.openxmlformats.org/officeDocument/2006/relationships/hyperlink" Target="https://www.clubefii.com.br/fiis/GTWR11" TargetMode="External"/><Relationship Id="rId428" Type="http://schemas.openxmlformats.org/officeDocument/2006/relationships/hyperlink" Target="https://www.clubefii.com.br/fiis/GSFI11" TargetMode="External"/><Relationship Id="rId427" Type="http://schemas.openxmlformats.org/officeDocument/2006/relationships/hyperlink" Target="https://www.clubefii.com.br/fiis/GSFI11" TargetMode="External"/><Relationship Id="rId669" Type="http://schemas.openxmlformats.org/officeDocument/2006/relationships/hyperlink" Target="https://www.clubefii.com.br/fiis/LUGG11" TargetMode="External"/><Relationship Id="rId660" Type="http://schemas.openxmlformats.org/officeDocument/2006/relationships/hyperlink" Target="https://www.clubefii.com.br/fiis/LGCP11" TargetMode="External"/><Relationship Id="rId1250" Type="http://schemas.openxmlformats.org/officeDocument/2006/relationships/hyperlink" Target="https://www.clubefii.com.br/fiis/VSEC11" TargetMode="External"/><Relationship Id="rId1251" Type="http://schemas.openxmlformats.org/officeDocument/2006/relationships/hyperlink" Target="https://www.clubefii.com.br/fiis/VSEC11" TargetMode="External"/><Relationship Id="rId1010" Type="http://schemas.openxmlformats.org/officeDocument/2006/relationships/hyperlink" Target="https://www.clubefii.com.br/fiis/REIT11" TargetMode="External"/><Relationship Id="rId1252" Type="http://schemas.openxmlformats.org/officeDocument/2006/relationships/hyperlink" Target="https://www.clubefii.com.br/fiis/VSEC11" TargetMode="External"/><Relationship Id="rId422" Type="http://schemas.openxmlformats.org/officeDocument/2006/relationships/hyperlink" Target="https://www.clubefii.com.br/fiis/GRLV11" TargetMode="External"/><Relationship Id="rId664" Type="http://schemas.openxmlformats.org/officeDocument/2006/relationships/hyperlink" Target="https://www.clubefii.com.br/fiis/LOFT11B" TargetMode="External"/><Relationship Id="rId1011" Type="http://schemas.openxmlformats.org/officeDocument/2006/relationships/hyperlink" Target="https://www.clubefii.com.br/fiis/REIT11" TargetMode="External"/><Relationship Id="rId1253" Type="http://schemas.openxmlformats.org/officeDocument/2006/relationships/hyperlink" Target="https://www.clubefii.com.br/fiis/VSHO11" TargetMode="External"/><Relationship Id="rId421" Type="http://schemas.openxmlformats.org/officeDocument/2006/relationships/hyperlink" Target="https://www.clubefii.com.br/fiis/GRLV11" TargetMode="External"/><Relationship Id="rId663" Type="http://schemas.openxmlformats.org/officeDocument/2006/relationships/hyperlink" Target="https://www.clubefii.com.br/fiis/LOFT11B" TargetMode="External"/><Relationship Id="rId1012" Type="http://schemas.openxmlformats.org/officeDocument/2006/relationships/hyperlink" Target="https://www.clubefii.com.br/fiis/REIT11" TargetMode="External"/><Relationship Id="rId1254" Type="http://schemas.openxmlformats.org/officeDocument/2006/relationships/hyperlink" Target="https://www.clubefii.com.br/fiis/VSHO11" TargetMode="External"/><Relationship Id="rId420" Type="http://schemas.openxmlformats.org/officeDocument/2006/relationships/hyperlink" Target="https://www.clubefii.com.br/fiis/GGRC11" TargetMode="External"/><Relationship Id="rId662" Type="http://schemas.openxmlformats.org/officeDocument/2006/relationships/hyperlink" Target="https://www.clubefii.com.br/fiis/LOFT11B" TargetMode="External"/><Relationship Id="rId1013" Type="http://schemas.openxmlformats.org/officeDocument/2006/relationships/hyperlink" Target="https://www.clubefii.com.br/fiis/RELG11" TargetMode="External"/><Relationship Id="rId1255" Type="http://schemas.openxmlformats.org/officeDocument/2006/relationships/hyperlink" Target="https://www.clubefii.com.br/fiis/VSHO11" TargetMode="External"/><Relationship Id="rId661" Type="http://schemas.openxmlformats.org/officeDocument/2006/relationships/hyperlink" Target="https://www.clubefii.com.br/fiis/LOFT11B" TargetMode="External"/><Relationship Id="rId1014" Type="http://schemas.openxmlformats.org/officeDocument/2006/relationships/hyperlink" Target="https://www.clubefii.com.br/fiis/RELG11" TargetMode="External"/><Relationship Id="rId1256" Type="http://schemas.openxmlformats.org/officeDocument/2006/relationships/hyperlink" Target="https://www.clubefii.com.br/fiis/VSHO11" TargetMode="External"/><Relationship Id="rId1004" Type="http://schemas.openxmlformats.org/officeDocument/2006/relationships/hyperlink" Target="https://www.clubefii.com.br/fiis/RECR11" TargetMode="External"/><Relationship Id="rId1246" Type="http://schemas.openxmlformats.org/officeDocument/2006/relationships/hyperlink" Target="https://www.clubefii.com.br/fiis/VRTA11" TargetMode="External"/><Relationship Id="rId1005" Type="http://schemas.openxmlformats.org/officeDocument/2006/relationships/hyperlink" Target="https://www.clubefii.com.br/fiis/RECT11" TargetMode="External"/><Relationship Id="rId1247" Type="http://schemas.openxmlformats.org/officeDocument/2006/relationships/hyperlink" Target="https://www.clubefii.com.br/fiis/VRTA11" TargetMode="External"/><Relationship Id="rId1006" Type="http://schemas.openxmlformats.org/officeDocument/2006/relationships/hyperlink" Target="https://www.clubefii.com.br/fiis/RECT11" TargetMode="External"/><Relationship Id="rId1248" Type="http://schemas.openxmlformats.org/officeDocument/2006/relationships/hyperlink" Target="https://www.clubefii.com.br/fiis/VRTA11" TargetMode="External"/><Relationship Id="rId1007" Type="http://schemas.openxmlformats.org/officeDocument/2006/relationships/hyperlink" Target="https://www.clubefii.com.br/fiis/RECT11" TargetMode="External"/><Relationship Id="rId1249" Type="http://schemas.openxmlformats.org/officeDocument/2006/relationships/hyperlink" Target="https://www.clubefii.com.br/fiis/VSEC11" TargetMode="External"/><Relationship Id="rId1008" Type="http://schemas.openxmlformats.org/officeDocument/2006/relationships/hyperlink" Target="https://www.clubefii.com.br/fiis/RECT11" TargetMode="External"/><Relationship Id="rId1009" Type="http://schemas.openxmlformats.org/officeDocument/2006/relationships/hyperlink" Target="https://www.clubefii.com.br/fiis/REIT11" TargetMode="External"/><Relationship Id="rId415" Type="http://schemas.openxmlformats.org/officeDocument/2006/relationships/hyperlink" Target="https://www.clubefii.com.br/fiis/GESE11B" TargetMode="External"/><Relationship Id="rId657" Type="http://schemas.openxmlformats.org/officeDocument/2006/relationships/hyperlink" Target="https://www.clubefii.com.br/fiis/LGCP11" TargetMode="External"/><Relationship Id="rId899" Type="http://schemas.openxmlformats.org/officeDocument/2006/relationships/hyperlink" Target="https://www.clubefii.com.br/fiis/RBED11" TargetMode="External"/><Relationship Id="rId414" Type="http://schemas.openxmlformats.org/officeDocument/2006/relationships/hyperlink" Target="https://www.clubefii.com.br/fiis/GESE11B" TargetMode="External"/><Relationship Id="rId656" Type="http://schemas.openxmlformats.org/officeDocument/2006/relationships/hyperlink" Target="https://www.clubefii.com.br/fiis/LFTT11" TargetMode="External"/><Relationship Id="rId898" Type="http://schemas.openxmlformats.org/officeDocument/2006/relationships/hyperlink" Target="https://www.clubefii.com.br/fiis/RBED11" TargetMode="External"/><Relationship Id="rId413" Type="http://schemas.openxmlformats.org/officeDocument/2006/relationships/hyperlink" Target="https://www.clubefii.com.br/fiis/GESE11B" TargetMode="External"/><Relationship Id="rId655" Type="http://schemas.openxmlformats.org/officeDocument/2006/relationships/hyperlink" Target="https://www.clubefii.com.br/fiis/LFTT11" TargetMode="External"/><Relationship Id="rId897" Type="http://schemas.openxmlformats.org/officeDocument/2006/relationships/hyperlink" Target="https://www.clubefii.com.br/fiis/RBED11" TargetMode="External"/><Relationship Id="rId412" Type="http://schemas.openxmlformats.org/officeDocument/2006/relationships/hyperlink" Target="https://www.clubefii.com.br/fiis/GCFF11" TargetMode="External"/><Relationship Id="rId654" Type="http://schemas.openxmlformats.org/officeDocument/2006/relationships/hyperlink" Target="https://www.clubefii.com.br/fiis/LFTT11" TargetMode="External"/><Relationship Id="rId896" Type="http://schemas.openxmlformats.org/officeDocument/2006/relationships/hyperlink" Target="https://www.clubefii.com.br/fiis/RBDS11" TargetMode="External"/><Relationship Id="rId419" Type="http://schemas.openxmlformats.org/officeDocument/2006/relationships/hyperlink" Target="https://www.clubefii.com.br/fiis/GGRC11" TargetMode="External"/><Relationship Id="rId418" Type="http://schemas.openxmlformats.org/officeDocument/2006/relationships/hyperlink" Target="https://www.clubefii.com.br/fiis/GGRC11" TargetMode="External"/><Relationship Id="rId417" Type="http://schemas.openxmlformats.org/officeDocument/2006/relationships/hyperlink" Target="https://www.clubefii.com.br/fiis/GGRC11" TargetMode="External"/><Relationship Id="rId659" Type="http://schemas.openxmlformats.org/officeDocument/2006/relationships/hyperlink" Target="https://www.clubefii.com.br/fiis/LGCP11" TargetMode="External"/><Relationship Id="rId416" Type="http://schemas.openxmlformats.org/officeDocument/2006/relationships/hyperlink" Target="https://www.clubefii.com.br/fiis/GESE11B" TargetMode="External"/><Relationship Id="rId658" Type="http://schemas.openxmlformats.org/officeDocument/2006/relationships/hyperlink" Target="https://www.clubefii.com.br/fiis/LGCP11" TargetMode="External"/><Relationship Id="rId891" Type="http://schemas.openxmlformats.org/officeDocument/2006/relationships/hyperlink" Target="https://www.clubefii.com.br/fiis/RBCO11" TargetMode="External"/><Relationship Id="rId890" Type="http://schemas.openxmlformats.org/officeDocument/2006/relationships/hyperlink" Target="https://www.clubefii.com.br/fiis/RBCO11" TargetMode="External"/><Relationship Id="rId1240" Type="http://schemas.openxmlformats.org/officeDocument/2006/relationships/hyperlink" Target="https://www.clubefii.com.br/fiis/VOTS11" TargetMode="External"/><Relationship Id="rId1241" Type="http://schemas.openxmlformats.org/officeDocument/2006/relationships/hyperlink" Target="https://www.clubefii.com.br/fiis/VPSI11" TargetMode="External"/><Relationship Id="rId411" Type="http://schemas.openxmlformats.org/officeDocument/2006/relationships/hyperlink" Target="https://www.clubefii.com.br/fiis/GCFF11" TargetMode="External"/><Relationship Id="rId653" Type="http://schemas.openxmlformats.org/officeDocument/2006/relationships/hyperlink" Target="https://www.clubefii.com.br/fiis/LFTT11" TargetMode="External"/><Relationship Id="rId895" Type="http://schemas.openxmlformats.org/officeDocument/2006/relationships/hyperlink" Target="https://www.clubefii.com.br/fiis/RBDS11" TargetMode="External"/><Relationship Id="rId1000" Type="http://schemas.openxmlformats.org/officeDocument/2006/relationships/hyperlink" Target="https://www.clubefii.com.br/fiis/RECH11" TargetMode="External"/><Relationship Id="rId1242" Type="http://schemas.openxmlformats.org/officeDocument/2006/relationships/hyperlink" Target="https://www.clubefii.com.br/fiis/VPSI11" TargetMode="External"/><Relationship Id="rId410" Type="http://schemas.openxmlformats.org/officeDocument/2006/relationships/hyperlink" Target="https://www.clubefii.com.br/fiis/GCFF11" TargetMode="External"/><Relationship Id="rId652" Type="http://schemas.openxmlformats.org/officeDocument/2006/relationships/hyperlink" Target="https://www.clubefii.com.br/fiis/LATR11B" TargetMode="External"/><Relationship Id="rId894" Type="http://schemas.openxmlformats.org/officeDocument/2006/relationships/hyperlink" Target="https://www.clubefii.com.br/fiis/RBDS11" TargetMode="External"/><Relationship Id="rId1001" Type="http://schemas.openxmlformats.org/officeDocument/2006/relationships/hyperlink" Target="https://www.clubefii.com.br/fiis/RECR11" TargetMode="External"/><Relationship Id="rId1243" Type="http://schemas.openxmlformats.org/officeDocument/2006/relationships/hyperlink" Target="https://www.clubefii.com.br/fiis/VPSI11" TargetMode="External"/><Relationship Id="rId651" Type="http://schemas.openxmlformats.org/officeDocument/2006/relationships/hyperlink" Target="https://www.clubefii.com.br/fiis/LATR11B" TargetMode="External"/><Relationship Id="rId893" Type="http://schemas.openxmlformats.org/officeDocument/2006/relationships/hyperlink" Target="https://www.clubefii.com.br/fiis/RBDS11" TargetMode="External"/><Relationship Id="rId1002" Type="http://schemas.openxmlformats.org/officeDocument/2006/relationships/hyperlink" Target="https://www.clubefii.com.br/fiis/RECR11" TargetMode="External"/><Relationship Id="rId1244" Type="http://schemas.openxmlformats.org/officeDocument/2006/relationships/hyperlink" Target="https://www.clubefii.com.br/fiis/VPSI11" TargetMode="External"/><Relationship Id="rId650" Type="http://schemas.openxmlformats.org/officeDocument/2006/relationships/hyperlink" Target="https://www.clubefii.com.br/fiis/LATR11B" TargetMode="External"/><Relationship Id="rId892" Type="http://schemas.openxmlformats.org/officeDocument/2006/relationships/hyperlink" Target="https://www.clubefii.com.br/fiis/RBCO11" TargetMode="External"/><Relationship Id="rId1003" Type="http://schemas.openxmlformats.org/officeDocument/2006/relationships/hyperlink" Target="https://www.clubefii.com.br/fiis/RECR11" TargetMode="External"/><Relationship Id="rId1245" Type="http://schemas.openxmlformats.org/officeDocument/2006/relationships/hyperlink" Target="https://www.clubefii.com.br/fiis/VRTA11" TargetMode="External"/><Relationship Id="rId1037" Type="http://schemas.openxmlformats.org/officeDocument/2006/relationships/hyperlink" Target="https://www.clubefii.com.br/fiis/RSBU11B" TargetMode="External"/><Relationship Id="rId1279" Type="http://schemas.openxmlformats.org/officeDocument/2006/relationships/hyperlink" Target="https://www.clubefii.com.br/fiis/VVPR11" TargetMode="External"/><Relationship Id="rId1038" Type="http://schemas.openxmlformats.org/officeDocument/2006/relationships/hyperlink" Target="https://www.clubefii.com.br/fiis/RSBU11B" TargetMode="External"/><Relationship Id="rId1039" Type="http://schemas.openxmlformats.org/officeDocument/2006/relationships/hyperlink" Target="https://www.clubefii.com.br/fiis/RSBU11B" TargetMode="External"/><Relationship Id="rId206" Type="http://schemas.openxmlformats.org/officeDocument/2006/relationships/hyperlink" Target="https://www.clubefii.com.br/fiis/CJFI11" TargetMode="External"/><Relationship Id="rId448" Type="http://schemas.openxmlformats.org/officeDocument/2006/relationships/hyperlink" Target="https://www.clubefii.com.br/fiis/HBRH11" TargetMode="External"/><Relationship Id="rId205" Type="http://schemas.openxmlformats.org/officeDocument/2006/relationships/hyperlink" Target="https://www.clubefii.com.br/fiis/CJFI11" TargetMode="External"/><Relationship Id="rId447" Type="http://schemas.openxmlformats.org/officeDocument/2006/relationships/hyperlink" Target="https://www.clubefii.com.br/fiis/HBRH11" TargetMode="External"/><Relationship Id="rId689" Type="http://schemas.openxmlformats.org/officeDocument/2006/relationships/hyperlink" Target="https://www.clubefii.com.br/fiis/MCCI11" TargetMode="External"/><Relationship Id="rId204" Type="http://schemas.openxmlformats.org/officeDocument/2006/relationships/hyperlink" Target="https://www.clubefii.com.br/fiis/CFHI11" TargetMode="External"/><Relationship Id="rId446" Type="http://schemas.openxmlformats.org/officeDocument/2006/relationships/hyperlink" Target="https://www.clubefii.com.br/fiis/HBRH11" TargetMode="External"/><Relationship Id="rId688" Type="http://schemas.openxmlformats.org/officeDocument/2006/relationships/hyperlink" Target="https://www.clubefii.com.br/fiis/MBRF11" TargetMode="External"/><Relationship Id="rId203" Type="http://schemas.openxmlformats.org/officeDocument/2006/relationships/hyperlink" Target="https://www.clubefii.com.br/fiis/CFHI11" TargetMode="External"/><Relationship Id="rId445" Type="http://schemas.openxmlformats.org/officeDocument/2006/relationships/hyperlink" Target="https://www.clubefii.com.br/fiis/HBRH11" TargetMode="External"/><Relationship Id="rId687" Type="http://schemas.openxmlformats.org/officeDocument/2006/relationships/hyperlink" Target="https://www.clubefii.com.br/fiis/MBRF11" TargetMode="External"/><Relationship Id="rId209" Type="http://schemas.openxmlformats.org/officeDocument/2006/relationships/hyperlink" Target="https://www.clubefii.com.br/fiis/CNES11" TargetMode="External"/><Relationship Id="rId208" Type="http://schemas.openxmlformats.org/officeDocument/2006/relationships/hyperlink" Target="https://www.clubefii.com.br/fiis/CJFI11" TargetMode="External"/><Relationship Id="rId207" Type="http://schemas.openxmlformats.org/officeDocument/2006/relationships/hyperlink" Target="https://www.clubefii.com.br/fiis/CJFI11" TargetMode="External"/><Relationship Id="rId449" Type="http://schemas.openxmlformats.org/officeDocument/2006/relationships/hyperlink" Target="https://www.clubefii.com.br/fiis/HBTT11" TargetMode="External"/><Relationship Id="rId1270" Type="http://schemas.openxmlformats.org/officeDocument/2006/relationships/hyperlink" Target="https://www.clubefii.com.br/fiis/VTVI11" TargetMode="External"/><Relationship Id="rId440" Type="http://schemas.openxmlformats.org/officeDocument/2006/relationships/hyperlink" Target="https://www.clubefii.com.br/fiis/HAAA11" TargetMode="External"/><Relationship Id="rId682" Type="http://schemas.openxmlformats.org/officeDocument/2006/relationships/hyperlink" Target="https://www.clubefii.com.br/fiis/MAXR11" TargetMode="External"/><Relationship Id="rId1271" Type="http://schemas.openxmlformats.org/officeDocument/2006/relationships/hyperlink" Target="https://www.clubefii.com.br/fiis/VTVI11" TargetMode="External"/><Relationship Id="rId681" Type="http://schemas.openxmlformats.org/officeDocument/2006/relationships/hyperlink" Target="https://www.clubefii.com.br/fiis/MAXR11" TargetMode="External"/><Relationship Id="rId1030" Type="http://schemas.openxmlformats.org/officeDocument/2006/relationships/hyperlink" Target="https://www.clubefii.com.br/fiis/RNGO11" TargetMode="External"/><Relationship Id="rId1272" Type="http://schemas.openxmlformats.org/officeDocument/2006/relationships/hyperlink" Target="https://www.clubefii.com.br/fiis/VTVI11" TargetMode="External"/><Relationship Id="rId680" Type="http://schemas.openxmlformats.org/officeDocument/2006/relationships/hyperlink" Target="https://www.clubefii.com.br/fiis/MALL11" TargetMode="External"/><Relationship Id="rId1031" Type="http://schemas.openxmlformats.org/officeDocument/2006/relationships/hyperlink" Target="https://www.clubefii.com.br/fiis/RNGO11" TargetMode="External"/><Relationship Id="rId1273" Type="http://schemas.openxmlformats.org/officeDocument/2006/relationships/hyperlink" Target="https://www.clubefii.com.br/fiis/VTXI11" TargetMode="External"/><Relationship Id="rId1032" Type="http://schemas.openxmlformats.org/officeDocument/2006/relationships/hyperlink" Target="https://www.clubefii.com.br/fiis/RNGO11" TargetMode="External"/><Relationship Id="rId1274" Type="http://schemas.openxmlformats.org/officeDocument/2006/relationships/hyperlink" Target="https://www.clubefii.com.br/fiis/VTXI11" TargetMode="External"/><Relationship Id="rId202" Type="http://schemas.openxmlformats.org/officeDocument/2006/relationships/hyperlink" Target="https://www.clubefii.com.br/fiis/CFHI11" TargetMode="External"/><Relationship Id="rId444" Type="http://schemas.openxmlformats.org/officeDocument/2006/relationships/hyperlink" Target="https://www.clubefii.com.br/fiis/HABT11" TargetMode="External"/><Relationship Id="rId686" Type="http://schemas.openxmlformats.org/officeDocument/2006/relationships/hyperlink" Target="https://www.clubefii.com.br/fiis/MBRF11" TargetMode="External"/><Relationship Id="rId1033" Type="http://schemas.openxmlformats.org/officeDocument/2006/relationships/hyperlink" Target="https://www.clubefii.com.br/fiis/RRCI11" TargetMode="External"/><Relationship Id="rId1275" Type="http://schemas.openxmlformats.org/officeDocument/2006/relationships/hyperlink" Target="https://www.clubefii.com.br/fiis/VTXI11" TargetMode="External"/><Relationship Id="rId201" Type="http://schemas.openxmlformats.org/officeDocument/2006/relationships/hyperlink" Target="https://www.clubefii.com.br/fiis/CFHI11" TargetMode="External"/><Relationship Id="rId443" Type="http://schemas.openxmlformats.org/officeDocument/2006/relationships/hyperlink" Target="https://www.clubefii.com.br/fiis/HABT11" TargetMode="External"/><Relationship Id="rId685" Type="http://schemas.openxmlformats.org/officeDocument/2006/relationships/hyperlink" Target="https://www.clubefii.com.br/fiis/MBRF11" TargetMode="External"/><Relationship Id="rId1034" Type="http://schemas.openxmlformats.org/officeDocument/2006/relationships/hyperlink" Target="https://www.clubefii.com.br/fiis/RRCI11" TargetMode="External"/><Relationship Id="rId1276" Type="http://schemas.openxmlformats.org/officeDocument/2006/relationships/hyperlink" Target="https://www.clubefii.com.br/fiis/VTXI11" TargetMode="External"/><Relationship Id="rId200" Type="http://schemas.openxmlformats.org/officeDocument/2006/relationships/hyperlink" Target="https://www.clubefii.com.br/fiis/CEOC11" TargetMode="External"/><Relationship Id="rId442" Type="http://schemas.openxmlformats.org/officeDocument/2006/relationships/hyperlink" Target="https://www.clubefii.com.br/fiis/HABT11" TargetMode="External"/><Relationship Id="rId684" Type="http://schemas.openxmlformats.org/officeDocument/2006/relationships/hyperlink" Target="https://www.clubefii.com.br/fiis/MAXR11" TargetMode="External"/><Relationship Id="rId1035" Type="http://schemas.openxmlformats.org/officeDocument/2006/relationships/hyperlink" Target="https://www.clubefii.com.br/fiis/RRCI11" TargetMode="External"/><Relationship Id="rId1277" Type="http://schemas.openxmlformats.org/officeDocument/2006/relationships/hyperlink" Target="https://www.clubefii.com.br/fiis/VVPR11" TargetMode="External"/><Relationship Id="rId441" Type="http://schemas.openxmlformats.org/officeDocument/2006/relationships/hyperlink" Target="https://www.clubefii.com.br/fiis/HABT11" TargetMode="External"/><Relationship Id="rId683" Type="http://schemas.openxmlformats.org/officeDocument/2006/relationships/hyperlink" Target="https://www.clubefii.com.br/fiis/MAXR11" TargetMode="External"/><Relationship Id="rId1036" Type="http://schemas.openxmlformats.org/officeDocument/2006/relationships/hyperlink" Target="https://www.clubefii.com.br/fiis/RRCI11" TargetMode="External"/><Relationship Id="rId1278" Type="http://schemas.openxmlformats.org/officeDocument/2006/relationships/hyperlink" Target="https://www.clubefii.com.br/fiis/VVPR11" TargetMode="External"/><Relationship Id="rId1026" Type="http://schemas.openxmlformats.org/officeDocument/2006/relationships/hyperlink" Target="https://www.clubefii.com.br/fiis/RNDP11" TargetMode="External"/><Relationship Id="rId1268" Type="http://schemas.openxmlformats.org/officeDocument/2006/relationships/hyperlink" Target="https://www.clubefii.com.br/fiis/VTPL11" TargetMode="External"/><Relationship Id="rId1027" Type="http://schemas.openxmlformats.org/officeDocument/2006/relationships/hyperlink" Target="https://www.clubefii.com.br/fiis/RNDP11" TargetMode="External"/><Relationship Id="rId1269" Type="http://schemas.openxmlformats.org/officeDocument/2006/relationships/hyperlink" Target="https://www.clubefii.com.br/fiis/VTVI11" TargetMode="External"/><Relationship Id="rId1028" Type="http://schemas.openxmlformats.org/officeDocument/2006/relationships/hyperlink" Target="https://www.clubefii.com.br/fiis/RNDP11" TargetMode="External"/><Relationship Id="rId1029" Type="http://schemas.openxmlformats.org/officeDocument/2006/relationships/hyperlink" Target="https://www.clubefii.com.br/fiis/RNGO11" TargetMode="External"/><Relationship Id="rId437" Type="http://schemas.openxmlformats.org/officeDocument/2006/relationships/hyperlink" Target="https://www.clubefii.com.br/fiis/HAAA11" TargetMode="External"/><Relationship Id="rId679" Type="http://schemas.openxmlformats.org/officeDocument/2006/relationships/hyperlink" Target="https://www.clubefii.com.br/fiis/MALL11" TargetMode="External"/><Relationship Id="rId436" Type="http://schemas.openxmlformats.org/officeDocument/2006/relationships/hyperlink" Target="https://www.clubefii.com.br/fiis/GWIC11" TargetMode="External"/><Relationship Id="rId678" Type="http://schemas.openxmlformats.org/officeDocument/2006/relationships/hyperlink" Target="https://www.clubefii.com.br/fiis/MALL11" TargetMode="External"/><Relationship Id="rId435" Type="http://schemas.openxmlformats.org/officeDocument/2006/relationships/hyperlink" Target="https://www.clubefii.com.br/fiis/GWIC11" TargetMode="External"/><Relationship Id="rId677" Type="http://schemas.openxmlformats.org/officeDocument/2006/relationships/hyperlink" Target="https://www.clubefii.com.br/fiis/MALL11" TargetMode="External"/><Relationship Id="rId434" Type="http://schemas.openxmlformats.org/officeDocument/2006/relationships/hyperlink" Target="https://www.clubefii.com.br/fiis/GWIC11" TargetMode="External"/><Relationship Id="rId676" Type="http://schemas.openxmlformats.org/officeDocument/2006/relationships/hyperlink" Target="https://www.clubefii.com.br/fiis/LVBI11" TargetMode="External"/><Relationship Id="rId439" Type="http://schemas.openxmlformats.org/officeDocument/2006/relationships/hyperlink" Target="https://www.clubefii.com.br/fiis/HAAA11" TargetMode="External"/><Relationship Id="rId438" Type="http://schemas.openxmlformats.org/officeDocument/2006/relationships/hyperlink" Target="https://www.clubefii.com.br/fiis/HAAA11" TargetMode="External"/><Relationship Id="rId671" Type="http://schemas.openxmlformats.org/officeDocument/2006/relationships/hyperlink" Target="https://www.clubefii.com.br/fiis/LUGG11" TargetMode="External"/><Relationship Id="rId1260" Type="http://schemas.openxmlformats.org/officeDocument/2006/relationships/hyperlink" Target="https://www.clubefii.com.br/fiis/VTLT11" TargetMode="External"/><Relationship Id="rId670" Type="http://schemas.openxmlformats.org/officeDocument/2006/relationships/hyperlink" Target="https://www.clubefii.com.br/fiis/LUGG11" TargetMode="External"/><Relationship Id="rId1261" Type="http://schemas.openxmlformats.org/officeDocument/2006/relationships/hyperlink" Target="https://www.clubefii.com.br/fiis/VTPA11" TargetMode="External"/><Relationship Id="rId1020" Type="http://schemas.openxmlformats.org/officeDocument/2006/relationships/hyperlink" Target="https://www.clubefii.com.br/fiis/RFOF11" TargetMode="External"/><Relationship Id="rId1262" Type="http://schemas.openxmlformats.org/officeDocument/2006/relationships/hyperlink" Target="https://www.clubefii.com.br/fiis/VTPA11" TargetMode="External"/><Relationship Id="rId1021" Type="http://schemas.openxmlformats.org/officeDocument/2006/relationships/hyperlink" Target="https://www.clubefii.com.br/fiis/RMAI11" TargetMode="External"/><Relationship Id="rId1263" Type="http://schemas.openxmlformats.org/officeDocument/2006/relationships/hyperlink" Target="https://www.clubefii.com.br/fiis/VTPA11" TargetMode="External"/><Relationship Id="rId433" Type="http://schemas.openxmlformats.org/officeDocument/2006/relationships/hyperlink" Target="https://www.clubefii.com.br/fiis/GWIC11" TargetMode="External"/><Relationship Id="rId675" Type="http://schemas.openxmlformats.org/officeDocument/2006/relationships/hyperlink" Target="https://www.clubefii.com.br/fiis/LVBI11" TargetMode="External"/><Relationship Id="rId1022" Type="http://schemas.openxmlformats.org/officeDocument/2006/relationships/hyperlink" Target="https://www.clubefii.com.br/fiis/RMAI11" TargetMode="External"/><Relationship Id="rId1264" Type="http://schemas.openxmlformats.org/officeDocument/2006/relationships/hyperlink" Target="https://www.clubefii.com.br/fiis/VTPA11" TargetMode="External"/><Relationship Id="rId432" Type="http://schemas.openxmlformats.org/officeDocument/2006/relationships/hyperlink" Target="https://www.clubefii.com.br/fiis/GTWR11" TargetMode="External"/><Relationship Id="rId674" Type="http://schemas.openxmlformats.org/officeDocument/2006/relationships/hyperlink" Target="https://www.clubefii.com.br/fiis/LVBI11" TargetMode="External"/><Relationship Id="rId1023" Type="http://schemas.openxmlformats.org/officeDocument/2006/relationships/hyperlink" Target="https://www.clubefii.com.br/fiis/RMAI11" TargetMode="External"/><Relationship Id="rId1265" Type="http://schemas.openxmlformats.org/officeDocument/2006/relationships/hyperlink" Target="https://www.clubefii.com.br/fiis/VTPL11" TargetMode="External"/><Relationship Id="rId431" Type="http://schemas.openxmlformats.org/officeDocument/2006/relationships/hyperlink" Target="https://www.clubefii.com.br/fiis/GTWR11" TargetMode="External"/><Relationship Id="rId673" Type="http://schemas.openxmlformats.org/officeDocument/2006/relationships/hyperlink" Target="https://www.clubefii.com.br/fiis/LVBI11" TargetMode="External"/><Relationship Id="rId1024" Type="http://schemas.openxmlformats.org/officeDocument/2006/relationships/hyperlink" Target="https://www.clubefii.com.br/fiis/RMAI11" TargetMode="External"/><Relationship Id="rId1266" Type="http://schemas.openxmlformats.org/officeDocument/2006/relationships/hyperlink" Target="https://www.clubefii.com.br/fiis/VTPL11" TargetMode="External"/><Relationship Id="rId430" Type="http://schemas.openxmlformats.org/officeDocument/2006/relationships/hyperlink" Target="https://www.clubefii.com.br/fiis/GTWR11" TargetMode="External"/><Relationship Id="rId672" Type="http://schemas.openxmlformats.org/officeDocument/2006/relationships/hyperlink" Target="https://www.clubefii.com.br/fiis/LUGG11" TargetMode="External"/><Relationship Id="rId1025" Type="http://schemas.openxmlformats.org/officeDocument/2006/relationships/hyperlink" Target="https://www.clubefii.com.br/fiis/RNDP11" TargetMode="External"/><Relationship Id="rId1267" Type="http://schemas.openxmlformats.org/officeDocument/2006/relationships/hyperlink" Target="https://www.clubefii.com.br/fiis/VTPL1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infomoney.com.br/cotacoes/whirlpool-whrl3f/" TargetMode="External"/><Relationship Id="rId2" Type="http://schemas.openxmlformats.org/officeDocument/2006/relationships/hyperlink" Target="https://www.infomoney.com.br/cotacoes/whirlpool-whrl4/" TargetMode="External"/><Relationship Id="rId3" Type="http://schemas.openxmlformats.org/officeDocument/2006/relationships/hyperlink" Target="https://www.infomoney.com.br/cotacoes/viavarejo-vvar3f/" TargetMode="External"/><Relationship Id="rId4" Type="http://schemas.openxmlformats.org/officeDocument/2006/relationships/hyperlink" Target="https://www.infomoney.com.br/cotacoes/terniumsa-txsa34f/" TargetMode="External"/><Relationship Id="rId9" Type="http://schemas.openxmlformats.org/officeDocument/2006/relationships/hyperlink" Target="https://www.infomoney.com.br/cotacoes/uber-tech-in-u1be34/" TargetMode="External"/><Relationship Id="rId5" Type="http://schemas.openxmlformats.org/officeDocument/2006/relationships/hyperlink" Target="https://www.infomoney.com.br/cotacoes/terniumsa-txsa34/" TargetMode="External"/><Relationship Id="rId6" Type="http://schemas.openxmlformats.org/officeDocument/2006/relationships/hyperlink" Target="https://www.infomoney.com.br/cotacoes/under-armour-u1ai34f/" TargetMode="External"/><Relationship Id="rId7" Type="http://schemas.openxmlformats.org/officeDocument/2006/relationships/hyperlink" Target="https://www.infomoney.com.br/cotacoes/under-armour-u1ai34/" TargetMode="External"/><Relationship Id="rId8" Type="http://schemas.openxmlformats.org/officeDocument/2006/relationships/hyperlink" Target="https://www.infomoney.com.br/cotacoes/uber-tech-in-u1be34f/" TargetMode="External"/><Relationship Id="rId40" Type="http://schemas.openxmlformats.org/officeDocument/2006/relationships/hyperlink" Target="https://www.infomoney.com.br/cotacoes/zoetis-inc-z1ts34f/" TargetMode="External"/><Relationship Id="rId42" Type="http://schemas.openxmlformats.org/officeDocument/2006/relationships/hyperlink" Target="https://www.infomoney.com.br/cotacoes/freeport-mcmoran-fcxo34f/" TargetMode="External"/><Relationship Id="rId41" Type="http://schemas.openxmlformats.org/officeDocument/2006/relationships/hyperlink" Target="https://www.infomoney.com.br/cotacoes/freeport-fcxo34/" TargetMode="External"/><Relationship Id="rId44" Type="http://schemas.openxmlformats.org/officeDocument/2006/relationships/hyperlink" Target="https://www.infomoney.com.br/cotacoes/3m-mmmc34/" TargetMode="External"/><Relationship Id="rId43" Type="http://schemas.openxmlformats.org/officeDocument/2006/relationships/hyperlink" Target="https://www.infomoney.com.br/cotacoes/bb-seguridade-bbse3/" TargetMode="External"/><Relationship Id="rId46" Type="http://schemas.openxmlformats.org/officeDocument/2006/relationships/hyperlink" Target="https://www.infomoney.com.br/cotacoes/bank-america-boac34/" TargetMode="External"/><Relationship Id="rId45" Type="http://schemas.openxmlformats.org/officeDocument/2006/relationships/hyperlink" Target="https://www.infomoney.com.br/cotacoes/3m-mmmc34f/" TargetMode="External"/><Relationship Id="rId48" Type="http://schemas.openxmlformats.org/officeDocument/2006/relationships/hyperlink" Target="https://www.infomoney.com.br/cotacoes/goldman-sachs-gsgi34/" TargetMode="External"/><Relationship Id="rId47" Type="http://schemas.openxmlformats.org/officeDocument/2006/relationships/hyperlink" Target="https://www.infomoney.com.br/cotacoes/citigroup-ctgp34/" TargetMode="External"/><Relationship Id="rId49" Type="http://schemas.openxmlformats.org/officeDocument/2006/relationships/hyperlink" Target="https://www.infomoney.com.br/cotacoes/goldman-sachs-gsgi34f/" TargetMode="External"/><Relationship Id="rId31" Type="http://schemas.openxmlformats.org/officeDocument/2006/relationships/hyperlink" Target="https://www.infomoney.com.br/cotacoes/dentsply-sir-xray34/" TargetMode="External"/><Relationship Id="rId30" Type="http://schemas.openxmlformats.org/officeDocument/2006/relationships/hyperlink" Target="https://www.infomoney.com.br/cotacoes/xylem-inc-x1yl34f/" TargetMode="External"/><Relationship Id="rId33" Type="http://schemas.openxmlformats.org/officeDocument/2006/relationships/hyperlink" Target="https://www.infomoney.com.br/cotacoes/yum-brands-yumr34/" TargetMode="External"/><Relationship Id="rId32" Type="http://schemas.openxmlformats.org/officeDocument/2006/relationships/hyperlink" Target="https://www.infomoney.com.br/cotacoes/dentsply-sir-xray34f/" TargetMode="External"/><Relationship Id="rId35" Type="http://schemas.openxmlformats.org/officeDocument/2006/relationships/hyperlink" Target="https://www.infomoney.com.br/cotacoes/zimmer-biome-z1bh34/" TargetMode="External"/><Relationship Id="rId34" Type="http://schemas.openxmlformats.org/officeDocument/2006/relationships/hyperlink" Target="https://www.infomoney.com.br/cotacoes/yum-brands-yumr34f/" TargetMode="External"/><Relationship Id="rId37" Type="http://schemas.openxmlformats.org/officeDocument/2006/relationships/hyperlink" Target="https://www.infomoney.com.br/cotacoes/zionsbancorp-z1io34/" TargetMode="External"/><Relationship Id="rId36" Type="http://schemas.openxmlformats.org/officeDocument/2006/relationships/hyperlink" Target="https://www.infomoney.com.br/cotacoes/zimmer-biome-z1bh34f/" TargetMode="External"/><Relationship Id="rId39" Type="http://schemas.openxmlformats.org/officeDocument/2006/relationships/hyperlink" Target="https://www.infomoney.com.br/cotacoes/zoetis-inc-z1ts34/" TargetMode="External"/><Relationship Id="rId38" Type="http://schemas.openxmlformats.org/officeDocument/2006/relationships/hyperlink" Target="https://www.infomoney.com.br/cotacoes/zionsbancorp-z1io34f/" TargetMode="External"/><Relationship Id="rId20" Type="http://schemas.openxmlformats.org/officeDocument/2006/relationships/hyperlink" Target="https://www.infomoney.com.br/cotacoes/home-depot-home34f/" TargetMode="External"/><Relationship Id="rId22" Type="http://schemas.openxmlformats.org/officeDocument/2006/relationships/hyperlink" Target="https://www.infomoney.com.br/cotacoes/ford-motors-fdmo34f/" TargetMode="External"/><Relationship Id="rId21" Type="http://schemas.openxmlformats.org/officeDocument/2006/relationships/hyperlink" Target="https://www.infomoney.com.br/cotacoes/home-depot-home34/" TargetMode="External"/><Relationship Id="rId24" Type="http://schemas.openxmlformats.org/officeDocument/2006/relationships/hyperlink" Target="https://www.infomoney.com.br/cotacoes/comcast-cmcs34f/" TargetMode="External"/><Relationship Id="rId23" Type="http://schemas.openxmlformats.org/officeDocument/2006/relationships/hyperlink" Target="https://www.infomoney.com.br/cotacoes/ford-motors-fdmo34/" TargetMode="External"/><Relationship Id="rId26" Type="http://schemas.openxmlformats.org/officeDocument/2006/relationships/hyperlink" Target="https://www.infomoney.com.br/cotacoes/amazon-amzo34f/" TargetMode="External"/><Relationship Id="rId25" Type="http://schemas.openxmlformats.org/officeDocument/2006/relationships/hyperlink" Target="https://www.infomoney.com.br/cotacoes/comcast-cmcs34f/" TargetMode="External"/><Relationship Id="rId28" Type="http://schemas.openxmlformats.org/officeDocument/2006/relationships/hyperlink" Target="https://www.infomoney.com.br/cotacoes/xilinx-inc-x1ln34f/" TargetMode="External"/><Relationship Id="rId27" Type="http://schemas.openxmlformats.org/officeDocument/2006/relationships/hyperlink" Target="https://www.infomoney.com.br/cotacoes/xilinx-inc-x1ln34/" TargetMode="External"/><Relationship Id="rId29" Type="http://schemas.openxmlformats.org/officeDocument/2006/relationships/hyperlink" Target="https://www.infomoney.com.br/cotacoes/xylem-inc-x1yl34/" TargetMode="External"/><Relationship Id="rId11" Type="http://schemas.openxmlformats.org/officeDocument/2006/relationships/hyperlink" Target="https://www.infomoney.com.br/cotacoes/udr-inc-u1dr34/" TargetMode="External"/><Relationship Id="rId10" Type="http://schemas.openxmlformats.org/officeDocument/2006/relationships/hyperlink" Target="https://www.infomoney.com.br/cotacoes/udr-inc-u1dr34f/" TargetMode="External"/><Relationship Id="rId13" Type="http://schemas.openxmlformats.org/officeDocument/2006/relationships/hyperlink" Target="https://www.infomoney.com.br/cotacoes/universal-he-u1hs34/" TargetMode="External"/><Relationship Id="rId12" Type="http://schemas.openxmlformats.org/officeDocument/2006/relationships/hyperlink" Target="https://www.infomoney.com.br/cotacoes/universal-he-u1hs34f/" TargetMode="External"/><Relationship Id="rId15" Type="http://schemas.openxmlformats.org/officeDocument/2006/relationships/hyperlink" Target="https://www.infomoney.com.br/cotacoes/ulta-beauty-u1lt34/" TargetMode="External"/><Relationship Id="rId14" Type="http://schemas.openxmlformats.org/officeDocument/2006/relationships/hyperlink" Target="https://www.infomoney.com.br/cotacoes/ulta-beauty-u1lt34f/" TargetMode="External"/><Relationship Id="rId17" Type="http://schemas.openxmlformats.org/officeDocument/2006/relationships/hyperlink" Target="https://www.infomoney.com.br/cotacoes/unum-group-u1nm34/" TargetMode="External"/><Relationship Id="rId16" Type="http://schemas.openxmlformats.org/officeDocument/2006/relationships/hyperlink" Target="https://www.infomoney.com.br/cotacoes/unum-group-u1nm34f/" TargetMode="External"/><Relationship Id="rId19" Type="http://schemas.openxmlformats.org/officeDocument/2006/relationships/hyperlink" Target="https://www.infomoney.com.br/cotacoes/unitedhealth-unhh34/" TargetMode="External"/><Relationship Id="rId18" Type="http://schemas.openxmlformats.org/officeDocument/2006/relationships/hyperlink" Target="https://www.infomoney.com.br/cotacoes/unitedhealth-unhh34f/" TargetMode="External"/><Relationship Id="rId62" Type="http://schemas.openxmlformats.org/officeDocument/2006/relationships/hyperlink" Target="https://www.infomoney.com.br/cotacoes/wells-fargo-wfco34f/" TargetMode="External"/><Relationship Id="rId61" Type="http://schemas.openxmlformats.org/officeDocument/2006/relationships/hyperlink" Target="https://www.infomoney.com.br/cotacoes/wells-fargo-wfco34/" TargetMode="External"/><Relationship Id="rId64" Type="http://schemas.openxmlformats.org/officeDocument/2006/relationships/hyperlink" Target="https://www.infomoney.com.br/cotacoes/coca-cola-coca34/" TargetMode="External"/><Relationship Id="rId63" Type="http://schemas.openxmlformats.org/officeDocument/2006/relationships/hyperlink" Target="https://www.infomoney.com.br/cotacoes/procter-gamble-pgco34/" TargetMode="External"/><Relationship Id="rId66" Type="http://schemas.openxmlformats.org/officeDocument/2006/relationships/hyperlink" Target="https://www.infomoney.com.br/cotacoes/pepsico-inc-pepb34/" TargetMode="External"/><Relationship Id="rId65" Type="http://schemas.openxmlformats.org/officeDocument/2006/relationships/hyperlink" Target="https://www.infomoney.com.br/cotacoes/colgate-colg34/" TargetMode="External"/><Relationship Id="rId68" Type="http://schemas.openxmlformats.org/officeDocument/2006/relationships/hyperlink" Target="https://www.infomoney.com.br/cotacoes/wal-mart-walm34/" TargetMode="External"/><Relationship Id="rId67" Type="http://schemas.openxmlformats.org/officeDocument/2006/relationships/hyperlink" Target="https://www.infomoney.com.br/cotacoes/wal-mart-walm34f/" TargetMode="External"/><Relationship Id="rId60" Type="http://schemas.openxmlformats.org/officeDocument/2006/relationships/hyperlink" Target="https://www.infomoney.com.br/cotacoes/visa-inc-visa34/" TargetMode="External"/><Relationship Id="rId69" Type="http://schemas.openxmlformats.org/officeDocument/2006/relationships/drawing" Target="../drawings/drawing6.xml"/><Relationship Id="rId51" Type="http://schemas.openxmlformats.org/officeDocument/2006/relationships/hyperlink" Target="https://www.infomoney.com.br/cotacoes/ge-geoo34f/" TargetMode="External"/><Relationship Id="rId50" Type="http://schemas.openxmlformats.org/officeDocument/2006/relationships/hyperlink" Target="https://www.infomoney.com.br/cotacoes/ge-geoo34/" TargetMode="External"/><Relationship Id="rId53" Type="http://schemas.openxmlformats.org/officeDocument/2006/relationships/hyperlink" Target="https://www.infomoney.com.br/cotacoes/honeywell-honb34f/" TargetMode="External"/><Relationship Id="rId52" Type="http://schemas.openxmlformats.org/officeDocument/2006/relationships/hyperlink" Target="https://www.infomoney.com.br/cotacoes/honeywell-honb34/" TargetMode="External"/><Relationship Id="rId55" Type="http://schemas.openxmlformats.org/officeDocument/2006/relationships/hyperlink" Target="https://www.infomoney.com.br/cotacoes/jpmorgan-jpmc34f/" TargetMode="External"/><Relationship Id="rId54" Type="http://schemas.openxmlformats.org/officeDocument/2006/relationships/hyperlink" Target="https://www.infomoney.com.br/cotacoes/jpmorgan-jpmc34/" TargetMode="External"/><Relationship Id="rId57" Type="http://schemas.openxmlformats.org/officeDocument/2006/relationships/hyperlink" Target="https://www.infomoney.com.br/cotacoes/mastercard-mscd34f/" TargetMode="External"/><Relationship Id="rId56" Type="http://schemas.openxmlformats.org/officeDocument/2006/relationships/hyperlink" Target="https://www.infomoney.com.br/cotacoes/mastercard-mscd34/" TargetMode="External"/><Relationship Id="rId59" Type="http://schemas.openxmlformats.org/officeDocument/2006/relationships/hyperlink" Target="https://www.infomoney.com.br/cotacoes/morgan-stanley-msbr34f/" TargetMode="External"/><Relationship Id="rId58" Type="http://schemas.openxmlformats.org/officeDocument/2006/relationships/hyperlink" Target="https://www.infomoney.com.br/cotacoes/morgan-stanley-msbr34f/"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63"/>
    <col customWidth="1" min="2" max="2" width="24.13"/>
  </cols>
  <sheetData>
    <row r="1">
      <c r="A1" s="1" t="s">
        <v>0</v>
      </c>
      <c r="B1" s="1" t="s">
        <v>1</v>
      </c>
      <c r="C1" s="1" t="s">
        <v>2</v>
      </c>
      <c r="I1" s="2" t="s">
        <v>3</v>
      </c>
    </row>
    <row r="2">
      <c r="A2" s="3" t="s">
        <v>4</v>
      </c>
      <c r="B2" s="4" t="s">
        <v>5</v>
      </c>
      <c r="C2" s="5" t="s">
        <v>6</v>
      </c>
      <c r="I2" s="6" t="str">
        <f>VLOOKUP(B2,'Lista Oficial'!E:E,1,FALSE)</f>
        <v>Compass</v>
      </c>
    </row>
    <row r="3">
      <c r="A3" s="3" t="s">
        <v>4</v>
      </c>
      <c r="B3" s="4" t="s">
        <v>7</v>
      </c>
      <c r="C3" s="5" t="s">
        <v>8</v>
      </c>
      <c r="I3" s="6" t="str">
        <f>VLOOKUP(B3,'Lista Oficial'!E:E,1,FALSE)</f>
        <v>BOA VISTA SCPC</v>
      </c>
    </row>
    <row r="4">
      <c r="A4" s="3" t="s">
        <v>4</v>
      </c>
      <c r="B4" s="4" t="s">
        <v>9</v>
      </c>
      <c r="C4" s="5" t="s">
        <v>10</v>
      </c>
      <c r="I4" s="6" t="str">
        <f>VLOOKUP(B4,'Lista Oficial'!E:E,1,FALSE)</f>
        <v>MELNICK</v>
      </c>
    </row>
    <row r="5">
      <c r="A5" s="3" t="s">
        <v>4</v>
      </c>
      <c r="B5" s="4" t="s">
        <v>11</v>
      </c>
      <c r="C5" s="5" t="s">
        <v>12</v>
      </c>
      <c r="I5" s="6" t="str">
        <f>VLOOKUP(B5,'Lista Oficial'!E:E,1,FALSE)</f>
        <v>Hidrovias do Brasil</v>
      </c>
    </row>
    <row r="6">
      <c r="A6" s="3" t="s">
        <v>4</v>
      </c>
      <c r="B6" s="4" t="s">
        <v>13</v>
      </c>
      <c r="C6" s="5" t="s">
        <v>14</v>
      </c>
      <c r="D6" s="5" t="s">
        <v>15</v>
      </c>
      <c r="I6" s="6" t="str">
        <f>VLOOKUP(B6,'Lista Oficial'!E:E,1,FALSE)</f>
        <v>SIMPAR</v>
      </c>
    </row>
    <row r="7">
      <c r="A7" s="3" t="s">
        <v>4</v>
      </c>
      <c r="B7" s="4" t="s">
        <v>16</v>
      </c>
      <c r="C7" s="5" t="s">
        <v>17</v>
      </c>
      <c r="I7" s="6" t="str">
        <f>VLOOKUP(B7,'Lista Oficial'!E:E,1,FALSE)</f>
        <v>CURY S/A</v>
      </c>
    </row>
    <row r="8">
      <c r="A8" s="3" t="s">
        <v>4</v>
      </c>
      <c r="B8" s="4" t="s">
        <v>18</v>
      </c>
      <c r="C8" s="5" t="s">
        <v>19</v>
      </c>
      <c r="I8" s="6" t="str">
        <f>VLOOKUP(B8,'Lista Oficial'!E:E,1,FALSE)</f>
        <v>Plano &amp; Plano</v>
      </c>
    </row>
    <row r="9">
      <c r="A9" s="3" t="s">
        <v>4</v>
      </c>
      <c r="B9" s="4" t="s">
        <v>20</v>
      </c>
      <c r="C9" s="5" t="s">
        <v>21</v>
      </c>
      <c r="I9" s="6" t="str">
        <f>VLOOKUP(B9,'Lista Oficial'!E:E,1,FALSE)</f>
        <v>PETZ</v>
      </c>
    </row>
    <row r="10">
      <c r="A10" s="3" t="s">
        <v>4</v>
      </c>
      <c r="B10" s="4" t="s">
        <v>22</v>
      </c>
      <c r="C10" s="5" t="s">
        <v>23</v>
      </c>
      <c r="I10" s="6" t="str">
        <f>VLOOKUP(B10,'Lista Oficial'!E:E,1,FALSE)</f>
        <v>PAGUE MENOS</v>
      </c>
    </row>
    <row r="11">
      <c r="A11" s="3" t="s">
        <v>4</v>
      </c>
      <c r="B11" s="4" t="s">
        <v>24</v>
      </c>
      <c r="C11" s="5" t="s">
        <v>25</v>
      </c>
      <c r="I11" s="6" t="str">
        <f>VLOOKUP(B11,'Lista Oficial'!E:E,1,FALSE)</f>
        <v>Lavvi Incorporadora</v>
      </c>
    </row>
    <row r="12">
      <c r="A12" s="3" t="s">
        <v>4</v>
      </c>
      <c r="B12" s="4" t="s">
        <v>26</v>
      </c>
      <c r="C12" s="5" t="s">
        <v>27</v>
      </c>
      <c r="I12" s="6" t="str">
        <f>VLOOKUP(B12,'Lista Oficial'!E:E,1,FALSE)</f>
        <v>QUERO-QUERO</v>
      </c>
    </row>
    <row r="13">
      <c r="A13" s="3" t="s">
        <v>4</v>
      </c>
      <c r="B13" s="2" t="s">
        <v>28</v>
      </c>
      <c r="C13" s="5" t="s">
        <v>29</v>
      </c>
      <c r="I13" s="6" t="str">
        <f>VLOOKUP(B13,'Lista Oficial'!E:E,1,FALSE)</f>
        <v>D1000VFARMA</v>
      </c>
    </row>
    <row r="14">
      <c r="A14" s="3" t="s">
        <v>4</v>
      </c>
      <c r="B14" s="4" t="s">
        <v>30</v>
      </c>
      <c r="C14" s="5" t="s">
        <v>31</v>
      </c>
      <c r="I14" s="6" t="str">
        <f>VLOOKUP(B14,'Lista Oficial'!E:E,1,FALSE)</f>
        <v>GRUPO SOMA</v>
      </c>
    </row>
    <row r="15">
      <c r="A15" s="3" t="s">
        <v>4</v>
      </c>
      <c r="B15" s="7" t="s">
        <v>32</v>
      </c>
      <c r="C15" s="5" t="s">
        <v>33</v>
      </c>
      <c r="I15" s="6" t="str">
        <f>VLOOKUP(B15,'Lista Oficial'!E:E,1,FALSE)</f>
        <v>#N/A</v>
      </c>
    </row>
    <row r="16">
      <c r="A16" s="3" t="s">
        <v>4</v>
      </c>
      <c r="B16" s="4" t="s">
        <v>34</v>
      </c>
      <c r="C16" s="5" t="s">
        <v>35</v>
      </c>
      <c r="I16" s="6" t="str">
        <f>VLOOKUP(B16,'Lista Oficial'!E:E,1,FALSE)</f>
        <v>AMBIPAR</v>
      </c>
    </row>
    <row r="17">
      <c r="A17" s="3" t="s">
        <v>4</v>
      </c>
      <c r="B17" s="4" t="s">
        <v>36</v>
      </c>
      <c r="C17" s="5" t="s">
        <v>37</v>
      </c>
      <c r="I17" s="6" t="str">
        <f>VLOOKUP(B17,'Lista Oficial'!E:E,1,FALSE)</f>
        <v>ESTAPAR</v>
      </c>
    </row>
    <row r="18">
      <c r="A18" s="3" t="s">
        <v>4</v>
      </c>
      <c r="B18" s="4" t="s">
        <v>38</v>
      </c>
      <c r="C18" s="5" t="s">
        <v>39</v>
      </c>
      <c r="I18" s="6" t="str">
        <f>VLOOKUP(B18,'Lista Oficial'!E:E,1,FALSE)</f>
        <v>MITRE REALTY</v>
      </c>
    </row>
    <row r="19">
      <c r="A19" s="3" t="s">
        <v>4</v>
      </c>
      <c r="B19" s="4" t="s">
        <v>40</v>
      </c>
      <c r="C19" s="5" t="s">
        <v>41</v>
      </c>
      <c r="I19" s="6" t="str">
        <f>VLOOKUP(B19,'Lista Oficial'!E:E,1,FALSE)</f>
        <v>MOURA DUBEUX</v>
      </c>
    </row>
    <row r="20">
      <c r="A20" s="3" t="s">
        <v>4</v>
      </c>
      <c r="B20" s="4" t="s">
        <v>42</v>
      </c>
      <c r="C20" s="5" t="s">
        <v>43</v>
      </c>
      <c r="D20" s="5" t="s">
        <v>44</v>
      </c>
      <c r="I20" s="6" t="str">
        <f>VLOOKUP(B20,'Lista Oficial'!E:E,1,FALSE)</f>
        <v>BARDELLA</v>
      </c>
    </row>
    <row r="21">
      <c r="A21" s="3" t="s">
        <v>4</v>
      </c>
      <c r="B21" s="4" t="s">
        <v>45</v>
      </c>
      <c r="C21" s="5" t="s">
        <v>46</v>
      </c>
      <c r="D21" s="5" t="s">
        <v>47</v>
      </c>
      <c r="I21" s="6" t="str">
        <f>VLOOKUP(B21,'Lista Oficial'!E:E,1,FALSE)</f>
        <v>UPS</v>
      </c>
    </row>
    <row r="22">
      <c r="A22" s="3" t="s">
        <v>4</v>
      </c>
      <c r="B22" s="4" t="s">
        <v>48</v>
      </c>
      <c r="C22" s="5" t="s">
        <v>49</v>
      </c>
      <c r="D22" s="5" t="s">
        <v>50</v>
      </c>
      <c r="I22" s="6" t="str">
        <f>VLOOKUP(B22,'Lista Oficial'!E:E,1,FALSE)</f>
        <v>Lockheed</v>
      </c>
    </row>
    <row r="23">
      <c r="A23" s="3" t="s">
        <v>4</v>
      </c>
      <c r="B23" s="4" t="s">
        <v>51</v>
      </c>
      <c r="C23" s="8" t="s">
        <v>52</v>
      </c>
      <c r="I23" s="6" t="str">
        <f>VLOOKUP(B23,'Lista Oficial'!E:E,1,FALSE)</f>
        <v>Johnson</v>
      </c>
    </row>
    <row r="24">
      <c r="A24" s="3" t="s">
        <v>4</v>
      </c>
      <c r="B24" s="4" t="s">
        <v>53</v>
      </c>
      <c r="C24" s="5" t="s">
        <v>54</v>
      </c>
      <c r="D24" s="5" t="s">
        <v>55</v>
      </c>
      <c r="I24" s="6" t="str">
        <f>VLOOKUP(B24,'Lista Oficial'!E:E,1,FALSE)</f>
        <v>FEDEX CORPORATION</v>
      </c>
    </row>
    <row r="25">
      <c r="A25" s="3" t="s">
        <v>4</v>
      </c>
      <c r="B25" s="4" t="s">
        <v>56</v>
      </c>
      <c r="C25" s="8" t="s">
        <v>57</v>
      </c>
      <c r="I25" s="6" t="str">
        <f>VLOOKUP(B25,'Lista Oficial'!E:E,1,FALSE)</f>
        <v>Exxon Mobile</v>
      </c>
    </row>
    <row r="26">
      <c r="A26" s="3" t="s">
        <v>4</v>
      </c>
      <c r="B26" s="4" t="s">
        <v>58</v>
      </c>
      <c r="C26" s="5" t="s">
        <v>59</v>
      </c>
      <c r="I26" s="6" t="str">
        <f>VLOOKUP(B26,'Lista Oficial'!E:E,1,FALSE)</f>
        <v>Caterpillar</v>
      </c>
    </row>
    <row r="27">
      <c r="A27" s="3" t="s">
        <v>4</v>
      </c>
      <c r="B27" s="4" t="s">
        <v>60</v>
      </c>
      <c r="C27" s="5" t="s">
        <v>61</v>
      </c>
      <c r="I27" s="6" t="str">
        <f>VLOOKUP(B27,'Lista Oficial'!E:E,1,FALSE)</f>
        <v>Bristolmyers</v>
      </c>
    </row>
    <row r="28">
      <c r="A28" s="3" t="s">
        <v>4</v>
      </c>
      <c r="B28" s="4" t="s">
        <v>62</v>
      </c>
      <c r="C28" s="5" t="s">
        <v>63</v>
      </c>
      <c r="I28" s="6" t="str">
        <f>VLOOKUP(B28,'Lista Oficial'!E:E,1,FALSE)</f>
        <v>Boeing</v>
      </c>
    </row>
    <row r="29">
      <c r="A29" s="3" t="s">
        <v>4</v>
      </c>
      <c r="B29" s="4" t="s">
        <v>64</v>
      </c>
      <c r="C29" s="5" t="s">
        <v>65</v>
      </c>
      <c r="I29" s="6" t="str">
        <f>VLOOKUP(B29,'Lista Oficial'!E:E,1,FALSE)</f>
        <v>ARCELORMITTAL</v>
      </c>
    </row>
    <row r="30">
      <c r="A30" s="3" t="s">
        <v>4</v>
      </c>
      <c r="B30" s="4" t="s">
        <v>66</v>
      </c>
      <c r="C30" s="8" t="s">
        <v>67</v>
      </c>
      <c r="I30" s="6" t="str">
        <f>VLOOKUP(B30,'Lista Oficial'!E:E,1,FALSE)</f>
        <v>American Express</v>
      </c>
    </row>
    <row r="31">
      <c r="A31" s="3" t="s">
        <v>4</v>
      </c>
      <c r="B31" s="4" t="s">
        <v>68</v>
      </c>
      <c r="C31" s="8" t="s">
        <v>69</v>
      </c>
      <c r="I31" s="6" t="str">
        <f>VLOOKUP(B31,'Lista Oficial'!E:E,1,FALSE)</f>
        <v>Abbott Laboratories</v>
      </c>
    </row>
    <row r="32">
      <c r="A32" s="3" t="s">
        <v>4</v>
      </c>
      <c r="B32" s="4" t="s">
        <v>70</v>
      </c>
      <c r="C32" s="5" t="s">
        <v>71</v>
      </c>
      <c r="I32" s="6" t="str">
        <f>VLOOKUP(B32,'Lista Oficial'!E:E,1,FALSE)</f>
        <v>Santos Brasil Participações</v>
      </c>
    </row>
    <row r="33">
      <c r="A33" s="3" t="s">
        <v>4</v>
      </c>
      <c r="B33" s="4" t="s">
        <v>72</v>
      </c>
      <c r="C33" s="5" t="s">
        <v>73</v>
      </c>
      <c r="D33" s="5" t="s">
        <v>74</v>
      </c>
      <c r="E33" s="5" t="s">
        <v>75</v>
      </c>
      <c r="F33" s="5" t="s">
        <v>76</v>
      </c>
      <c r="I33" s="6" t="str">
        <f>VLOOKUP(B33,'Lista Oficial'!E:E,1,FALSE)</f>
        <v>RANDON PART</v>
      </c>
    </row>
    <row r="34">
      <c r="A34" s="3" t="s">
        <v>4</v>
      </c>
      <c r="B34" s="4" t="s">
        <v>77</v>
      </c>
      <c r="C34" s="5" t="s">
        <v>78</v>
      </c>
      <c r="I34" s="6" t="str">
        <f>VLOOKUP(B34,'Lista Oficial'!E:E,1,FALSE)</f>
        <v>ENGIE BRASIL</v>
      </c>
    </row>
    <row r="35">
      <c r="A35" s="3" t="s">
        <v>4</v>
      </c>
      <c r="B35" s="4" t="s">
        <v>79</v>
      </c>
      <c r="C35" s="5" t="s">
        <v>80</v>
      </c>
      <c r="D35" s="5" t="s">
        <v>81</v>
      </c>
      <c r="I35" s="6" t="str">
        <f>VLOOKUP(B35,'Lista Oficial'!E:E,1,FALSE)</f>
        <v>MMX Mineração</v>
      </c>
    </row>
    <row r="36">
      <c r="A36" s="3" t="s">
        <v>4</v>
      </c>
      <c r="B36" s="4" t="s">
        <v>82</v>
      </c>
      <c r="C36" s="5" t="s">
        <v>83</v>
      </c>
      <c r="D36" s="5" t="s">
        <v>84</v>
      </c>
      <c r="I36" s="6" t="str">
        <f>VLOOKUP(B36,'Lista Oficial'!E:E,1,FALSE)</f>
        <v>LUPATECH</v>
      </c>
    </row>
    <row r="37">
      <c r="A37" s="3" t="s">
        <v>4</v>
      </c>
      <c r="B37" s="4" t="s">
        <v>85</v>
      </c>
      <c r="C37" s="5" t="s">
        <v>86</v>
      </c>
      <c r="D37" s="5" t="s">
        <v>87</v>
      </c>
      <c r="E37" s="5" t="s">
        <v>88</v>
      </c>
      <c r="F37" s="5" t="s">
        <v>89</v>
      </c>
      <c r="I37" s="6" t="str">
        <f>VLOOKUP(B37,'Lista Oficial'!E:E,1,FALSE)</f>
        <v>INEPAR</v>
      </c>
    </row>
    <row r="38">
      <c r="A38" s="3" t="s">
        <v>4</v>
      </c>
      <c r="B38" s="4" t="s">
        <v>90</v>
      </c>
      <c r="C38" s="5" t="s">
        <v>91</v>
      </c>
      <c r="D38" s="5" t="s">
        <v>92</v>
      </c>
      <c r="I38" s="6" t="str">
        <f>VLOOKUP(B38,'Lista Oficial'!E:E,1,FALSE)</f>
        <v>Ger Paranapanema</v>
      </c>
    </row>
    <row r="39">
      <c r="A39" s="3" t="s">
        <v>4</v>
      </c>
      <c r="B39" s="4" t="s">
        <v>93</v>
      </c>
      <c r="C39" s="5" t="s">
        <v>94</v>
      </c>
      <c r="D39" s="5" t="s">
        <v>95</v>
      </c>
      <c r="I39" s="6" t="str">
        <f>VLOOKUP(B39,'Lista Oficial'!E:E,1,FALSE)</f>
        <v>FRAS-LE</v>
      </c>
    </row>
    <row r="40">
      <c r="A40" s="3" t="s">
        <v>4</v>
      </c>
      <c r="B40" s="4" t="s">
        <v>96</v>
      </c>
      <c r="C40" s="5" t="s">
        <v>97</v>
      </c>
      <c r="I40" s="6" t="str">
        <f>VLOOKUP(B40,'Lista Oficial'!E:E,1,FALSE)</f>
        <v>AFLUENTE T</v>
      </c>
    </row>
    <row r="41">
      <c r="A41" s="3" t="s">
        <v>4</v>
      </c>
      <c r="B41" s="4" t="s">
        <v>98</v>
      </c>
      <c r="C41" s="5" t="s">
        <v>99</v>
      </c>
      <c r="D41" s="5" t="s">
        <v>100</v>
      </c>
      <c r="E41" s="5" t="s">
        <v>101</v>
      </c>
      <c r="I41" s="6" t="str">
        <f>VLOOKUP(B41,'Lista Oficial'!E:E,1,FALSE)</f>
        <v>SCHULZ</v>
      </c>
    </row>
    <row r="42">
      <c r="A42" s="3" t="s">
        <v>4</v>
      </c>
      <c r="B42" s="4" t="s">
        <v>102</v>
      </c>
      <c r="C42" s="5" t="s">
        <v>103</v>
      </c>
      <c r="I42" s="6" t="str">
        <f>VLOOKUP(B42,'Lista Oficial'!E:E,1,FALSE)</f>
        <v>Suzano Holding</v>
      </c>
    </row>
    <row r="43">
      <c r="A43" s="3" t="s">
        <v>4</v>
      </c>
      <c r="B43" s="4" t="s">
        <v>104</v>
      </c>
      <c r="C43" s="5" t="s">
        <v>105</v>
      </c>
      <c r="D43" s="5" t="s">
        <v>106</v>
      </c>
      <c r="E43" s="5" t="s">
        <v>107</v>
      </c>
      <c r="F43" s="5" t="s">
        <v>108</v>
      </c>
      <c r="I43" s="6" t="str">
        <f>VLOOKUP(B43,'Lista Oficial'!E:E,1,FALSE)</f>
        <v>TAURUS ARMAS</v>
      </c>
    </row>
    <row r="44">
      <c r="A44" s="3" t="s">
        <v>4</v>
      </c>
      <c r="B44" s="4" t="s">
        <v>109</v>
      </c>
      <c r="C44" s="5" t="s">
        <v>110</v>
      </c>
      <c r="I44" s="6" t="str">
        <f>VLOOKUP(B44,'Lista Oficial'!E:E,1,FALSE)</f>
        <v>TECNISA</v>
      </c>
    </row>
    <row r="45">
      <c r="A45" s="3" t="s">
        <v>4</v>
      </c>
      <c r="B45" s="4" t="s">
        <v>111</v>
      </c>
      <c r="C45" s="5" t="s">
        <v>112</v>
      </c>
      <c r="I45" s="6" t="str">
        <f>VLOOKUP(B45,'Lista Oficial'!E:E,1,FALSE)</f>
        <v>UNIPAR</v>
      </c>
    </row>
    <row r="46">
      <c r="A46" s="3" t="s">
        <v>4</v>
      </c>
      <c r="B46" s="4" t="s">
        <v>113</v>
      </c>
      <c r="C46" s="5" t="s">
        <v>114</v>
      </c>
      <c r="I46" s="6" t="str">
        <f>VLOOKUP(B46,'Lista Oficial'!E:E,1,FALSE)</f>
        <v>Whirpool</v>
      </c>
    </row>
    <row r="47">
      <c r="A47" s="3" t="s">
        <v>4</v>
      </c>
      <c r="B47" s="4" t="s">
        <v>113</v>
      </c>
      <c r="C47" s="5" t="s">
        <v>115</v>
      </c>
      <c r="I47" s="6" t="str">
        <f>VLOOKUP(B47,'Lista Oficial'!E:E,1,FALSE)</f>
        <v>Whirpool</v>
      </c>
    </row>
    <row r="48">
      <c r="A48" s="3" t="s">
        <v>4</v>
      </c>
      <c r="B48" s="4" t="s">
        <v>116</v>
      </c>
      <c r="C48" s="5" t="s">
        <v>117</v>
      </c>
      <c r="I48" s="6" t="str">
        <f>VLOOKUP(B48,'Lista Oficial'!E:E,1,FALSE)</f>
        <v>OUROFINO S/A</v>
      </c>
    </row>
    <row r="49">
      <c r="A49" s="3" t="s">
        <v>4</v>
      </c>
      <c r="B49" s="4" t="s">
        <v>118</v>
      </c>
      <c r="C49" s="5" t="s">
        <v>119</v>
      </c>
      <c r="D49" s="5" t="s">
        <v>120</v>
      </c>
      <c r="E49" s="5" t="s">
        <v>121</v>
      </c>
      <c r="I49" s="6" t="str">
        <f>VLOOKUP(B49,'Lista Oficial'!E:E,1,FALSE)</f>
        <v>GOL</v>
      </c>
    </row>
    <row r="50">
      <c r="A50" s="3" t="s">
        <v>4</v>
      </c>
      <c r="B50" s="4" t="s">
        <v>122</v>
      </c>
      <c r="C50" s="5" t="s">
        <v>123</v>
      </c>
      <c r="D50" s="5" t="s">
        <v>124</v>
      </c>
      <c r="I50" s="6" t="str">
        <f>VLOOKUP(B50,'Lista Oficial'!E:E,1,FALSE)</f>
        <v>ETERNIT</v>
      </c>
    </row>
    <row r="51">
      <c r="A51" s="3" t="s">
        <v>4</v>
      </c>
      <c r="B51" s="4" t="s">
        <v>125</v>
      </c>
      <c r="C51" s="5" t="s">
        <v>126</v>
      </c>
      <c r="D51" s="5" t="s">
        <v>127</v>
      </c>
      <c r="I51" s="6" t="str">
        <f>VLOOKUP(B51,'Lista Oficial'!E:E,1,FALSE)</f>
        <v>VALID</v>
      </c>
    </row>
    <row r="52">
      <c r="A52" s="3" t="s">
        <v>4</v>
      </c>
      <c r="B52" s="4" t="s">
        <v>128</v>
      </c>
      <c r="C52" s="5" t="s">
        <v>129</v>
      </c>
      <c r="D52" s="5" t="s">
        <v>130</v>
      </c>
      <c r="I52" s="6" t="str">
        <f>VLOOKUP(B52,'Lista Oficial'!E:E,1,FALSE)</f>
        <v>TRIUNFO PART</v>
      </c>
    </row>
    <row r="53">
      <c r="A53" s="3" t="s">
        <v>4</v>
      </c>
      <c r="B53" s="4" t="s">
        <v>131</v>
      </c>
      <c r="C53" s="5" t="s">
        <v>132</v>
      </c>
      <c r="I53" s="6" t="str">
        <f>VLOOKUP(B53,'Lista Oficial'!E:E,1,FALSE)</f>
        <v>PORTOBELLO</v>
      </c>
    </row>
    <row r="54">
      <c r="A54" s="3" t="s">
        <v>4</v>
      </c>
      <c r="B54" s="4" t="s">
        <v>133</v>
      </c>
      <c r="C54" s="5" t="s">
        <v>134</v>
      </c>
      <c r="D54" s="5" t="s">
        <v>135</v>
      </c>
      <c r="E54" s="5" t="s">
        <v>136</v>
      </c>
      <c r="F54" s="5" t="s">
        <v>137</v>
      </c>
      <c r="I54" s="6" t="str">
        <f>VLOOKUP(B54,'Lista Oficial'!E:E,1,FALSE)</f>
        <v>MARCOPOLO</v>
      </c>
    </row>
    <row r="55">
      <c r="A55" s="3" t="s">
        <v>4</v>
      </c>
      <c r="B55" s="4" t="s">
        <v>138</v>
      </c>
      <c r="C55" s="5" t="s">
        <v>139</v>
      </c>
      <c r="D55" s="5" t="s">
        <v>140</v>
      </c>
      <c r="I55" s="6" t="str">
        <f>VLOOKUP(B55,'Lista Oficial'!E:E,1,FALSE)</f>
        <v>COSAN LOG</v>
      </c>
    </row>
    <row r="56">
      <c r="A56" s="3" t="s">
        <v>4</v>
      </c>
      <c r="B56" s="4" t="s">
        <v>141</v>
      </c>
      <c r="C56" s="5" t="s">
        <v>142</v>
      </c>
      <c r="D56" s="5" t="s">
        <v>143</v>
      </c>
      <c r="I56" s="6" t="str">
        <f>VLOOKUP(B56,'Lista Oficial'!E:E,1,FALSE)</f>
        <v>AÇO ALTONA</v>
      </c>
    </row>
    <row r="57">
      <c r="A57" s="3" t="s">
        <v>4</v>
      </c>
      <c r="B57" s="4" t="s">
        <v>144</v>
      </c>
      <c r="C57" s="5" t="s">
        <v>145</v>
      </c>
      <c r="D57" s="5" t="s">
        <v>146</v>
      </c>
      <c r="I57" s="6" t="str">
        <f>VLOOKUP(B57,'Lista Oficial'!E:E,1,FALSE)</f>
        <v>ENEVA</v>
      </c>
    </row>
    <row r="58">
      <c r="A58" s="3" t="s">
        <v>4</v>
      </c>
      <c r="B58" s="4" t="s">
        <v>147</v>
      </c>
      <c r="C58" s="5" t="s">
        <v>148</v>
      </c>
      <c r="I58" s="6" t="str">
        <f>VLOOKUP(B58,'Lista Oficial'!E:E,1,FALSE)</f>
        <v>BANCO PAN</v>
      </c>
    </row>
    <row r="59">
      <c r="A59" s="3" t="s">
        <v>4</v>
      </c>
      <c r="B59" s="4" t="s">
        <v>149</v>
      </c>
      <c r="C59" s="5" t="s">
        <v>150</v>
      </c>
      <c r="D59" s="5" t="s">
        <v>151</v>
      </c>
      <c r="I59" s="6" t="str">
        <f>VLOOKUP(B59,'Lista Oficial'!E:E,1,FALSE)</f>
        <v>WEG</v>
      </c>
    </row>
    <row r="60">
      <c r="A60" s="9" t="s">
        <v>4</v>
      </c>
      <c r="B60" s="4" t="s">
        <v>152</v>
      </c>
      <c r="C60" s="5" t="s">
        <v>153</v>
      </c>
      <c r="I60" s="6" t="str">
        <f>VLOOKUP(B60,'Lista Oficial'!E:E,1,FALSE)</f>
        <v>VIA VAREJO</v>
      </c>
    </row>
    <row r="61">
      <c r="A61" s="3" t="s">
        <v>4</v>
      </c>
      <c r="B61" s="4" t="s">
        <v>154</v>
      </c>
      <c r="C61" s="5" t="s">
        <v>155</v>
      </c>
      <c r="D61" s="5" t="s">
        <v>156</v>
      </c>
      <c r="I61" s="6" t="str">
        <f>VLOOKUP(B61,'Lista Oficial'!E:E,1,FALSE)</f>
        <v>RUMO S.A.</v>
      </c>
    </row>
    <row r="62">
      <c r="A62" s="3" t="s">
        <v>4</v>
      </c>
      <c r="B62" s="4" t="s">
        <v>157</v>
      </c>
      <c r="C62" s="5" t="s">
        <v>158</v>
      </c>
      <c r="I62" s="6" t="str">
        <f>VLOOKUP(B62,'Lista Oficial'!E:E,1,FALSE)</f>
        <v>VALE</v>
      </c>
    </row>
    <row r="63">
      <c r="A63" s="3" t="s">
        <v>4</v>
      </c>
      <c r="B63" s="4" t="s">
        <v>159</v>
      </c>
      <c r="C63" s="5" t="s">
        <v>160</v>
      </c>
      <c r="D63" s="5" t="s">
        <v>161</v>
      </c>
      <c r="E63" s="5" t="s">
        <v>162</v>
      </c>
      <c r="I63" s="6" t="str">
        <f>VLOOKUP(B63,'Lista Oficial'!E:E,1,FALSE)</f>
        <v>USIMINAS</v>
      </c>
    </row>
    <row r="64">
      <c r="A64" s="3" t="s">
        <v>4</v>
      </c>
      <c r="B64" s="4" t="s">
        <v>70</v>
      </c>
      <c r="C64" s="5" t="s">
        <v>163</v>
      </c>
      <c r="I64" s="6" t="str">
        <f>VLOOKUP(B64,'Lista Oficial'!E:E,1,FALSE)</f>
        <v>Santos Brasil Participações</v>
      </c>
    </row>
    <row r="65">
      <c r="A65" s="3" t="s">
        <v>4</v>
      </c>
      <c r="B65" s="10" t="s">
        <v>164</v>
      </c>
      <c r="I65" s="6" t="str">
        <f>VLOOKUP(B65,'Lista Oficial'!E:E,1,FALSE)</f>
        <v>INVEPAR</v>
      </c>
    </row>
    <row r="66">
      <c r="A66" s="11" t="s">
        <v>165</v>
      </c>
      <c r="B66" s="4" t="s">
        <v>166</v>
      </c>
      <c r="C66" s="5" t="s">
        <v>167</v>
      </c>
      <c r="D66" s="5" t="s">
        <v>168</v>
      </c>
      <c r="I66" s="6" t="str">
        <f>VLOOKUP(B66,'Lista Oficial'!E:E,1,FALSE)</f>
        <v>CEDRO</v>
      </c>
    </row>
    <row r="67">
      <c r="A67" s="11" t="s">
        <v>165</v>
      </c>
      <c r="B67" s="4" t="s">
        <v>169</v>
      </c>
      <c r="C67" s="12" t="s">
        <v>170</v>
      </c>
      <c r="D67" s="5" t="s">
        <v>171</v>
      </c>
      <c r="I67" s="6" t="str">
        <f>VLOOKUP(B67,'Lista Oficial'!E:E,1,FALSE)</f>
        <v>Netflix</v>
      </c>
    </row>
    <row r="68">
      <c r="A68" s="11" t="s">
        <v>165</v>
      </c>
      <c r="B68" s="4" t="s">
        <v>172</v>
      </c>
      <c r="C68" s="5" t="s">
        <v>173</v>
      </c>
      <c r="D68" s="5" t="s">
        <v>174</v>
      </c>
      <c r="I68" s="6" t="str">
        <f>VLOOKUP(B68,'Lista Oficial'!E:E,1,FALSE)</f>
        <v>Nike</v>
      </c>
    </row>
    <row r="69">
      <c r="A69" s="11" t="s">
        <v>165</v>
      </c>
      <c r="B69" s="4" t="s">
        <v>175</v>
      </c>
      <c r="C69" s="5" t="s">
        <v>176</v>
      </c>
      <c r="D69" s="5" t="s">
        <v>177</v>
      </c>
      <c r="I69" s="6" t="str">
        <f>VLOOKUP(B69,'Lista Oficial'!E:E,1,FALSE)</f>
        <v>MC Donald's</v>
      </c>
    </row>
    <row r="70">
      <c r="A70" s="11" t="s">
        <v>165</v>
      </c>
      <c r="B70" s="4" t="s">
        <v>178</v>
      </c>
      <c r="C70" s="5" t="s">
        <v>179</v>
      </c>
      <c r="D70" s="5" t="s">
        <v>180</v>
      </c>
      <c r="I70" s="6" t="str">
        <f>VLOOKUP(B70,'Lista Oficial'!E:E,1,FALSE)</f>
        <v>Home Depot</v>
      </c>
    </row>
    <row r="71">
      <c r="A71" s="11" t="s">
        <v>165</v>
      </c>
      <c r="B71" s="4" t="s">
        <v>181</v>
      </c>
      <c r="C71" s="5" t="s">
        <v>182</v>
      </c>
      <c r="D71" s="5" t="s">
        <v>183</v>
      </c>
      <c r="I71" s="6" t="str">
        <f>VLOOKUP(B71,'Lista Oficial'!E:E,1,FALSE)</f>
        <v>Ford Motors</v>
      </c>
    </row>
    <row r="72">
      <c r="A72" s="11" t="s">
        <v>165</v>
      </c>
      <c r="B72" s="4" t="s">
        <v>184</v>
      </c>
      <c r="C72" s="5" t="s">
        <v>185</v>
      </c>
      <c r="I72" s="6" t="str">
        <f>VLOOKUP(B72,'Lista Oficial'!E:E,1,FALSE)</f>
        <v>Comcast</v>
      </c>
    </row>
    <row r="73">
      <c r="A73" s="11" t="s">
        <v>165</v>
      </c>
      <c r="B73" s="4" t="s">
        <v>186</v>
      </c>
      <c r="C73" s="5" t="s">
        <v>187</v>
      </c>
      <c r="I73" s="6" t="str">
        <f>VLOOKUP(B73,'Lista Oficial'!E:E,1,FALSE)</f>
        <v>Amazon</v>
      </c>
    </row>
    <row r="74">
      <c r="A74" s="11" t="s">
        <v>165</v>
      </c>
      <c r="B74" s="4" t="s">
        <v>188</v>
      </c>
      <c r="C74" s="5" t="s">
        <v>189</v>
      </c>
      <c r="D74" s="5" t="s">
        <v>190</v>
      </c>
      <c r="I74" s="6" t="str">
        <f>VLOOKUP(B74,'Lista Oficial'!E:E,1,FALSE)</f>
        <v>Rodobens</v>
      </c>
    </row>
    <row r="75">
      <c r="A75" s="11" t="s">
        <v>165</v>
      </c>
      <c r="B75" s="4" t="s">
        <v>191</v>
      </c>
      <c r="C75" s="5" t="s">
        <v>192</v>
      </c>
      <c r="D75" s="5" t="s">
        <v>193</v>
      </c>
      <c r="E75" s="5" t="s">
        <v>194</v>
      </c>
      <c r="I75" s="6" t="str">
        <f>VLOOKUP(B75,'Lista Oficial'!E:E,1,FALSE)</f>
        <v>SARAIVA LIVR</v>
      </c>
    </row>
    <row r="76">
      <c r="A76" s="11" t="s">
        <v>165</v>
      </c>
      <c r="B76" s="4" t="s">
        <v>195</v>
      </c>
      <c r="C76" s="5" t="s">
        <v>196</v>
      </c>
      <c r="D76" s="5" t="s">
        <v>197</v>
      </c>
      <c r="I76" s="6" t="str">
        <f>VLOOKUP(B76,'Lista Oficial'!E:E,1,FALSE)</f>
        <v>ROSSI RESID</v>
      </c>
    </row>
    <row r="77">
      <c r="A77" s="11" t="s">
        <v>165</v>
      </c>
      <c r="B77" s="4" t="s">
        <v>198</v>
      </c>
      <c r="C77" s="5" t="s">
        <v>199</v>
      </c>
      <c r="D77" s="5" t="s">
        <v>200</v>
      </c>
      <c r="I77" s="6" t="str">
        <f>VLOOKUP(B77,'Lista Oficial'!E:E,1,FALSE)</f>
        <v>MUNDIAL</v>
      </c>
    </row>
    <row r="78">
      <c r="A78" s="11" t="s">
        <v>165</v>
      </c>
      <c r="B78" s="4" t="s">
        <v>201</v>
      </c>
      <c r="C78" s="5" t="s">
        <v>202</v>
      </c>
      <c r="D78" s="5" t="s">
        <v>203</v>
      </c>
      <c r="I78" s="6" t="str">
        <f>VLOOKUP(B78,'Lista Oficial'!E:E,1,FALSE)</f>
        <v>METAL LEVE</v>
      </c>
    </row>
    <row r="79">
      <c r="A79" s="11" t="s">
        <v>165</v>
      </c>
      <c r="B79" s="4" t="s">
        <v>204</v>
      </c>
      <c r="C79" s="5" t="s">
        <v>205</v>
      </c>
      <c r="D79" s="5" t="s">
        <v>206</v>
      </c>
      <c r="E79" s="5" t="s">
        <v>207</v>
      </c>
      <c r="F79" s="5" t="s">
        <v>208</v>
      </c>
      <c r="I79" s="6" t="str">
        <f>VLOOKUP(B79,'Lista Oficial'!E:E,1,FALSE)</f>
        <v>KARSTEN</v>
      </c>
    </row>
    <row r="80">
      <c r="A80" s="11" t="s">
        <v>165</v>
      </c>
      <c r="B80" s="4" t="s">
        <v>209</v>
      </c>
      <c r="C80" s="5" t="s">
        <v>210</v>
      </c>
      <c r="D80" s="5" t="s">
        <v>211</v>
      </c>
      <c r="I80" s="6" t="str">
        <f>VLOOKUP(B80,'Lista Oficial'!E:E,1,FALSE)</f>
        <v>Iochpe-Maxion</v>
      </c>
    </row>
    <row r="81">
      <c r="A81" s="11" t="s">
        <v>165</v>
      </c>
      <c r="B81" s="4" t="s">
        <v>212</v>
      </c>
      <c r="C81" s="5" t="s">
        <v>213</v>
      </c>
      <c r="D81" s="5" t="s">
        <v>214</v>
      </c>
      <c r="I81" s="6" t="str">
        <f>VLOOKUP(B81,'Lista Oficial'!E:E,1,FALSE)</f>
        <v>GRENDENE</v>
      </c>
    </row>
    <row r="82">
      <c r="A82" s="11" t="s">
        <v>165</v>
      </c>
      <c r="B82" s="4" t="s">
        <v>215</v>
      </c>
      <c r="C82" s="5" t="s">
        <v>216</v>
      </c>
      <c r="D82" s="5" t="s">
        <v>217</v>
      </c>
      <c r="I82" s="6" t="str">
        <f>VLOOKUP(B82,'Lista Oficial'!E:E,1,FALSE)</f>
        <v>LOCAMERICA</v>
      </c>
    </row>
    <row r="83">
      <c r="A83" s="11" t="s">
        <v>165</v>
      </c>
      <c r="B83" s="4" t="s">
        <v>218</v>
      </c>
      <c r="C83" s="5" t="s">
        <v>219</v>
      </c>
      <c r="I83" s="6" t="str">
        <f>VLOOKUP(B83,'Lista Oficial'!E:E,1,FALSE)</f>
        <v>C&amp;A</v>
      </c>
    </row>
    <row r="84">
      <c r="A84" s="11" t="s">
        <v>165</v>
      </c>
      <c r="B84" s="4" t="s">
        <v>220</v>
      </c>
      <c r="C84" s="5" t="s">
        <v>221</v>
      </c>
      <c r="D84" s="5" t="s">
        <v>222</v>
      </c>
      <c r="I84" s="6" t="str">
        <f>VLOOKUP(B84,'Lista Oficial'!E:E,1,FALSE)</f>
        <v>LE LIS BLANC</v>
      </c>
    </row>
    <row r="85">
      <c r="A85" s="11" t="s">
        <v>165</v>
      </c>
      <c r="B85" s="4" t="s">
        <v>223</v>
      </c>
      <c r="C85" s="5" t="s">
        <v>224</v>
      </c>
      <c r="D85" s="5" t="s">
        <v>225</v>
      </c>
      <c r="E85" s="5" t="s">
        <v>226</v>
      </c>
      <c r="F85" s="5" t="s">
        <v>227</v>
      </c>
      <c r="I85" s="6" t="str">
        <f>VLOOKUP(B85,'Lista Oficial'!E:E,1,FALSE)</f>
        <v>GRAZZIOTIN</v>
      </c>
    </row>
    <row r="86">
      <c r="A86" s="11" t="s">
        <v>165</v>
      </c>
      <c r="B86" s="4" t="s">
        <v>228</v>
      </c>
      <c r="C86" s="5" t="s">
        <v>229</v>
      </c>
      <c r="D86" s="5" t="s">
        <v>230</v>
      </c>
      <c r="E86" s="5" t="s">
        <v>231</v>
      </c>
      <c r="F86" s="5" t="s">
        <v>232</v>
      </c>
      <c r="I86" s="6" t="str">
        <f>VLOOKUP(B86,'Lista Oficial'!E:E,1,FALSE)</f>
        <v>ESTRELA</v>
      </c>
    </row>
    <row r="87">
      <c r="A87" s="11" t="s">
        <v>165</v>
      </c>
      <c r="B87" s="4" t="s">
        <v>233</v>
      </c>
      <c r="C87" s="5" t="s">
        <v>234</v>
      </c>
      <c r="D87" s="5" t="s">
        <v>235</v>
      </c>
      <c r="I87" s="6" t="str">
        <f>VLOOKUP(B87,'Lista Oficial'!E:E,1,FALSE)</f>
        <v>DIRECIONAL</v>
      </c>
    </row>
    <row r="88">
      <c r="A88" s="11" t="s">
        <v>165</v>
      </c>
      <c r="B88" s="4" t="s">
        <v>236</v>
      </c>
      <c r="C88" s="5" t="s">
        <v>237</v>
      </c>
      <c r="D88" s="5" t="s">
        <v>238</v>
      </c>
      <c r="E88" s="5" t="s">
        <v>239</v>
      </c>
      <c r="F88" s="5" t="s">
        <v>240</v>
      </c>
      <c r="I88" s="6" t="str">
        <f>VLOOKUP(B88,'Lista Oficial'!E:E,1,FALSE)</f>
        <v>COTEMINAS</v>
      </c>
    </row>
    <row r="89">
      <c r="A89" s="11" t="s">
        <v>165</v>
      </c>
      <c r="B89" s="4" t="s">
        <v>241</v>
      </c>
      <c r="C89" s="5" t="s">
        <v>242</v>
      </c>
      <c r="I89" s="6" t="str">
        <f>VLOOKUP(B89,'Lista Oficial'!E:E,1,FALSE)</f>
        <v>ANIMA</v>
      </c>
    </row>
    <row r="90">
      <c r="A90" s="11" t="s">
        <v>165</v>
      </c>
      <c r="B90" s="4" t="s">
        <v>243</v>
      </c>
      <c r="C90" s="5" t="s">
        <v>244</v>
      </c>
      <c r="D90" s="5" t="s">
        <v>245</v>
      </c>
      <c r="I90" s="6" t="str">
        <f>VLOOKUP(B90,'Lista Oficial'!E:E,1,FALSE)</f>
        <v>EVEN</v>
      </c>
    </row>
    <row r="91">
      <c r="A91" s="11" t="s">
        <v>165</v>
      </c>
      <c r="B91" s="4" t="s">
        <v>246</v>
      </c>
      <c r="C91" s="5" t="s">
        <v>247</v>
      </c>
      <c r="D91" s="5" t="s">
        <v>248</v>
      </c>
      <c r="I91" s="6" t="str">
        <f>VLOOKUP(B91,'Lista Oficial'!E:E,1,FALSE)</f>
        <v>LOJAS MARISA</v>
      </c>
    </row>
    <row r="92">
      <c r="A92" s="11" t="s">
        <v>165</v>
      </c>
      <c r="B92" s="4" t="s">
        <v>249</v>
      </c>
      <c r="C92" s="5" t="s">
        <v>250</v>
      </c>
      <c r="D92" s="5" t="s">
        <v>251</v>
      </c>
      <c r="I92" s="6" t="str">
        <f>VLOOKUP(B92,'Lista Oficial'!E:E,1,FALSE)</f>
        <v>MOVIDA</v>
      </c>
    </row>
    <row r="93">
      <c r="A93" s="11" t="s">
        <v>165</v>
      </c>
      <c r="B93" s="4" t="s">
        <v>252</v>
      </c>
      <c r="C93" s="5" t="s">
        <v>253</v>
      </c>
      <c r="D93" s="5" t="s">
        <v>254</v>
      </c>
      <c r="I93" s="6" t="str">
        <f>VLOOKUP(B93,'Lista Oficial'!E:E,1,FALSE)</f>
        <v>JHSF</v>
      </c>
    </row>
    <row r="94">
      <c r="A94" s="11" t="s">
        <v>165</v>
      </c>
      <c r="B94" s="4" t="s">
        <v>255</v>
      </c>
      <c r="C94" s="5" t="s">
        <v>256</v>
      </c>
      <c r="D94" s="5" t="s">
        <v>257</v>
      </c>
      <c r="I94" s="6" t="str">
        <f>VLOOKUP(B94,'Lista Oficial'!E:E,1,FALSE)</f>
        <v>HELBOR</v>
      </c>
    </row>
    <row r="95">
      <c r="A95" s="11" t="s">
        <v>165</v>
      </c>
      <c r="B95" s="4" t="s">
        <v>258</v>
      </c>
      <c r="C95" s="5" t="s">
        <v>259</v>
      </c>
      <c r="D95" s="5" t="s">
        <v>260</v>
      </c>
      <c r="I95" s="6" t="str">
        <f>VLOOKUP(B95,'Lista Oficial'!E:E,1,FALSE)</f>
        <v>PDG Realty</v>
      </c>
    </row>
    <row r="96">
      <c r="A96" s="11" t="s">
        <v>165</v>
      </c>
      <c r="B96" s="4" t="s">
        <v>261</v>
      </c>
      <c r="C96" s="5" t="s">
        <v>262</v>
      </c>
      <c r="I96" s="6" t="str">
        <f>VLOOKUP(B96,'Lista Oficial'!E:E,1,FALSE)</f>
        <v>AREZZO CO</v>
      </c>
    </row>
    <row r="97">
      <c r="A97" s="11" t="s">
        <v>165</v>
      </c>
      <c r="B97" s="4" t="s">
        <v>263</v>
      </c>
      <c r="C97" s="5" t="s">
        <v>264</v>
      </c>
      <c r="D97" s="5" t="s">
        <v>265</v>
      </c>
      <c r="I97" s="6" t="str">
        <f>VLOOKUP(B97,'Lista Oficial'!E:E,1,FALSE)</f>
        <v>Ez Tec</v>
      </c>
    </row>
    <row r="98">
      <c r="A98" s="11" t="s">
        <v>165</v>
      </c>
      <c r="B98" s="4" t="s">
        <v>266</v>
      </c>
      <c r="C98" s="5" t="s">
        <v>267</v>
      </c>
      <c r="I98" s="6" t="str">
        <f>VLOOKUP(B98,'Lista Oficial'!E:E,1,FALSE)</f>
        <v>CIA HERING</v>
      </c>
    </row>
    <row r="99">
      <c r="A99" s="11" t="s">
        <v>165</v>
      </c>
      <c r="B99" s="4" t="s">
        <v>268</v>
      </c>
      <c r="C99" s="5" t="s">
        <v>269</v>
      </c>
      <c r="D99" s="5" t="s">
        <v>270</v>
      </c>
      <c r="I99" s="6" t="str">
        <f>VLOOKUP(B99,'Lista Oficial'!E:E,1,FALSE)</f>
        <v>ALPARGATAS</v>
      </c>
    </row>
    <row r="100">
      <c r="A100" s="11" t="s">
        <v>165</v>
      </c>
      <c r="B100" s="4" t="s">
        <v>271</v>
      </c>
      <c r="C100" s="5" t="s">
        <v>272</v>
      </c>
      <c r="D100" s="5" t="s">
        <v>273</v>
      </c>
      <c r="I100" s="6" t="str">
        <f>VLOOKUP(B100,'Lista Oficial'!E:E,1,FALSE)</f>
        <v>SMILES</v>
      </c>
    </row>
    <row r="101">
      <c r="A101" s="11" t="s">
        <v>165</v>
      </c>
      <c r="B101" s="4" t="s">
        <v>274</v>
      </c>
      <c r="C101" s="5" t="s">
        <v>275</v>
      </c>
      <c r="D101" s="5" t="s">
        <v>276</v>
      </c>
      <c r="I101" s="6" t="str">
        <f>VLOOKUP(B101,'Lista Oficial'!E:E,1,FALSE)</f>
        <v>LOCALIZA</v>
      </c>
    </row>
    <row r="102">
      <c r="A102" s="11" t="s">
        <v>165</v>
      </c>
      <c r="B102" s="4" t="s">
        <v>277</v>
      </c>
      <c r="C102" s="5" t="s">
        <v>278</v>
      </c>
      <c r="D102" s="5" t="s">
        <v>279</v>
      </c>
      <c r="I102" s="6" t="str">
        <f>VLOOKUP(B102,'Lista Oficial'!E:E,1,FALSE)</f>
        <v>MRV Engenharia</v>
      </c>
    </row>
    <row r="103">
      <c r="A103" s="11" t="s">
        <v>165</v>
      </c>
      <c r="B103" s="4" t="s">
        <v>280</v>
      </c>
      <c r="C103" s="5" t="s">
        <v>281</v>
      </c>
      <c r="D103" s="5" t="s">
        <v>282</v>
      </c>
      <c r="I103" s="6" t="str">
        <f>VLOOKUP(B103,'Lista Oficial'!E:E,1,FALSE)</f>
        <v>Magazine Luiza</v>
      </c>
    </row>
    <row r="104">
      <c r="A104" s="11" t="s">
        <v>165</v>
      </c>
      <c r="B104" s="4" t="s">
        <v>283</v>
      </c>
      <c r="C104" s="5" t="s">
        <v>284</v>
      </c>
      <c r="D104" s="5" t="s">
        <v>285</v>
      </c>
      <c r="I104" s="6" t="str">
        <f>VLOOKUP(B104,'Lista Oficial'!E:E,1,FALSE)</f>
        <v>LOJAS RENNER</v>
      </c>
    </row>
    <row r="105">
      <c r="A105" s="11" t="s">
        <v>165</v>
      </c>
      <c r="B105" s="4" t="s">
        <v>286</v>
      </c>
      <c r="C105" s="5" t="s">
        <v>287</v>
      </c>
      <c r="D105" s="5" t="s">
        <v>288</v>
      </c>
      <c r="I105" s="6" t="str">
        <f>VLOOKUP(B105,'Lista Oficial'!E:E,1,FALSE)</f>
        <v>COGNA</v>
      </c>
    </row>
    <row r="106">
      <c r="A106" s="11" t="s">
        <v>165</v>
      </c>
      <c r="B106" s="4" t="s">
        <v>113</v>
      </c>
      <c r="C106" s="5" t="s">
        <v>289</v>
      </c>
      <c r="I106" s="6" t="str">
        <f>VLOOKUP(B106,'Lista Oficial'!E:E,1,FALSE)</f>
        <v>Whirpool</v>
      </c>
    </row>
    <row r="107">
      <c r="A107" s="11" t="s">
        <v>165</v>
      </c>
      <c r="B107" s="4" t="s">
        <v>113</v>
      </c>
      <c r="C107" s="5" t="s">
        <v>290</v>
      </c>
      <c r="I107" s="6" t="str">
        <f>VLOOKUP(B107,'Lista Oficial'!E:E,1,FALSE)</f>
        <v>Whirpool</v>
      </c>
    </row>
    <row r="108">
      <c r="A108" s="11" t="s">
        <v>165</v>
      </c>
      <c r="B108" s="4" t="s">
        <v>291</v>
      </c>
      <c r="C108" s="5" t="s">
        <v>292</v>
      </c>
      <c r="I108" s="6" t="str">
        <f>VLOOKUP(B108,'Lista Oficial'!E:E,1,FALSE)</f>
        <v>VIA VAREJO</v>
      </c>
    </row>
    <row r="109">
      <c r="A109" s="11" t="s">
        <v>165</v>
      </c>
      <c r="B109" s="4" t="s">
        <v>109</v>
      </c>
      <c r="C109" s="5" t="s">
        <v>293</v>
      </c>
      <c r="I109" s="6" t="str">
        <f>VLOOKUP(B109,'Lista Oficial'!E:E,1,FALSE)</f>
        <v>TECNISA</v>
      </c>
    </row>
    <row r="110">
      <c r="A110" s="11" t="s">
        <v>165</v>
      </c>
      <c r="B110" s="4" t="s">
        <v>294</v>
      </c>
      <c r="C110" s="5" t="s">
        <v>295</v>
      </c>
      <c r="I110" s="6" t="str">
        <f>VLOOKUP(B110,'Lista Oficial'!E:E,1,FALSE)</f>
        <v>Starbucks</v>
      </c>
    </row>
    <row r="111">
      <c r="A111" s="11" t="s">
        <v>165</v>
      </c>
      <c r="B111" s="4" t="s">
        <v>296</v>
      </c>
      <c r="C111" s="5" t="s">
        <v>297</v>
      </c>
      <c r="I111" s="6" t="str">
        <f>VLOOKUP(B111,'Lista Oficial'!E:E,1,FALSE)</f>
        <v>Ser Educacional</v>
      </c>
    </row>
    <row r="112">
      <c r="A112" s="11" t="s">
        <v>165</v>
      </c>
      <c r="B112" s="4" t="s">
        <v>298</v>
      </c>
      <c r="C112" s="5" t="s">
        <v>299</v>
      </c>
      <c r="I112" s="6" t="str">
        <f>VLOOKUP(B112,'Lista Oficial'!E:E,1,FALSE)</f>
        <v>SARAIVA LIVR</v>
      </c>
    </row>
    <row r="113">
      <c r="A113" s="11" t="s">
        <v>165</v>
      </c>
      <c r="B113" s="4" t="s">
        <v>300</v>
      </c>
      <c r="C113" s="5" t="s">
        <v>301</v>
      </c>
      <c r="D113" s="5" t="s">
        <v>302</v>
      </c>
      <c r="E113" s="5" t="s">
        <v>303</v>
      </c>
      <c r="F113" s="5" t="s">
        <v>304</v>
      </c>
      <c r="I113" s="6" t="str">
        <f>VLOOKUP(B113,'Lista Oficial'!E:E,1,FALSE)</f>
        <v>Lojas Americanas</v>
      </c>
    </row>
    <row r="114">
      <c r="A114" s="11" t="s">
        <v>165</v>
      </c>
      <c r="B114" s="4" t="s">
        <v>305</v>
      </c>
      <c r="C114" s="5" t="s">
        <v>306</v>
      </c>
      <c r="I114" s="6" t="str">
        <f>VLOOKUP(B114,'Lista Oficial'!E:E,1,FALSE)</f>
        <v>HOTEIS OTHON</v>
      </c>
    </row>
    <row r="115">
      <c r="A115" s="11" t="s">
        <v>165</v>
      </c>
      <c r="B115" s="4" t="s">
        <v>307</v>
      </c>
      <c r="C115" s="5" t="s">
        <v>308</v>
      </c>
      <c r="D115" s="5" t="s">
        <v>309</v>
      </c>
      <c r="I115" s="6" t="str">
        <f>VLOOKUP(B115,'Lista Oficial'!E:E,1,FALSE)</f>
        <v>GAFISA</v>
      </c>
    </row>
    <row r="116">
      <c r="A116" s="11" t="s">
        <v>165</v>
      </c>
      <c r="B116" s="4" t="s">
        <v>310</v>
      </c>
      <c r="C116" s="5" t="s">
        <v>311</v>
      </c>
      <c r="I116" s="6" t="str">
        <f>VLOOKUP(B116,'Lista Oficial'!E:E,1,FALSE)</f>
        <v>YDUQS</v>
      </c>
    </row>
    <row r="117">
      <c r="A117" s="11" t="s">
        <v>165</v>
      </c>
      <c r="B117" s="4" t="s">
        <v>312</v>
      </c>
      <c r="C117" s="5" t="s">
        <v>313</v>
      </c>
      <c r="I117" s="6" t="str">
        <f>VLOOKUP(B117,'Lista Oficial'!E:E,1,FALSE)</f>
        <v>Cyrela Realty</v>
      </c>
    </row>
    <row r="118">
      <c r="A118" s="11" t="s">
        <v>165</v>
      </c>
      <c r="B118" s="4" t="s">
        <v>314</v>
      </c>
      <c r="C118" s="5" t="s">
        <v>315</v>
      </c>
      <c r="I118" s="6" t="str">
        <f>VLOOKUP(B118,'Lista Oficial'!E:E,1,FALSE)</f>
        <v>CVC BRASIL</v>
      </c>
    </row>
    <row r="119">
      <c r="A119" s="13" t="s">
        <v>316</v>
      </c>
      <c r="B119" s="4" t="s">
        <v>317</v>
      </c>
      <c r="C119" s="5" t="s">
        <v>318</v>
      </c>
      <c r="D119" s="5" t="s">
        <v>319</v>
      </c>
      <c r="I119" s="6" t="str">
        <f>VLOOKUP(B119,'Lista Oficial'!E:E,1,FALSE)</f>
        <v>WALMART INC.</v>
      </c>
    </row>
    <row r="120">
      <c r="A120" s="13" t="s">
        <v>316</v>
      </c>
      <c r="B120" s="4" t="s">
        <v>294</v>
      </c>
      <c r="C120" s="5" t="s">
        <v>320</v>
      </c>
      <c r="I120" s="6" t="str">
        <f>VLOOKUP(B120,'Lista Oficial'!E:E,1,FALSE)</f>
        <v>Starbucks</v>
      </c>
    </row>
    <row r="121">
      <c r="A121" s="13" t="s">
        <v>316</v>
      </c>
      <c r="B121" s="4" t="s">
        <v>321</v>
      </c>
      <c r="C121" s="5" t="s">
        <v>322</v>
      </c>
      <c r="I121" s="6" t="str">
        <f>VLOOKUP(B121,'Lista Oficial'!E:E,1,FALSE)</f>
        <v>PROCTER &amp; GAMBLE COMPANY</v>
      </c>
    </row>
    <row r="122">
      <c r="A122" s="13" t="s">
        <v>316</v>
      </c>
      <c r="B122" s="4" t="s">
        <v>323</v>
      </c>
      <c r="C122" s="5" t="s">
        <v>324</v>
      </c>
      <c r="D122" s="5" t="s">
        <v>325</v>
      </c>
      <c r="I122" s="6" t="str">
        <f>VLOOKUP(B122,'Lista Oficial'!E:E,1,FALSE)</f>
        <v>Pepsico Inc</v>
      </c>
    </row>
    <row r="123">
      <c r="A123" s="13" t="s">
        <v>316</v>
      </c>
      <c r="B123" s="4" t="s">
        <v>326</v>
      </c>
      <c r="C123" s="5" t="s">
        <v>327</v>
      </c>
      <c r="D123" s="5" t="s">
        <v>328</v>
      </c>
      <c r="I123" s="6" t="str">
        <f>VLOOKUP(B123,'Lista Oficial'!E:E,1,FALSE)</f>
        <v>Colgate</v>
      </c>
    </row>
    <row r="124">
      <c r="A124" s="13" t="s">
        <v>316</v>
      </c>
      <c r="B124" s="4" t="s">
        <v>329</v>
      </c>
      <c r="C124" s="5" t="s">
        <v>330</v>
      </c>
      <c r="D124" s="5" t="s">
        <v>331</v>
      </c>
      <c r="I124" s="6" t="str">
        <f>VLOOKUP(B124,'Lista Oficial'!E:E,1,FALSE)</f>
        <v>Coca-Cola</v>
      </c>
    </row>
    <row r="125">
      <c r="A125" s="13" t="s">
        <v>316</v>
      </c>
      <c r="B125" s="14" t="s">
        <v>332</v>
      </c>
      <c r="C125" s="5" t="s">
        <v>333</v>
      </c>
      <c r="D125" s="5" t="s">
        <v>334</v>
      </c>
      <c r="I125" s="6" t="str">
        <f>VLOOKUP(B125,'Lista Oficial'!E:E,1,FALSE)</f>
        <v>#N/A</v>
      </c>
    </row>
    <row r="126">
      <c r="A126" s="13" t="s">
        <v>316</v>
      </c>
      <c r="B126" s="4" t="s">
        <v>335</v>
      </c>
      <c r="C126" s="5" t="s">
        <v>336</v>
      </c>
      <c r="D126" s="5" t="s">
        <v>337</v>
      </c>
      <c r="I126" s="6" t="str">
        <f>VLOOKUP(B126,'Lista Oficial'!E:E,1,FALSE)</f>
        <v>SÃO MARTINHO</v>
      </c>
    </row>
    <row r="127">
      <c r="A127" s="13" t="s">
        <v>316</v>
      </c>
      <c r="B127" s="4" t="s">
        <v>338</v>
      </c>
      <c r="C127" s="5" t="s">
        <v>339</v>
      </c>
      <c r="D127" s="5" t="s">
        <v>340</v>
      </c>
      <c r="I127" s="6" t="str">
        <f>VLOOKUP(B127,'Lista Oficial'!E:E,1,FALSE)</f>
        <v>MDIASBRANCO</v>
      </c>
    </row>
    <row r="128">
      <c r="A128" s="13" t="s">
        <v>316</v>
      </c>
      <c r="B128" s="4" t="s">
        <v>341</v>
      </c>
      <c r="C128" s="5" t="s">
        <v>342</v>
      </c>
      <c r="D128" s="5" t="s">
        <v>343</v>
      </c>
      <c r="I128" s="6" t="str">
        <f>VLOOKUP(B128,'Lista Oficial'!E:E,1,FALSE)</f>
        <v>CAMIL</v>
      </c>
    </row>
    <row r="129">
      <c r="A129" s="13" t="s">
        <v>316</v>
      </c>
      <c r="B129" s="4" t="s">
        <v>344</v>
      </c>
      <c r="C129" s="5" t="s">
        <v>345</v>
      </c>
      <c r="D129" s="5" t="s">
        <v>346</v>
      </c>
      <c r="I129" s="6" t="str">
        <f>VLOOKUP(B129,'Lista Oficial'!E:E,1,FALSE)</f>
        <v>BRASILAGRO</v>
      </c>
    </row>
    <row r="130">
      <c r="A130" s="13" t="s">
        <v>316</v>
      </c>
      <c r="B130" s="4" t="s">
        <v>347</v>
      </c>
      <c r="C130" s="5" t="s">
        <v>348</v>
      </c>
      <c r="D130" s="5" t="s">
        <v>349</v>
      </c>
      <c r="I130" s="6" t="str">
        <f>VLOOKUP(B130,'Lista Oficial'!E:E,1,FALSE)</f>
        <v>BIOSEV</v>
      </c>
    </row>
    <row r="131">
      <c r="A131" s="13" t="s">
        <v>316</v>
      </c>
      <c r="B131" s="4" t="s">
        <v>350</v>
      </c>
      <c r="C131" s="5" t="s">
        <v>351</v>
      </c>
      <c r="D131" s="5" t="s">
        <v>352</v>
      </c>
      <c r="E131" s="5" t="s">
        <v>353</v>
      </c>
      <c r="I131" s="6" t="str">
        <f>VLOOKUP(B131,'Lista Oficial'!E:E,1,FALSE)</f>
        <v>MINERVA</v>
      </c>
    </row>
    <row r="132">
      <c r="A132" s="13" t="s">
        <v>316</v>
      </c>
      <c r="B132" s="4" t="s">
        <v>354</v>
      </c>
      <c r="C132" s="5" t="s">
        <v>355</v>
      </c>
      <c r="I132" s="6" t="str">
        <f>VLOOKUP(B132,'Lista Oficial'!E:E,1,FALSE)</f>
        <v>VIVARA S.A.</v>
      </c>
    </row>
    <row r="133">
      <c r="A133" s="13" t="s">
        <v>316</v>
      </c>
      <c r="B133" s="4" t="s">
        <v>356</v>
      </c>
      <c r="C133" s="5" t="s">
        <v>357</v>
      </c>
      <c r="D133" s="5" t="s">
        <v>358</v>
      </c>
      <c r="I133" s="6" t="str">
        <f>VLOOKUP(B133,'Lista Oficial'!E:E,1,FALSE)</f>
        <v>Carrefour</v>
      </c>
    </row>
    <row r="134">
      <c r="A134" s="13" t="s">
        <v>316</v>
      </c>
      <c r="B134" s="4" t="s">
        <v>359</v>
      </c>
      <c r="C134" s="5" t="s">
        <v>360</v>
      </c>
      <c r="D134" s="5" t="s">
        <v>361</v>
      </c>
      <c r="E134" s="5" t="s">
        <v>362</v>
      </c>
      <c r="I134" s="6" t="str">
        <f>VLOOKUP(B134,'Lista Oficial'!E:E,1,FALSE)</f>
        <v>Pão de Açúcar</v>
      </c>
    </row>
    <row r="135">
      <c r="A135" s="13" t="s">
        <v>316</v>
      </c>
      <c r="B135" s="4" t="s">
        <v>363</v>
      </c>
      <c r="C135" s="5" t="s">
        <v>364</v>
      </c>
      <c r="D135" s="5" t="s">
        <v>365</v>
      </c>
      <c r="I135" s="6" t="str">
        <f>VLOOKUP(B135,'Lista Oficial'!E:E,1,FALSE)</f>
        <v>GRUPO NATURA</v>
      </c>
    </row>
    <row r="136">
      <c r="A136" s="13" t="s">
        <v>316</v>
      </c>
      <c r="B136" s="4" t="s">
        <v>366</v>
      </c>
      <c r="C136" s="5" t="s">
        <v>367</v>
      </c>
      <c r="D136" s="5" t="s">
        <v>368</v>
      </c>
      <c r="I136" s="6" t="str">
        <f>VLOOKUP(B136,'Lista Oficial'!E:E,1,FALSE)</f>
        <v>MARFRIG</v>
      </c>
    </row>
    <row r="137">
      <c r="A137" s="13" t="s">
        <v>316</v>
      </c>
      <c r="B137" s="4" t="s">
        <v>369</v>
      </c>
      <c r="C137" s="5" t="s">
        <v>370</v>
      </c>
      <c r="D137" s="5" t="s">
        <v>371</v>
      </c>
      <c r="I137" s="6" t="str">
        <f>VLOOKUP(B137,'Lista Oficial'!E:E,1,FALSE)</f>
        <v>JBS</v>
      </c>
    </row>
    <row r="138">
      <c r="A138" s="13" t="s">
        <v>316</v>
      </c>
      <c r="B138" s="4" t="s">
        <v>321</v>
      </c>
      <c r="C138" s="5" t="s">
        <v>372</v>
      </c>
      <c r="I138" s="6" t="str">
        <f>VLOOKUP(B138,'Lista Oficial'!E:E,1,FALSE)</f>
        <v>PROCTER &amp; GAMBLE COMPANY</v>
      </c>
    </row>
    <row r="139">
      <c r="A139" s="13" t="s">
        <v>316</v>
      </c>
      <c r="B139" s="4" t="s">
        <v>373</v>
      </c>
      <c r="C139" s="5" t="s">
        <v>374</v>
      </c>
      <c r="I139" s="6" t="str">
        <f>VLOOKUP(B139,'Lista Oficial'!E:E,1,FALSE)</f>
        <v>BRF</v>
      </c>
    </row>
    <row r="140">
      <c r="A140" s="15" t="s">
        <v>375</v>
      </c>
      <c r="B140" s="4" t="s">
        <v>376</v>
      </c>
      <c r="C140" s="5" t="s">
        <v>377</v>
      </c>
      <c r="D140" s="5" t="s">
        <v>378</v>
      </c>
      <c r="E140" s="5" t="s">
        <v>379</v>
      </c>
      <c r="F140" s="5" t="s">
        <v>380</v>
      </c>
      <c r="I140" s="6" t="str">
        <f>VLOOKUP(B140,'Lista Oficial'!E:E,1,FALSE)</f>
        <v>BRB BANCO</v>
      </c>
    </row>
    <row r="141">
      <c r="A141" s="15" t="s">
        <v>375</v>
      </c>
      <c r="B141" s="4" t="s">
        <v>381</v>
      </c>
      <c r="C141" s="5" t="s">
        <v>382</v>
      </c>
      <c r="D141" s="5" t="s">
        <v>383</v>
      </c>
      <c r="I141" s="6" t="str">
        <f>VLOOKUP(B141,'Lista Oficial'!E:E,1,FALSE)</f>
        <v>BATTISTELLA</v>
      </c>
    </row>
    <row r="142">
      <c r="A142" s="15" t="s">
        <v>375</v>
      </c>
      <c r="B142" s="4" t="s">
        <v>384</v>
      </c>
      <c r="C142" s="5" t="s">
        <v>385</v>
      </c>
      <c r="D142" s="5" t="s">
        <v>386</v>
      </c>
      <c r="I142" s="6" t="str">
        <f>VLOOKUP(B142,'Lista Oficial'!E:E,1,FALSE)</f>
        <v>BANPARA</v>
      </c>
    </row>
    <row r="143">
      <c r="A143" s="15" t="s">
        <v>375</v>
      </c>
      <c r="B143" s="4" t="s">
        <v>387</v>
      </c>
      <c r="C143" s="5" t="s">
        <v>388</v>
      </c>
      <c r="D143" s="5" t="s">
        <v>389</v>
      </c>
      <c r="I143" s="6" t="str">
        <f>VLOOKUP(B143,'Lista Oficial'!E:E,1,FALSE)</f>
        <v>Wells Fargo</v>
      </c>
    </row>
    <row r="144">
      <c r="A144" s="15" t="s">
        <v>375</v>
      </c>
      <c r="B144" s="4" t="s">
        <v>390</v>
      </c>
      <c r="C144" s="5" t="s">
        <v>391</v>
      </c>
      <c r="D144" s="5" t="s">
        <v>392</v>
      </c>
      <c r="I144" s="6" t="str">
        <f>VLOOKUP(B144,'Lista Oficial'!E:E,1,FALSE)</f>
        <v>Visa</v>
      </c>
    </row>
    <row r="145">
      <c r="A145" s="15" t="s">
        <v>375</v>
      </c>
      <c r="B145" s="4" t="s">
        <v>393</v>
      </c>
      <c r="C145" s="5" t="s">
        <v>394</v>
      </c>
      <c r="D145" s="5" t="s">
        <v>395</v>
      </c>
      <c r="I145" s="6" t="str">
        <f>VLOOKUP(B145,'Lista Oficial'!E:E,1,FALSE)</f>
        <v>Morgan Stanley</v>
      </c>
    </row>
    <row r="146">
      <c r="A146" s="15" t="s">
        <v>375</v>
      </c>
      <c r="B146" s="4" t="s">
        <v>396</v>
      </c>
      <c r="C146" s="5" t="s">
        <v>397</v>
      </c>
      <c r="D146" s="5" t="s">
        <v>398</v>
      </c>
      <c r="I146" s="6" t="str">
        <f>VLOOKUP(B146,'Lista Oficial'!E:E,1,FALSE)</f>
        <v>Mastercard</v>
      </c>
    </row>
    <row r="147">
      <c r="A147" s="15" t="s">
        <v>375</v>
      </c>
      <c r="B147" s="4" t="s">
        <v>399</v>
      </c>
      <c r="C147" s="5" t="s">
        <v>400</v>
      </c>
      <c r="D147" s="5" t="s">
        <v>401</v>
      </c>
      <c r="I147" s="6" t="str">
        <f>VLOOKUP(B147,'Lista Oficial'!E:E,1,FALSE)</f>
        <v>JPMorgan</v>
      </c>
    </row>
    <row r="148">
      <c r="A148" s="15" t="s">
        <v>375</v>
      </c>
      <c r="B148" s="4" t="s">
        <v>402</v>
      </c>
      <c r="C148" s="5" t="s">
        <v>403</v>
      </c>
      <c r="D148" s="5" t="s">
        <v>404</v>
      </c>
      <c r="I148" s="6" t="str">
        <f>VLOOKUP(B148,'Lista Oficial'!E:E,1,FALSE)</f>
        <v>Honeywell</v>
      </c>
    </row>
    <row r="149">
      <c r="A149" s="15" t="s">
        <v>375</v>
      </c>
      <c r="B149" s="4" t="s">
        <v>405</v>
      </c>
      <c r="C149" s="5" t="s">
        <v>406</v>
      </c>
      <c r="D149" s="5" t="s">
        <v>407</v>
      </c>
      <c r="I149" s="6" t="str">
        <f>VLOOKUP(B149,'Lista Oficial'!E:E,1,FALSE)</f>
        <v>GE</v>
      </c>
    </row>
    <row r="150">
      <c r="A150" s="15" t="s">
        <v>375</v>
      </c>
      <c r="B150" s="4" t="s">
        <v>408</v>
      </c>
      <c r="C150" s="5" t="s">
        <v>409</v>
      </c>
      <c r="D150" s="5" t="s">
        <v>410</v>
      </c>
      <c r="I150" s="6" t="str">
        <f>VLOOKUP(B150,'Lista Oficial'!E:E,1,FALSE)</f>
        <v>Goldman Sachs</v>
      </c>
    </row>
    <row r="151">
      <c r="A151" s="15" t="s">
        <v>375</v>
      </c>
      <c r="B151" s="4" t="s">
        <v>411</v>
      </c>
      <c r="C151" s="5" t="s">
        <v>412</v>
      </c>
      <c r="D151" s="5" t="s">
        <v>413</v>
      </c>
      <c r="I151" s="6" t="str">
        <f>VLOOKUP(B151,'Lista Oficial'!E:E,1,FALSE)</f>
        <v>Citigroup</v>
      </c>
    </row>
    <row r="152">
      <c r="A152" s="15" t="s">
        <v>375</v>
      </c>
      <c r="B152" s="4" t="s">
        <v>414</v>
      </c>
      <c r="C152" s="5" t="s">
        <v>415</v>
      </c>
      <c r="D152" s="5" t="s">
        <v>416</v>
      </c>
      <c r="I152" s="6" t="str">
        <f>VLOOKUP(B152,'Lista Oficial'!E:E,1,FALSE)</f>
        <v>Bank America</v>
      </c>
    </row>
    <row r="153">
      <c r="A153" s="15" t="s">
        <v>375</v>
      </c>
      <c r="B153" s="4" t="s">
        <v>417</v>
      </c>
      <c r="C153" s="5" t="s">
        <v>418</v>
      </c>
      <c r="D153" s="5" t="s">
        <v>419</v>
      </c>
      <c r="I153" s="6" t="str">
        <f>VLOOKUP(B153,'Lista Oficial'!E:E,1,FALSE)</f>
        <v>3M</v>
      </c>
    </row>
    <row r="154">
      <c r="A154" s="15" t="s">
        <v>375</v>
      </c>
      <c r="B154" s="4" t="s">
        <v>420</v>
      </c>
      <c r="C154" s="5" t="s">
        <v>421</v>
      </c>
      <c r="D154" s="5" t="s">
        <v>422</v>
      </c>
      <c r="I154" s="6" t="str">
        <f>VLOOKUP(B154,'Lista Oficial'!E:E,1,FALSE)</f>
        <v>SAO CARLOS</v>
      </c>
    </row>
    <row r="155">
      <c r="A155" s="15" t="s">
        <v>375</v>
      </c>
      <c r="B155" s="4" t="s">
        <v>423</v>
      </c>
      <c r="C155" s="5" t="s">
        <v>424</v>
      </c>
      <c r="D155" s="5" t="s">
        <v>425</v>
      </c>
      <c r="I155" s="6" t="str">
        <f>VLOOKUP(B155,'Lista Oficial'!E:E,1,FALSE)</f>
        <v>LOPES BRASIL</v>
      </c>
    </row>
    <row r="156">
      <c r="A156" s="15" t="s">
        <v>375</v>
      </c>
      <c r="B156" s="4" t="s">
        <v>426</v>
      </c>
      <c r="C156" s="5" t="s">
        <v>427</v>
      </c>
      <c r="D156" s="5" t="s">
        <v>428</v>
      </c>
      <c r="I156" s="6" t="str">
        <f>VLOOKUP(B156,'Lista Oficial'!E:E,1,FALSE)</f>
        <v>BMG</v>
      </c>
    </row>
    <row r="157">
      <c r="A157" s="15" t="s">
        <v>375</v>
      </c>
      <c r="B157" s="4" t="s">
        <v>429</v>
      </c>
      <c r="C157" s="5" t="s">
        <v>430</v>
      </c>
      <c r="D157" s="5" t="s">
        <v>431</v>
      </c>
      <c r="I157" s="6" t="str">
        <f>VLOOKUP(B157,'Lista Oficial'!E:E,1,FALSE)</f>
        <v>Gradiente</v>
      </c>
    </row>
    <row r="158">
      <c r="A158" s="15" t="s">
        <v>375</v>
      </c>
      <c r="B158" s="4" t="s">
        <v>432</v>
      </c>
      <c r="C158" s="5" t="s">
        <v>433</v>
      </c>
      <c r="D158" s="5" t="s">
        <v>434</v>
      </c>
      <c r="I158" s="6" t="str">
        <f>VLOOKUP(B158,'Lista Oficial'!E:E,1,FALSE)</f>
        <v>General Shopping</v>
      </c>
    </row>
    <row r="159">
      <c r="A159" s="15" t="s">
        <v>375</v>
      </c>
      <c r="B159" s="4" t="s">
        <v>435</v>
      </c>
      <c r="C159" s="5" t="s">
        <v>436</v>
      </c>
      <c r="D159" s="5" t="s">
        <v>437</v>
      </c>
      <c r="I159" s="6" t="str">
        <f>VLOOKUP(B159,'Lista Oficial'!E:E,1,FALSE)</f>
        <v>PORTO SEGURO</v>
      </c>
    </row>
    <row r="160">
      <c r="A160" s="15" t="s">
        <v>375</v>
      </c>
      <c r="B160" s="4" t="s">
        <v>438</v>
      </c>
      <c r="C160" s="5" t="s">
        <v>439</v>
      </c>
      <c r="D160" s="5" t="s">
        <v>440</v>
      </c>
      <c r="I160" s="6" t="str">
        <f>VLOOKUP(B160,'Lista Oficial'!E:E,1,FALSE)</f>
        <v>CSU CARDSYST</v>
      </c>
    </row>
    <row r="161">
      <c r="A161" s="15" t="s">
        <v>375</v>
      </c>
      <c r="B161" s="4" t="s">
        <v>441</v>
      </c>
      <c r="C161" s="5" t="s">
        <v>442</v>
      </c>
      <c r="D161" s="5" t="s">
        <v>443</v>
      </c>
      <c r="I161" s="6" t="str">
        <f>VLOOKUP(B161,'Lista Oficial'!E:E,1,FALSE)</f>
        <v>Brasil Brokers</v>
      </c>
    </row>
    <row r="162">
      <c r="A162" s="15" t="s">
        <v>375</v>
      </c>
      <c r="B162" s="4" t="s">
        <v>444</v>
      </c>
      <c r="C162" s="5" t="s">
        <v>445</v>
      </c>
      <c r="D162" s="5" t="s">
        <v>446</v>
      </c>
      <c r="I162" s="6" t="str">
        <f>VLOOKUP(B162,'Lista Oficial'!E:E,1,FALSE)</f>
        <v>BR Properties</v>
      </c>
    </row>
    <row r="163">
      <c r="A163" s="15" t="s">
        <v>375</v>
      </c>
      <c r="B163" s="4" t="s">
        <v>447</v>
      </c>
      <c r="C163" s="5" t="s">
        <v>448</v>
      </c>
      <c r="D163" s="5" t="s">
        <v>449</v>
      </c>
      <c r="E163" s="5" t="s">
        <v>450</v>
      </c>
      <c r="F163" s="5" t="s">
        <v>451</v>
      </c>
      <c r="G163" s="5" t="s">
        <v>452</v>
      </c>
      <c r="H163" s="5" t="s">
        <v>453</v>
      </c>
      <c r="I163" s="6" t="str">
        <f>VLOOKUP(B163,'Lista Oficial'!E:E,1,FALSE)</f>
        <v>BANRISUL</v>
      </c>
    </row>
    <row r="164">
      <c r="A164" s="15" t="s">
        <v>375</v>
      </c>
      <c r="B164" s="4" t="s">
        <v>454</v>
      </c>
      <c r="C164" s="5" t="s">
        <v>455</v>
      </c>
      <c r="D164" s="5" t="s">
        <v>456</v>
      </c>
      <c r="E164" s="5" t="s">
        <v>457</v>
      </c>
      <c r="I164" s="6" t="str">
        <f>VLOOKUP(B164,'Lista Oficial'!E:E,1,FALSE)</f>
        <v>BANCO INTER</v>
      </c>
    </row>
    <row r="165">
      <c r="A165" s="15" t="s">
        <v>375</v>
      </c>
      <c r="B165" s="4" t="s">
        <v>458</v>
      </c>
      <c r="C165" s="5" t="s">
        <v>459</v>
      </c>
      <c r="D165" s="5" t="s">
        <v>460</v>
      </c>
      <c r="E165" s="5" t="s">
        <v>461</v>
      </c>
      <c r="F165" s="5" t="s">
        <v>462</v>
      </c>
      <c r="G165" s="5" t="s">
        <v>463</v>
      </c>
      <c r="H165" s="5" t="s">
        <v>464</v>
      </c>
      <c r="I165" s="6" t="str">
        <f>VLOOKUP(B165,'Lista Oficial'!E:E,1,FALSE)</f>
        <v>SANTANDER BR</v>
      </c>
    </row>
    <row r="166">
      <c r="A166" s="15" t="s">
        <v>375</v>
      </c>
      <c r="B166" s="4" t="s">
        <v>465</v>
      </c>
      <c r="C166" s="5" t="s">
        <v>466</v>
      </c>
      <c r="D166" s="5" t="s">
        <v>467</v>
      </c>
      <c r="I166" s="6" t="str">
        <f>VLOOKUP(B166,'Lista Oficial'!E:E,1,FALSE)</f>
        <v>MULTIPLAN</v>
      </c>
    </row>
    <row r="167">
      <c r="A167" s="15" t="s">
        <v>375</v>
      </c>
      <c r="B167" s="4" t="s">
        <v>468</v>
      </c>
      <c r="C167" s="5" t="s">
        <v>469</v>
      </c>
      <c r="D167" s="5" t="s">
        <v>470</v>
      </c>
      <c r="E167" s="5" t="s">
        <v>471</v>
      </c>
      <c r="F167" s="5" t="s">
        <v>472</v>
      </c>
      <c r="I167" s="6" t="str">
        <f>VLOOKUP(B167,'Lista Oficial'!E:E,1,FALSE)</f>
        <v>Itaú Unibanco</v>
      </c>
    </row>
    <row r="168">
      <c r="A168" s="15" t="s">
        <v>375</v>
      </c>
      <c r="B168" s="4" t="s">
        <v>473</v>
      </c>
      <c r="C168" s="5" t="s">
        <v>474</v>
      </c>
      <c r="I168" s="6" t="str">
        <f>VLOOKUP(B168,'Lista Oficial'!E:E,1,FALSE)</f>
        <v>Aliansce Sonae</v>
      </c>
    </row>
    <row r="169">
      <c r="A169" s="15" t="s">
        <v>375</v>
      </c>
      <c r="B169" s="4" t="s">
        <v>475</v>
      </c>
      <c r="C169" s="5" t="s">
        <v>476</v>
      </c>
      <c r="I169" s="6" t="str">
        <f>VLOOKUP(B169,'Lista Oficial'!E:E,1,FALSE)</f>
        <v>Banco Mercantil de Investimentos</v>
      </c>
    </row>
    <row r="170">
      <c r="A170" s="15" t="s">
        <v>375</v>
      </c>
      <c r="B170" s="4" t="s">
        <v>477</v>
      </c>
      <c r="C170" s="5" t="s">
        <v>478</v>
      </c>
      <c r="I170" s="6" t="str">
        <f>VLOOKUP(B170,'Lista Oficial'!E:E,1,FALSE)</f>
        <v>Mercantil do Brasil Financeira</v>
      </c>
    </row>
    <row r="171">
      <c r="A171" s="15" t="s">
        <v>375</v>
      </c>
      <c r="B171" s="4" t="s">
        <v>479</v>
      </c>
      <c r="C171" s="5" t="s">
        <v>480</v>
      </c>
      <c r="I171" s="6" t="str">
        <f>VLOOKUP(B171,'Lista Oficial'!E:E,1,FALSE)</f>
        <v>LOG</v>
      </c>
    </row>
    <row r="172">
      <c r="A172" s="15" t="s">
        <v>375</v>
      </c>
      <c r="B172" s="4" t="s">
        <v>481</v>
      </c>
      <c r="C172" s="5" t="s">
        <v>482</v>
      </c>
      <c r="D172" s="5" t="s">
        <v>483</v>
      </c>
      <c r="E172" s="5" t="s">
        <v>484</v>
      </c>
      <c r="I172" s="6" t="str">
        <f>VLOOKUP(B172,'Lista Oficial'!E:E,1,FALSE)</f>
        <v>ITAÚSA</v>
      </c>
    </row>
    <row r="173">
      <c r="A173" s="15" t="s">
        <v>375</v>
      </c>
      <c r="B173" s="4" t="s">
        <v>485</v>
      </c>
      <c r="C173" s="5" t="s">
        <v>486</v>
      </c>
      <c r="I173" s="6" t="str">
        <f>VLOOKUP(B173,'Lista Oficial'!E:E,1,FALSE)</f>
        <v>IRB Brasil RE</v>
      </c>
    </row>
    <row r="174">
      <c r="A174" s="15" t="s">
        <v>375</v>
      </c>
      <c r="B174" s="4" t="s">
        <v>487</v>
      </c>
      <c r="C174" s="5" t="s">
        <v>488</v>
      </c>
      <c r="I174" s="6" t="str">
        <f>VLOOKUP(B174,'Lista Oficial'!E:E,1,FALSE)</f>
        <v>IGUATEMI</v>
      </c>
    </row>
    <row r="175">
      <c r="A175" s="15" t="s">
        <v>375</v>
      </c>
      <c r="B175" s="4" t="s">
        <v>489</v>
      </c>
      <c r="C175" s="5" t="s">
        <v>490</v>
      </c>
      <c r="D175" s="5" t="s">
        <v>491</v>
      </c>
      <c r="E175" s="5" t="s">
        <v>492</v>
      </c>
      <c r="I175" s="6" t="str">
        <f>VLOOKUP(B175,'Lista Oficial'!E:E,1,FALSE)</f>
        <v>BRADESCO</v>
      </c>
    </row>
    <row r="176">
      <c r="A176" s="15" t="s">
        <v>375</v>
      </c>
      <c r="B176" s="4" t="s">
        <v>493</v>
      </c>
      <c r="C176" s="5" t="s">
        <v>494</v>
      </c>
      <c r="I176" s="6" t="str">
        <f>VLOOKUP(B176,'Lista Oficial'!E:E,1,FALSE)</f>
        <v>brMalls</v>
      </c>
    </row>
    <row r="177">
      <c r="A177" s="15" t="s">
        <v>375</v>
      </c>
      <c r="B177" s="4" t="s">
        <v>495</v>
      </c>
      <c r="C177" s="5" t="s">
        <v>496</v>
      </c>
      <c r="D177" s="5" t="s">
        <v>497</v>
      </c>
      <c r="I177" s="6" t="str">
        <f>VLOOKUP(B177,'Lista Oficial'!E:E,1,FALSE)</f>
        <v>ALPER S.A.</v>
      </c>
    </row>
    <row r="178">
      <c r="A178" s="15" t="s">
        <v>375</v>
      </c>
      <c r="B178" s="4" t="s">
        <v>498</v>
      </c>
      <c r="C178" s="5" t="s">
        <v>499</v>
      </c>
      <c r="I178" s="6" t="str">
        <f>VLOOKUP(B178,'Lista Oficial'!E:E,1,FALSE)</f>
        <v>BB Seguridade</v>
      </c>
    </row>
    <row r="179">
      <c r="A179" s="15" t="s">
        <v>375</v>
      </c>
      <c r="B179" s="4" t="s">
        <v>147</v>
      </c>
      <c r="C179" s="5" t="s">
        <v>500</v>
      </c>
      <c r="I179" s="6" t="str">
        <f>VLOOKUP(B179,'Lista Oficial'!E:E,1,FALSE)</f>
        <v>BANCO PAN</v>
      </c>
    </row>
    <row r="180">
      <c r="A180" s="15" t="s">
        <v>375</v>
      </c>
      <c r="B180" s="4" t="s">
        <v>501</v>
      </c>
      <c r="C180" s="5" t="s">
        <v>502</v>
      </c>
      <c r="D180" s="5" t="s">
        <v>503</v>
      </c>
      <c r="E180" s="5" t="s">
        <v>504</v>
      </c>
      <c r="F180" s="5" t="s">
        <v>505</v>
      </c>
      <c r="I180" s="6" t="str">
        <f>VLOOKUP(B180,'Lista Oficial'!E:E,1,FALSE)</f>
        <v>Banco do Brasil</v>
      </c>
    </row>
    <row r="181">
      <c r="A181" s="15" t="s">
        <v>375</v>
      </c>
      <c r="B181" s="4" t="s">
        <v>66</v>
      </c>
      <c r="C181" s="5" t="s">
        <v>506</v>
      </c>
      <c r="I181" s="6" t="str">
        <f>VLOOKUP(B181,'Lista Oficial'!E:E,1,FALSE)</f>
        <v>American Express</v>
      </c>
    </row>
    <row r="182">
      <c r="A182" s="16" t="s">
        <v>507</v>
      </c>
      <c r="B182" s="4" t="s">
        <v>508</v>
      </c>
      <c r="C182" s="5" t="s">
        <v>509</v>
      </c>
      <c r="D182" s="5" t="s">
        <v>510</v>
      </c>
      <c r="I182" s="6" t="str">
        <f>VLOOKUP(B182,'Lista Oficial'!E:E,1,FALSE)</f>
        <v>#N/A</v>
      </c>
    </row>
    <row r="183">
      <c r="A183" s="16" t="s">
        <v>507</v>
      </c>
      <c r="B183" s="4" t="s">
        <v>511</v>
      </c>
      <c r="C183" s="5" t="s">
        <v>512</v>
      </c>
      <c r="D183" s="5" t="s">
        <v>513</v>
      </c>
      <c r="I183" s="6" t="str">
        <f>VLOOKUP(B183,'Lista Oficial'!E:E,1,FALSE)</f>
        <v>Freeport</v>
      </c>
    </row>
    <row r="184">
      <c r="A184" s="16" t="s">
        <v>507</v>
      </c>
      <c r="B184" s="4" t="s">
        <v>514</v>
      </c>
      <c r="C184" s="5" t="s">
        <v>515</v>
      </c>
      <c r="D184" s="5" t="s">
        <v>516</v>
      </c>
      <c r="I184" s="6" t="str">
        <f>VLOOKUP(B184,'Lista Oficial'!E:E,1,FALSE)</f>
        <v>PARANAPANEMA</v>
      </c>
    </row>
    <row r="185">
      <c r="A185" s="16" t="s">
        <v>507</v>
      </c>
      <c r="B185" s="4" t="s">
        <v>517</v>
      </c>
      <c r="C185" s="5" t="s">
        <v>518</v>
      </c>
      <c r="D185" s="5" t="s">
        <v>519</v>
      </c>
      <c r="E185" s="5" t="s">
        <v>520</v>
      </c>
      <c r="F185" s="5" t="s">
        <v>521</v>
      </c>
      <c r="I185" s="6" t="str">
        <f>VLOOKUP(B185,'Lista Oficial'!E:E,1,FALSE)</f>
        <v>FERBASA</v>
      </c>
    </row>
    <row r="186">
      <c r="A186" s="16" t="s">
        <v>507</v>
      </c>
      <c r="B186" s="4" t="s">
        <v>522</v>
      </c>
      <c r="C186" s="5" t="s">
        <v>523</v>
      </c>
      <c r="D186" s="5" t="s">
        <v>524</v>
      </c>
      <c r="E186" s="5" t="s">
        <v>525</v>
      </c>
      <c r="F186" s="5" t="s">
        <v>526</v>
      </c>
      <c r="I186" s="6" t="str">
        <f>VLOOKUP(B186,'Lista Oficial'!E:E,1,FALSE)</f>
        <v>EUCATEX</v>
      </c>
    </row>
    <row r="187">
      <c r="A187" s="16" t="s">
        <v>507</v>
      </c>
      <c r="B187" s="4" t="s">
        <v>527</v>
      </c>
      <c r="C187" s="5" t="s">
        <v>528</v>
      </c>
      <c r="D187" s="5" t="s">
        <v>529</v>
      </c>
      <c r="I187" s="6" t="str">
        <f>VLOOKUP(B187,'Lista Oficial'!E:E,1,FALSE)</f>
        <v>Suzano Papel</v>
      </c>
    </row>
    <row r="188">
      <c r="A188" s="16" t="s">
        <v>507</v>
      </c>
      <c r="B188" s="4" t="s">
        <v>530</v>
      </c>
      <c r="C188" s="5" t="s">
        <v>531</v>
      </c>
      <c r="D188" s="5" t="s">
        <v>532</v>
      </c>
      <c r="E188" s="5" t="s">
        <v>533</v>
      </c>
      <c r="F188" s="5" t="s">
        <v>534</v>
      </c>
      <c r="G188" s="5" t="s">
        <v>535</v>
      </c>
      <c r="H188" s="5" t="s">
        <v>536</v>
      </c>
      <c r="I188" s="6" t="str">
        <f>VLOOKUP(B188,'Lista Oficial'!E:E,1,FALSE)</f>
        <v>KLABIN S/A</v>
      </c>
    </row>
    <row r="189">
      <c r="A189" s="16" t="s">
        <v>507</v>
      </c>
      <c r="B189" s="4" t="s">
        <v>157</v>
      </c>
      <c r="C189" s="5" t="s">
        <v>537</v>
      </c>
      <c r="I189" s="6" t="str">
        <f>VLOOKUP(B189,'Lista Oficial'!E:E,1,FALSE)</f>
        <v>VALE</v>
      </c>
    </row>
    <row r="190">
      <c r="A190" s="16" t="s">
        <v>507</v>
      </c>
      <c r="B190" s="4" t="s">
        <v>111</v>
      </c>
      <c r="C190" s="5" t="s">
        <v>538</v>
      </c>
      <c r="D190" s="5" t="s">
        <v>539</v>
      </c>
      <c r="E190" s="5" t="s">
        <v>540</v>
      </c>
      <c r="F190" s="5" t="s">
        <v>541</v>
      </c>
      <c r="G190" s="5" t="s">
        <v>542</v>
      </c>
      <c r="I190" s="6" t="str">
        <f>VLOOKUP(B190,'Lista Oficial'!E:E,1,FALSE)</f>
        <v>UNIPAR</v>
      </c>
    </row>
    <row r="191">
      <c r="A191" s="16" t="s">
        <v>507</v>
      </c>
      <c r="B191" s="4" t="s">
        <v>102</v>
      </c>
      <c r="C191" s="5" t="s">
        <v>543</v>
      </c>
      <c r="D191" s="5" t="s">
        <v>544</v>
      </c>
      <c r="E191" s="5" t="s">
        <v>545</v>
      </c>
      <c r="I191" s="6" t="str">
        <f>VLOOKUP(B191,'Lista Oficial'!E:E,1,FALSE)</f>
        <v>Suzano Holding</v>
      </c>
    </row>
    <row r="192">
      <c r="A192" s="16" t="s">
        <v>507</v>
      </c>
      <c r="B192" s="4" t="s">
        <v>79</v>
      </c>
      <c r="C192" s="5" t="s">
        <v>546</v>
      </c>
      <c r="D192" s="5" t="s">
        <v>547</v>
      </c>
      <c r="I192" s="6" t="str">
        <f>VLOOKUP(B192,'Lista Oficial'!E:E,1,FALSE)</f>
        <v>MMX Mineração</v>
      </c>
    </row>
    <row r="193">
      <c r="A193" s="16" t="s">
        <v>507</v>
      </c>
      <c r="B193" s="4" t="s">
        <v>548</v>
      </c>
      <c r="C193" s="5" t="s">
        <v>549</v>
      </c>
      <c r="I193" s="6" t="str">
        <f>VLOOKUP(B193,'Lista Oficial'!E:E,1,FALSE)</f>
        <v>GERDAU</v>
      </c>
    </row>
    <row r="194">
      <c r="A194" s="16" t="s">
        <v>507</v>
      </c>
      <c r="B194" s="4" t="s">
        <v>550</v>
      </c>
      <c r="C194" s="5" t="s">
        <v>551</v>
      </c>
      <c r="D194" s="5" t="s">
        <v>552</v>
      </c>
      <c r="I194" s="6" t="str">
        <f>VLOOKUP(B194,'Lista Oficial'!E:E,1,FALSE)</f>
        <v>CSN</v>
      </c>
    </row>
    <row r="195">
      <c r="A195" s="16" t="s">
        <v>507</v>
      </c>
      <c r="B195" s="4" t="s">
        <v>553</v>
      </c>
      <c r="C195" s="5" t="s">
        <v>554</v>
      </c>
      <c r="I195" s="6" t="str">
        <f>VLOOKUP(B195,'Lista Oficial'!E:E,1,FALSE)</f>
        <v>Celulose Irani</v>
      </c>
    </row>
    <row r="196">
      <c r="A196" s="16" t="s">
        <v>507</v>
      </c>
      <c r="B196" s="4" t="s">
        <v>555</v>
      </c>
      <c r="C196" s="5" t="s">
        <v>556</v>
      </c>
      <c r="D196" s="5" t="s">
        <v>557</v>
      </c>
      <c r="E196" s="5" t="s">
        <v>558</v>
      </c>
      <c r="F196" s="5" t="s">
        <v>559</v>
      </c>
      <c r="I196" s="6" t="str">
        <f>VLOOKUP(B196,'Lista Oficial'!E:E,1,FALSE)</f>
        <v>BRASKEM</v>
      </c>
    </row>
    <row r="197">
      <c r="A197" s="16" t="s">
        <v>507</v>
      </c>
      <c r="B197" s="4" t="s">
        <v>560</v>
      </c>
      <c r="C197" s="5" t="s">
        <v>561</v>
      </c>
      <c r="D197" s="5" t="s">
        <v>562</v>
      </c>
      <c r="E197" s="5" t="s">
        <v>563</v>
      </c>
      <c r="F197" s="5" t="s">
        <v>564</v>
      </c>
      <c r="I197" s="6" t="str">
        <f>VLOOKUP(B197,'Lista Oficial'!E:E,1,FALSE)</f>
        <v>BRADESPAR</v>
      </c>
    </row>
    <row r="198">
      <c r="A198" s="16" t="s">
        <v>507</v>
      </c>
      <c r="B198" s="4" t="s">
        <v>64</v>
      </c>
      <c r="C198" s="5" t="s">
        <v>565</v>
      </c>
      <c r="I198" s="6" t="str">
        <f>VLOOKUP(B198,'Lista Oficial'!E:E,1,FALSE)</f>
        <v>ARCELORMITTAL</v>
      </c>
    </row>
    <row r="199">
      <c r="A199" s="17" t="s">
        <v>566</v>
      </c>
      <c r="B199" s="4" t="s">
        <v>567</v>
      </c>
      <c r="C199" s="5" t="s">
        <v>568</v>
      </c>
      <c r="D199" s="5" t="s">
        <v>569</v>
      </c>
      <c r="I199" s="6" t="str">
        <f>VLOOKUP(B199,'Lista Oficial'!E:E,1,FALSE)</f>
        <v>ZOETIS INC</v>
      </c>
    </row>
    <row r="200">
      <c r="A200" s="17" t="s">
        <v>566</v>
      </c>
      <c r="B200" s="4" t="s">
        <v>570</v>
      </c>
      <c r="C200" s="5" t="s">
        <v>571</v>
      </c>
      <c r="D200" s="5" t="s">
        <v>572</v>
      </c>
      <c r="I200" s="6" t="str">
        <f>VLOOKUP(B200,'Lista Oficial'!E:E,1,FALSE)</f>
        <v>Zionsbancorp</v>
      </c>
    </row>
    <row r="201">
      <c r="A201" s="17" t="s">
        <v>566</v>
      </c>
      <c r="B201" s="4" t="s">
        <v>573</v>
      </c>
      <c r="C201" s="5" t="s">
        <v>574</v>
      </c>
      <c r="D201" s="5" t="s">
        <v>575</v>
      </c>
      <c r="I201" s="6" t="str">
        <f>VLOOKUP(B201,'Lista Oficial'!E:E,1,FALSE)</f>
        <v>Zimmer Biome</v>
      </c>
    </row>
    <row r="202">
      <c r="A202" s="17" t="s">
        <v>566</v>
      </c>
      <c r="B202" s="4" t="s">
        <v>576</v>
      </c>
      <c r="C202" s="5" t="s">
        <v>577</v>
      </c>
      <c r="D202" s="5" t="s">
        <v>578</v>
      </c>
      <c r="I202" s="6" t="str">
        <f>VLOOKUP(B202,'Lista Oficial'!E:E,1,FALSE)</f>
        <v>Yum Brands</v>
      </c>
    </row>
    <row r="203">
      <c r="A203" s="17" t="s">
        <v>566</v>
      </c>
      <c r="B203" s="4" t="s">
        <v>579</v>
      </c>
      <c r="C203" s="5" t="s">
        <v>580</v>
      </c>
      <c r="D203" s="5" t="s">
        <v>581</v>
      </c>
      <c r="I203" s="6" t="str">
        <f>VLOOKUP(B203,'Lista Oficial'!E:E,1,FALSE)</f>
        <v>Dentsply Sir</v>
      </c>
    </row>
    <row r="204">
      <c r="A204" s="17" t="s">
        <v>566</v>
      </c>
      <c r="B204" s="4" t="s">
        <v>582</v>
      </c>
      <c r="C204" s="5" t="s">
        <v>583</v>
      </c>
      <c r="D204" s="5" t="s">
        <v>584</v>
      </c>
      <c r="I204" s="6" t="str">
        <f>VLOOKUP(B204,'Lista Oficial'!E:E,1,FALSE)</f>
        <v>Xylem Inc</v>
      </c>
    </row>
    <row r="205">
      <c r="A205" s="17" t="s">
        <v>566</v>
      </c>
      <c r="B205" s="4" t="s">
        <v>585</v>
      </c>
      <c r="C205" s="5" t="s">
        <v>586</v>
      </c>
      <c r="D205" s="5" t="s">
        <v>587</v>
      </c>
      <c r="I205" s="6" t="str">
        <f>VLOOKUP(B205,'Lista Oficial'!E:E,1,FALSE)</f>
        <v>Xilinx Inc</v>
      </c>
    </row>
    <row r="206">
      <c r="A206" s="17" t="s">
        <v>566</v>
      </c>
      <c r="B206" s="4" t="s">
        <v>588</v>
      </c>
      <c r="C206" s="5" t="s">
        <v>589</v>
      </c>
      <c r="D206" s="5" t="s">
        <v>590</v>
      </c>
      <c r="I206" s="6" t="str">
        <f>VLOOKUP(B206,'Lista Oficial'!E:E,1,FALSE)</f>
        <v>Xcel Energy</v>
      </c>
    </row>
    <row r="207">
      <c r="A207" s="17" t="s">
        <v>566</v>
      </c>
      <c r="B207" s="4" t="s">
        <v>591</v>
      </c>
      <c r="C207" s="5" t="s">
        <v>592</v>
      </c>
      <c r="D207" s="5" t="s">
        <v>593</v>
      </c>
      <c r="I207" s="6" t="str">
        <f>VLOOKUP(B207,'Lista Oficial'!E:E,1,FALSE)</f>
        <v>Westernunion</v>
      </c>
    </row>
    <row r="208">
      <c r="A208" s="17" t="s">
        <v>566</v>
      </c>
      <c r="B208" s="4" t="s">
        <v>594</v>
      </c>
      <c r="C208" s="5" t="s">
        <v>595</v>
      </c>
      <c r="D208" s="5" t="s">
        <v>596</v>
      </c>
      <c r="I208" s="6" t="str">
        <f>VLOOKUP(B208,'Lista Oficial'!E:E,1,FALSE)</f>
        <v>Walgreens</v>
      </c>
    </row>
    <row r="209">
      <c r="A209" s="17" t="s">
        <v>566</v>
      </c>
      <c r="B209" s="4" t="s">
        <v>597</v>
      </c>
      <c r="C209" s="5" t="s">
        <v>598</v>
      </c>
      <c r="D209" s="5" t="s">
        <v>599</v>
      </c>
      <c r="I209" s="6" t="str">
        <f>VLOOKUP(B209,'Lista Oficial'!E:E,1,FALSE)</f>
        <v>Waters Corp</v>
      </c>
    </row>
    <row r="210">
      <c r="A210" s="17" t="s">
        <v>566</v>
      </c>
      <c r="B210" s="4" t="s">
        <v>600</v>
      </c>
      <c r="C210" s="5" t="s">
        <v>601</v>
      </c>
      <c r="D210" s="5" t="s">
        <v>602</v>
      </c>
      <c r="I210" s="6" t="str">
        <f>VLOOKUP(B210,'Lista Oficial'!E:E,1,FALSE)</f>
        <v>Western Bcor</v>
      </c>
    </row>
    <row r="211">
      <c r="A211" s="17" t="s">
        <v>566</v>
      </c>
      <c r="B211" s="4" t="s">
        <v>603</v>
      </c>
      <c r="C211" s="5" t="s">
        <v>604</v>
      </c>
      <c r="D211" s="5" t="s">
        <v>605</v>
      </c>
      <c r="I211" s="6" t="str">
        <f>VLOOKUP(B211,'Lista Oficial'!E:E,1,FALSE)</f>
        <v>Wynn Resorts</v>
      </c>
    </row>
    <row r="212">
      <c r="A212" s="17" t="s">
        <v>566</v>
      </c>
      <c r="B212" s="4" t="s">
        <v>606</v>
      </c>
      <c r="C212" s="5" t="s">
        <v>607</v>
      </c>
      <c r="D212" s="5" t="s">
        <v>608</v>
      </c>
      <c r="I212" s="6" t="str">
        <f>VLOOKUP(B212,'Lista Oficial'!E:E,1,FALSE)</f>
        <v>Weyerhaeuser</v>
      </c>
    </row>
    <row r="213">
      <c r="A213" s="17" t="s">
        <v>566</v>
      </c>
      <c r="B213" s="4" t="s">
        <v>609</v>
      </c>
      <c r="C213" s="5" t="s">
        <v>610</v>
      </c>
      <c r="D213" s="5" t="s">
        <v>611</v>
      </c>
      <c r="I213" s="6" t="str">
        <f>VLOOKUP(B213,'Lista Oficial'!E:E,1,FALSE)</f>
        <v>Westrock Co</v>
      </c>
    </row>
    <row r="214">
      <c r="A214" s="17" t="s">
        <v>566</v>
      </c>
      <c r="B214" s="4" t="s">
        <v>612</v>
      </c>
      <c r="C214" s="5" t="s">
        <v>613</v>
      </c>
      <c r="D214" s="5" t="s">
        <v>614</v>
      </c>
      <c r="I214" s="6" t="str">
        <f>VLOOKUP(B214,'Lista Oficial'!E:E,1,FALSE)</f>
        <v>Waste Manag</v>
      </c>
    </row>
    <row r="215">
      <c r="A215" s="17" t="s">
        <v>566</v>
      </c>
      <c r="B215" s="4" t="s">
        <v>615</v>
      </c>
      <c r="C215" s="5" t="s">
        <v>616</v>
      </c>
      <c r="D215" s="5" t="s">
        <v>617</v>
      </c>
      <c r="I215" s="6" t="str">
        <f>VLOOKUP(B215,'Lista Oficial'!E:E,1,FALSE)</f>
        <v>Williams Cos</v>
      </c>
    </row>
    <row r="216">
      <c r="A216" s="17" t="s">
        <v>566</v>
      </c>
      <c r="B216" s="4" t="s">
        <v>618</v>
      </c>
      <c r="C216" s="5" t="s">
        <v>619</v>
      </c>
      <c r="D216" s="5" t="s">
        <v>620</v>
      </c>
      <c r="I216" s="6" t="str">
        <f>VLOOKUP(B216,'Lista Oficial'!E:E,1,FALSE)</f>
        <v>Willis Tower</v>
      </c>
    </row>
    <row r="217">
      <c r="A217" s="17" t="s">
        <v>566</v>
      </c>
      <c r="B217" s="4" t="s">
        <v>621</v>
      </c>
      <c r="C217" s="5" t="s">
        <v>622</v>
      </c>
      <c r="D217" s="5" t="s">
        <v>623</v>
      </c>
      <c r="I217" s="6" t="str">
        <f>VLOOKUP(B217,'Lista Oficial'!E:E,1,FALSE)</f>
        <v>Whirlpool Co</v>
      </c>
    </row>
    <row r="218">
      <c r="A218" s="17" t="s">
        <v>566</v>
      </c>
      <c r="B218" s="4" t="s">
        <v>624</v>
      </c>
      <c r="C218" s="5" t="s">
        <v>625</v>
      </c>
      <c r="D218" s="5" t="s">
        <v>626</v>
      </c>
      <c r="I218" s="6" t="str">
        <f>VLOOKUP(B218,'Lista Oficial'!E:E,1,FALSE)</f>
        <v>Welltower In</v>
      </c>
    </row>
    <row r="219">
      <c r="A219" s="17" t="s">
        <v>566</v>
      </c>
      <c r="B219" s="4" t="s">
        <v>627</v>
      </c>
      <c r="C219" s="5" t="s">
        <v>628</v>
      </c>
      <c r="D219" s="5" t="s">
        <v>629</v>
      </c>
      <c r="I219" s="6" t="str">
        <f>VLOOKUP(B219,'Lista Oficial'!E:E,1,FALSE)</f>
        <v>Wec Energy G</v>
      </c>
    </row>
    <row r="220">
      <c r="A220" s="17" t="s">
        <v>566</v>
      </c>
      <c r="B220" s="4" t="s">
        <v>630</v>
      </c>
      <c r="C220" s="5" t="s">
        <v>631</v>
      </c>
      <c r="D220" s="5" t="s">
        <v>632</v>
      </c>
      <c r="I220" s="6" t="str">
        <f>VLOOKUP(B220,'Lista Oficial'!E:E,1,FALSE)</f>
        <v>Western Dig</v>
      </c>
    </row>
    <row r="221">
      <c r="A221" s="17" t="s">
        <v>566</v>
      </c>
      <c r="B221" s="4" t="s">
        <v>633</v>
      </c>
      <c r="C221" s="5" t="s">
        <v>634</v>
      </c>
      <c r="D221" s="5" t="s">
        <v>635</v>
      </c>
      <c r="I221" s="6" t="str">
        <f>VLOOKUP(B221,'Lista Oficial'!E:E,1,FALSE)</f>
        <v>Workday Inc</v>
      </c>
    </row>
    <row r="222">
      <c r="A222" s="17" t="s">
        <v>566</v>
      </c>
      <c r="B222" s="4" t="s">
        <v>636</v>
      </c>
      <c r="C222" s="5" t="s">
        <v>637</v>
      </c>
      <c r="D222" s="5" t="s">
        <v>638</v>
      </c>
      <c r="I222" s="6" t="str">
        <f>VLOOKUP(B222,'Lista Oficial'!E:E,1,FALSE)</f>
        <v>Wabtec Corp</v>
      </c>
    </row>
    <row r="223">
      <c r="A223" s="17" t="s">
        <v>566</v>
      </c>
      <c r="B223" s="4" t="s">
        <v>639</v>
      </c>
      <c r="C223" s="5" t="s">
        <v>640</v>
      </c>
      <c r="D223" s="5" t="s">
        <v>641</v>
      </c>
      <c r="I223" s="6" t="str">
        <f>VLOOKUP(B223,'Lista Oficial'!E:E,1,FALSE)</f>
        <v>Vertex Pharm</v>
      </c>
    </row>
    <row r="224">
      <c r="A224" s="17" t="s">
        <v>566</v>
      </c>
      <c r="B224" s="4" t="s">
        <v>642</v>
      </c>
      <c r="C224" s="5" t="s">
        <v>643</v>
      </c>
      <c r="D224" s="5" t="s">
        <v>644</v>
      </c>
      <c r="I224" s="6" t="str">
        <f>VLOOKUP(B224,'Lista Oficial'!E:E,1,FALSE)</f>
        <v>Verising Inc</v>
      </c>
    </row>
    <row r="225">
      <c r="A225" s="17" t="s">
        <v>566</v>
      </c>
      <c r="B225" s="4" t="s">
        <v>645</v>
      </c>
      <c r="C225" s="5" t="s">
        <v>646</v>
      </c>
      <c r="D225" s="5" t="s">
        <v>647</v>
      </c>
      <c r="I225" s="6" t="str">
        <f>VLOOKUP(B225,'Lista Oficial'!E:E,1,FALSE)</f>
        <v>Valley Ntion</v>
      </c>
    </row>
    <row r="226">
      <c r="A226" s="17" t="s">
        <v>566</v>
      </c>
      <c r="B226" s="4" t="s">
        <v>648</v>
      </c>
      <c r="C226" s="5" t="s">
        <v>649</v>
      </c>
      <c r="D226" s="5" t="s">
        <v>650</v>
      </c>
      <c r="I226" s="6" t="str">
        <f>VLOOKUP(B226,'Lista Oficial'!E:E,1,FALSE)</f>
        <v>Valero Ener</v>
      </c>
    </row>
    <row r="227">
      <c r="A227" s="17" t="s">
        <v>566</v>
      </c>
      <c r="B227" s="4" t="s">
        <v>651</v>
      </c>
      <c r="C227" s="5" t="s">
        <v>652</v>
      </c>
      <c r="D227" s="5" t="s">
        <v>653</v>
      </c>
      <c r="I227" s="6" t="str">
        <f>VLOOKUP(B227,'Lista Oficial'!E:E,1,FALSE)</f>
        <v>VF Corp</v>
      </c>
    </row>
    <row r="228">
      <c r="A228" s="17" t="s">
        <v>566</v>
      </c>
      <c r="B228" s="4" t="s">
        <v>654</v>
      </c>
      <c r="C228" s="5" t="s">
        <v>655</v>
      </c>
      <c r="D228" s="5" t="s">
        <v>656</v>
      </c>
      <c r="I228" s="6" t="str">
        <f>VLOOKUP(B228,'Lista Oficial'!E:E,1,FALSE)</f>
        <v>Ventas Inc</v>
      </c>
    </row>
    <row r="229">
      <c r="A229" s="17" t="s">
        <v>566</v>
      </c>
      <c r="B229" s="4" t="s">
        <v>657</v>
      </c>
      <c r="C229" s="5" t="s">
        <v>658</v>
      </c>
      <c r="D229" s="5" t="s">
        <v>659</v>
      </c>
      <c r="I229" s="6" t="str">
        <f>VLOOKUP(B229,'Lista Oficial'!E:E,1,FALSE)</f>
        <v>Verisk Analy</v>
      </c>
    </row>
    <row r="230">
      <c r="A230" s="17" t="s">
        <v>566</v>
      </c>
      <c r="B230" s="4" t="s">
        <v>660</v>
      </c>
      <c r="C230" s="5" t="s">
        <v>661</v>
      </c>
      <c r="D230" s="5" t="s">
        <v>662</v>
      </c>
      <c r="I230" s="6" t="str">
        <f>VLOOKUP(B230,'Lista Oficial'!E:E,1,FALSE)</f>
        <v>Vornado Real</v>
      </c>
    </row>
    <row r="231">
      <c r="A231" s="17" t="s">
        <v>566</v>
      </c>
      <c r="B231" s="4" t="s">
        <v>663</v>
      </c>
      <c r="C231" s="5" t="s">
        <v>664</v>
      </c>
      <c r="D231" s="5" t="s">
        <v>665</v>
      </c>
      <c r="I231" s="6" t="str">
        <f>VLOOKUP(B231,'Lista Oficial'!E:E,1,FALSE)</f>
        <v>Vulcan Mater</v>
      </c>
    </row>
    <row r="232">
      <c r="A232" s="17" t="s">
        <v>566</v>
      </c>
      <c r="B232" s="4" t="s">
        <v>666</v>
      </c>
      <c r="C232" s="5" t="s">
        <v>667</v>
      </c>
      <c r="D232" s="5" t="s">
        <v>668</v>
      </c>
      <c r="I232" s="6" t="str">
        <f>VLOOKUP(B232,'Lista Oficial'!E:E,1,FALSE)</f>
        <v>Varian Medic</v>
      </c>
    </row>
    <row r="233">
      <c r="A233" s="17" t="s">
        <v>566</v>
      </c>
      <c r="B233" s="4" t="s">
        <v>669</v>
      </c>
      <c r="C233" s="5" t="s">
        <v>670</v>
      </c>
      <c r="I233" s="6" t="str">
        <f>VLOOKUP(B233,'Lista Oficial'!E:E,1,FALSE)</f>
        <v>US Steel</v>
      </c>
    </row>
    <row r="234">
      <c r="A234" s="17" t="s">
        <v>566</v>
      </c>
      <c r="B234" s="4" t="s">
        <v>671</v>
      </c>
      <c r="C234" s="5" t="s">
        <v>672</v>
      </c>
      <c r="D234" s="5" t="s">
        <v>673</v>
      </c>
      <c r="I234" s="6" t="str">
        <f>VLOOKUP(B234,'Lista Oficial'!E:E,1,FALSE)</f>
        <v>Us Bancorp</v>
      </c>
    </row>
    <row r="235">
      <c r="A235" s="17" t="s">
        <v>566</v>
      </c>
      <c r="B235" s="4" t="s">
        <v>674</v>
      </c>
      <c r="C235" s="5" t="s">
        <v>675</v>
      </c>
      <c r="D235" s="5" t="s">
        <v>676</v>
      </c>
      <c r="I235" s="6" t="str">
        <f>VLOOKUP(B235,'Lista Oficial'!E:E,1,FALSE)</f>
        <v>Unionpacific</v>
      </c>
    </row>
    <row r="236">
      <c r="A236" s="17" t="s">
        <v>566</v>
      </c>
      <c r="B236" s="4" t="s">
        <v>677</v>
      </c>
      <c r="C236" s="5" t="s">
        <v>678</v>
      </c>
      <c r="D236" s="5" t="s">
        <v>679</v>
      </c>
      <c r="I236" s="6" t="str">
        <f>VLOOKUP(B236,'Lista Oficial'!E:E,1,FALSE)</f>
        <v>Unitedhealth</v>
      </c>
    </row>
    <row r="237">
      <c r="A237" s="17" t="s">
        <v>566</v>
      </c>
      <c r="B237" s="4" t="s">
        <v>680</v>
      </c>
      <c r="C237" s="5" t="s">
        <v>681</v>
      </c>
      <c r="D237" s="5" t="s">
        <v>682</v>
      </c>
      <c r="I237" s="6" t="str">
        <f>VLOOKUP(B237,'Lista Oficial'!E:E,1,FALSE)</f>
        <v>Unilever</v>
      </c>
    </row>
    <row r="238">
      <c r="A238" s="17" t="s">
        <v>566</v>
      </c>
      <c r="B238" s="4" t="s">
        <v>683</v>
      </c>
      <c r="C238" s="5" t="s">
        <v>684</v>
      </c>
      <c r="D238" s="5" t="s">
        <v>685</v>
      </c>
      <c r="I238" s="6" t="str">
        <f>VLOOKUP(B238,'Lista Oficial'!E:E,1,FALSE)</f>
        <v>Ubs Group</v>
      </c>
    </row>
    <row r="239">
      <c r="A239" s="17" t="s">
        <v>566</v>
      </c>
      <c r="B239" s="4" t="s">
        <v>686</v>
      </c>
      <c r="C239" s="5" t="s">
        <v>687</v>
      </c>
      <c r="D239" s="5" t="s">
        <v>688</v>
      </c>
      <c r="I239" s="6" t="str">
        <f>VLOOKUP(B239,'Lista Oficial'!E:E,1,FALSE)</f>
        <v>United Rentals</v>
      </c>
    </row>
    <row r="240">
      <c r="A240" s="17" t="s">
        <v>566</v>
      </c>
      <c r="B240" s="4" t="s">
        <v>689</v>
      </c>
      <c r="C240" s="5" t="s">
        <v>690</v>
      </c>
      <c r="D240" s="5" t="s">
        <v>691</v>
      </c>
      <c r="I240" s="6" t="str">
        <f>VLOOKUP(B240,'Lista Oficial'!E:E,1,FALSE)</f>
        <v>Unum Group</v>
      </c>
    </row>
    <row r="241">
      <c r="A241" s="17" t="s">
        <v>566</v>
      </c>
      <c r="B241" s="4" t="s">
        <v>692</v>
      </c>
      <c r="C241" s="5" t="s">
        <v>693</v>
      </c>
      <c r="D241" s="5" t="s">
        <v>694</v>
      </c>
      <c r="I241" s="6" t="str">
        <f>VLOOKUP(B241,'Lista Oficial'!E:E,1,FALSE)</f>
        <v>Ulta Beauty</v>
      </c>
    </row>
    <row r="242">
      <c r="A242" s="17" t="s">
        <v>566</v>
      </c>
      <c r="B242" s="4" t="s">
        <v>695</v>
      </c>
      <c r="C242" s="5" t="s">
        <v>696</v>
      </c>
      <c r="D242" s="5" t="s">
        <v>697</v>
      </c>
      <c r="I242" s="6" t="str">
        <f>VLOOKUP(B242,'Lista Oficial'!E:E,1,FALSE)</f>
        <v>Universal Health</v>
      </c>
    </row>
    <row r="243">
      <c r="A243" s="17" t="s">
        <v>566</v>
      </c>
      <c r="B243" s="4" t="s">
        <v>698</v>
      </c>
      <c r="C243" s="5" t="s">
        <v>699</v>
      </c>
      <c r="D243" s="5" t="s">
        <v>700</v>
      </c>
      <c r="I243" s="6" t="str">
        <f>VLOOKUP(B243,'Lista Oficial'!E:E,1,FALSE)</f>
        <v>Udr Inc</v>
      </c>
    </row>
    <row r="244">
      <c r="A244" s="17" t="s">
        <v>566</v>
      </c>
      <c r="B244" s="4" t="s">
        <v>701</v>
      </c>
      <c r="C244" s="5" t="s">
        <v>702</v>
      </c>
      <c r="D244" s="5" t="s">
        <v>703</v>
      </c>
      <c r="I244" s="6" t="str">
        <f>VLOOKUP(B244,'Lista Oficial'!E:E,1,FALSE)</f>
        <v>Uber</v>
      </c>
    </row>
    <row r="245">
      <c r="A245" s="17" t="s">
        <v>566</v>
      </c>
      <c r="B245" s="4" t="s">
        <v>704</v>
      </c>
      <c r="C245" s="5" t="s">
        <v>705</v>
      </c>
      <c r="D245" s="5" t="s">
        <v>706</v>
      </c>
      <c r="I245" s="6" t="str">
        <f>VLOOKUP(B245,'Lista Oficial'!E:E,1,FALSE)</f>
        <v>United Airlines</v>
      </c>
    </row>
    <row r="246">
      <c r="A246" s="17" t="s">
        <v>566</v>
      </c>
      <c r="B246" s="4" t="s">
        <v>707</v>
      </c>
      <c r="C246" s="5" t="s">
        <v>708</v>
      </c>
      <c r="D246" s="5" t="s">
        <v>709</v>
      </c>
      <c r="I246" s="6" t="str">
        <f>VLOOKUP(B246,'Lista Oficial'!E:E,1,FALSE)</f>
        <v>Under Armour</v>
      </c>
    </row>
    <row r="247">
      <c r="A247" s="17" t="s">
        <v>566</v>
      </c>
      <c r="B247" s="4" t="s">
        <v>710</v>
      </c>
      <c r="C247" s="5" t="s">
        <v>711</v>
      </c>
      <c r="D247" s="5" t="s">
        <v>712</v>
      </c>
      <c r="I247" s="6" t="str">
        <f>VLOOKUP(B247,'Lista Oficial'!E:E,1,FALSE)</f>
        <v>Ternium sa</v>
      </c>
    </row>
    <row r="248">
      <c r="A248" s="17" t="s">
        <v>566</v>
      </c>
      <c r="B248" s="4" t="s">
        <v>713</v>
      </c>
      <c r="C248" s="5" t="s">
        <v>714</v>
      </c>
      <c r="D248" s="5" t="s">
        <v>715</v>
      </c>
      <c r="I248" s="6" t="str">
        <f>VLOOKUP(B248,'Lista Oficial'!E:E,1,FALSE)</f>
        <v>Twitter</v>
      </c>
    </row>
    <row r="249">
      <c r="A249" s="17" t="s">
        <v>566</v>
      </c>
      <c r="B249" s="4" t="s">
        <v>716</v>
      </c>
      <c r="C249" s="5" t="s">
        <v>717</v>
      </c>
      <c r="I249" s="6" t="str">
        <f>VLOOKUP(B249,'Lista Oficial'!E:E,1,FALSE)</f>
        <v>Tyson Foods</v>
      </c>
    </row>
    <row r="250">
      <c r="A250" s="18" t="s">
        <v>718</v>
      </c>
      <c r="B250" s="4" t="s">
        <v>719</v>
      </c>
      <c r="C250" s="5" t="s">
        <v>720</v>
      </c>
      <c r="D250" s="5" t="s">
        <v>721</v>
      </c>
      <c r="I250" s="6" t="str">
        <f>VLOOKUP(B250,'Lista Oficial'!E:E,1,FALSE)</f>
        <v>Schlumberger</v>
      </c>
    </row>
    <row r="251">
      <c r="A251" s="18" t="s">
        <v>718</v>
      </c>
      <c r="B251" s="4" t="s">
        <v>722</v>
      </c>
      <c r="C251" s="5" t="s">
        <v>723</v>
      </c>
      <c r="D251" s="5" t="s">
        <v>724</v>
      </c>
      <c r="I251" s="6" t="str">
        <f>VLOOKUP(B251,'Lista Oficial'!E:E,1,FALSE)</f>
        <v>Halliburton</v>
      </c>
    </row>
    <row r="252">
      <c r="A252" s="18" t="s">
        <v>718</v>
      </c>
      <c r="B252" s="4" t="s">
        <v>725</v>
      </c>
      <c r="C252" s="5" t="s">
        <v>726</v>
      </c>
      <c r="D252" s="5" t="s">
        <v>726</v>
      </c>
      <c r="I252" s="6" t="str">
        <f>VLOOKUP(B252,'Lista Oficial'!E:E,1,FALSE)</f>
        <v>Cophillips</v>
      </c>
    </row>
    <row r="253">
      <c r="A253" s="18" t="s">
        <v>718</v>
      </c>
      <c r="B253" s="4" t="s">
        <v>727</v>
      </c>
      <c r="C253" s="5" t="s">
        <v>728</v>
      </c>
      <c r="D253" s="5" t="s">
        <v>729</v>
      </c>
      <c r="I253" s="6" t="str">
        <f>VLOOKUP(B253,'Lista Oficial'!E:E,1,FALSE)</f>
        <v>Chevron</v>
      </c>
    </row>
    <row r="254">
      <c r="A254" s="18" t="s">
        <v>718</v>
      </c>
      <c r="B254" s="4" t="s">
        <v>730</v>
      </c>
      <c r="C254" s="5" t="s">
        <v>731</v>
      </c>
      <c r="D254" s="5" t="s">
        <v>732</v>
      </c>
      <c r="I254" s="6" t="str">
        <f>VLOOKUP(B254,'Lista Oficial'!E:E,1,FALSE)</f>
        <v>PETRORIO</v>
      </c>
    </row>
    <row r="255">
      <c r="A255" s="18" t="s">
        <v>718</v>
      </c>
      <c r="B255" s="4" t="s">
        <v>733</v>
      </c>
      <c r="C255" s="5" t="s">
        <v>734</v>
      </c>
      <c r="D255" s="5" t="s">
        <v>735</v>
      </c>
      <c r="I255" s="6" t="str">
        <f>VLOOKUP(B255,'Lista Oficial'!E:E,1,FALSE)</f>
        <v>OSX BRASIL</v>
      </c>
    </row>
    <row r="256">
      <c r="A256" s="18" t="s">
        <v>718</v>
      </c>
      <c r="B256" s="4" t="s">
        <v>736</v>
      </c>
      <c r="C256" s="5" t="s">
        <v>737</v>
      </c>
      <c r="D256" s="5" t="s">
        <v>738</v>
      </c>
      <c r="E256" s="5" t="s">
        <v>739</v>
      </c>
      <c r="I256" s="6" t="str">
        <f>VLOOKUP(B256,'Lista Oficial'!E:E,1,FALSE)</f>
        <v>DOMMO</v>
      </c>
    </row>
    <row r="257">
      <c r="A257" s="18" t="s">
        <v>718</v>
      </c>
      <c r="B257" s="4" t="s">
        <v>740</v>
      </c>
      <c r="C257" s="5" t="s">
        <v>741</v>
      </c>
      <c r="D257" s="5" t="s">
        <v>742</v>
      </c>
      <c r="I257" s="6" t="str">
        <f>VLOOKUP(B257,'Lista Oficial'!E:E,1,FALSE)</f>
        <v>PET MANGUINHOS</v>
      </c>
    </row>
    <row r="258">
      <c r="A258" s="18" t="s">
        <v>718</v>
      </c>
      <c r="B258" s="4" t="s">
        <v>743</v>
      </c>
      <c r="C258" s="5" t="s">
        <v>744</v>
      </c>
      <c r="D258" s="5" t="s">
        <v>745</v>
      </c>
      <c r="I258" s="6" t="str">
        <f>VLOOKUP(B258,'Lista Oficial'!E:E,1,FALSE)</f>
        <v>ULTRAPAR</v>
      </c>
    </row>
    <row r="259">
      <c r="A259" s="18" t="s">
        <v>718</v>
      </c>
      <c r="B259" s="4" t="s">
        <v>746</v>
      </c>
      <c r="C259" s="5" t="s">
        <v>747</v>
      </c>
      <c r="D259" s="5" t="s">
        <v>748</v>
      </c>
      <c r="E259" s="5" t="s">
        <v>749</v>
      </c>
      <c r="F259" s="5" t="s">
        <v>750</v>
      </c>
      <c r="I259" s="6" t="str">
        <f>VLOOKUP(B259,'Lista Oficial'!E:E,1,FALSE)</f>
        <v>PETROBRAS</v>
      </c>
    </row>
    <row r="260">
      <c r="A260" s="18" t="s">
        <v>718</v>
      </c>
      <c r="B260" s="4" t="s">
        <v>751</v>
      </c>
      <c r="C260" s="5" t="s">
        <v>752</v>
      </c>
      <c r="I260" s="6" t="str">
        <f>VLOOKUP(B260,'Lista Oficial'!E:E,1,FALSE)</f>
        <v>Petrobras Distribuidora</v>
      </c>
    </row>
    <row r="261">
      <c r="A261" s="18" t="s">
        <v>718</v>
      </c>
      <c r="B261" s="4" t="s">
        <v>56</v>
      </c>
      <c r="C261" s="5" t="s">
        <v>753</v>
      </c>
      <c r="I261" s="6" t="str">
        <f>VLOOKUP(B261,'Lista Oficial'!E:E,1,FALSE)</f>
        <v>Exxon Mobile</v>
      </c>
    </row>
    <row r="262">
      <c r="A262" s="18" t="s">
        <v>718</v>
      </c>
      <c r="B262" s="4" t="s">
        <v>754</v>
      </c>
      <c r="C262" s="5" t="s">
        <v>755</v>
      </c>
      <c r="I262" s="6" t="str">
        <f>VLOOKUP(B262,'Lista Oficial'!E:E,1,FALSE)</f>
        <v>ENAUTA PART</v>
      </c>
    </row>
    <row r="263">
      <c r="A263" s="19" t="s">
        <v>756</v>
      </c>
      <c r="B263" s="4" t="s">
        <v>757</v>
      </c>
      <c r="C263" s="5" t="s">
        <v>758</v>
      </c>
      <c r="I263" s="6" t="str">
        <f>VLOOKUP(B263,'Lista Oficial'!E:E,1,FALSE)</f>
        <v>Instituto Hermes Pardini SA</v>
      </c>
    </row>
    <row r="264">
      <c r="A264" s="19" t="s">
        <v>756</v>
      </c>
      <c r="B264" s="4" t="s">
        <v>759</v>
      </c>
      <c r="C264" s="5" t="s">
        <v>760</v>
      </c>
      <c r="D264" s="5" t="s">
        <v>761</v>
      </c>
      <c r="I264" s="6" t="str">
        <f>VLOOKUP(B264,'Lista Oficial'!E:E,1,FALSE)</f>
        <v>BIOMM</v>
      </c>
    </row>
    <row r="265">
      <c r="A265" s="19" t="s">
        <v>756</v>
      </c>
      <c r="B265" s="4" t="s">
        <v>762</v>
      </c>
      <c r="C265" s="5" t="s">
        <v>763</v>
      </c>
      <c r="D265" s="5" t="s">
        <v>764</v>
      </c>
      <c r="E265" s="5" t="s">
        <v>765</v>
      </c>
      <c r="F265" s="5" t="s">
        <v>766</v>
      </c>
      <c r="I265" s="6" t="str">
        <f>VLOOKUP(B265,'Lista Oficial'!E:E,1,FALSE)</f>
        <v>BAUMER</v>
      </c>
    </row>
    <row r="266">
      <c r="A266" s="19" t="s">
        <v>756</v>
      </c>
      <c r="B266" s="4" t="s">
        <v>767</v>
      </c>
      <c r="C266" s="5" t="s">
        <v>768</v>
      </c>
      <c r="D266" s="5" t="s">
        <v>769</v>
      </c>
      <c r="I266" s="6" t="str">
        <f>VLOOKUP(B266,'Lista Oficial'!E:E,1,FALSE)</f>
        <v>Pfizer</v>
      </c>
    </row>
    <row r="267">
      <c r="A267" s="19" t="s">
        <v>756</v>
      </c>
      <c r="B267" s="4" t="s">
        <v>770</v>
      </c>
      <c r="C267" s="5" t="s">
        <v>771</v>
      </c>
      <c r="D267" s="5" t="s">
        <v>772</v>
      </c>
      <c r="I267" s="6" t="str">
        <f>VLOOKUP(B267,'Lista Oficial'!E:E,1,FALSE)</f>
        <v>Merck</v>
      </c>
    </row>
    <row r="268">
      <c r="A268" s="19" t="s">
        <v>756</v>
      </c>
      <c r="B268" s="4" t="s">
        <v>773</v>
      </c>
      <c r="C268" s="5" t="s">
        <v>774</v>
      </c>
      <c r="D268" s="5" t="s">
        <v>775</v>
      </c>
      <c r="I268" s="6" t="str">
        <f>VLOOKUP(B268,'Lista Oficial'!E:E,1,FALSE)</f>
        <v>BIOTOSCANA</v>
      </c>
    </row>
    <row r="269">
      <c r="A269" s="19" t="s">
        <v>756</v>
      </c>
      <c r="B269" s="4" t="s">
        <v>776</v>
      </c>
      <c r="C269" s="5" t="s">
        <v>777</v>
      </c>
      <c r="D269" s="5" t="s">
        <v>778</v>
      </c>
      <c r="E269" s="5" t="s">
        <v>779</v>
      </c>
      <c r="F269" s="5" t="s">
        <v>780</v>
      </c>
      <c r="I269" s="6" t="str">
        <f>VLOOKUP(B269,'Lista Oficial'!E:E,1,FALSE)</f>
        <v>DIMED</v>
      </c>
    </row>
    <row r="270">
      <c r="A270" s="19" t="s">
        <v>756</v>
      </c>
      <c r="B270" s="4" t="s">
        <v>781</v>
      </c>
      <c r="C270" s="5" t="s">
        <v>782</v>
      </c>
      <c r="D270" s="5" t="s">
        <v>783</v>
      </c>
      <c r="I270" s="6" t="str">
        <f>VLOOKUP(B270,'Lista Oficial'!E:E,1,FALSE)</f>
        <v>ALLIAR</v>
      </c>
    </row>
    <row r="271">
      <c r="A271" s="19" t="s">
        <v>756</v>
      </c>
      <c r="B271" s="4" t="s">
        <v>784</v>
      </c>
      <c r="C271" s="5" t="s">
        <v>785</v>
      </c>
      <c r="D271" s="5" t="s">
        <v>786</v>
      </c>
      <c r="I271" s="6" t="str">
        <f>VLOOKUP(B271,'Lista Oficial'!E:E,1,FALSE)</f>
        <v>ODONTOPREV</v>
      </c>
    </row>
    <row r="272">
      <c r="A272" s="19" t="s">
        <v>756</v>
      </c>
      <c r="B272" s="4" t="s">
        <v>787</v>
      </c>
      <c r="C272" s="5" t="s">
        <v>788</v>
      </c>
      <c r="D272" s="5" t="s">
        <v>789</v>
      </c>
      <c r="I272" s="6" t="str">
        <f>VLOOKUP(B272,'Lista Oficial'!E:E,1,FALSE)</f>
        <v>RAIADROGASIL</v>
      </c>
    </row>
    <row r="273">
      <c r="A273" s="19" t="s">
        <v>756</v>
      </c>
      <c r="B273" s="4" t="s">
        <v>790</v>
      </c>
      <c r="C273" s="5" t="s">
        <v>791</v>
      </c>
      <c r="D273" s="5" t="s">
        <v>792</v>
      </c>
      <c r="I273" s="6" t="str">
        <f>VLOOKUP(B273,'Lista Oficial'!E:E,1,FALSE)</f>
        <v>QUALICORP</v>
      </c>
    </row>
    <row r="274">
      <c r="A274" s="19" t="s">
        <v>756</v>
      </c>
      <c r="B274" s="4" t="s">
        <v>116</v>
      </c>
      <c r="C274" s="5" t="s">
        <v>793</v>
      </c>
      <c r="I274" s="6" t="str">
        <f>VLOOKUP(B274,'Lista Oficial'!E:E,1,FALSE)</f>
        <v>OUROFINO S/A</v>
      </c>
    </row>
    <row r="275">
      <c r="A275" s="19" t="s">
        <v>756</v>
      </c>
      <c r="B275" s="4" t="s">
        <v>51</v>
      </c>
      <c r="C275" s="5" t="s">
        <v>794</v>
      </c>
      <c r="I275" s="6" t="str">
        <f>VLOOKUP(B275,'Lista Oficial'!E:E,1,FALSE)</f>
        <v>Johnson</v>
      </c>
    </row>
    <row r="276">
      <c r="A276" s="19" t="s">
        <v>756</v>
      </c>
      <c r="B276" s="4" t="s">
        <v>795</v>
      </c>
      <c r="C276" s="5" t="s">
        <v>796</v>
      </c>
      <c r="I276" s="6" t="str">
        <f>VLOOKUP(B276,'Lista Oficial'!E:E,1,FALSE)</f>
        <v>Hypera Pharma</v>
      </c>
    </row>
    <row r="277">
      <c r="A277" s="19" t="s">
        <v>756</v>
      </c>
      <c r="B277" s="4" t="s">
        <v>797</v>
      </c>
      <c r="C277" s="5" t="s">
        <v>798</v>
      </c>
      <c r="I277" s="6" t="str">
        <f>VLOOKUP(B277,'Lista Oficial'!E:E,1,FALSE)</f>
        <v>FLEURY</v>
      </c>
    </row>
    <row r="278">
      <c r="A278" s="19" t="s">
        <v>756</v>
      </c>
      <c r="B278" s="4" t="s">
        <v>60</v>
      </c>
      <c r="C278" s="5" t="s">
        <v>799</v>
      </c>
      <c r="I278" s="6" t="str">
        <f>VLOOKUP(B278,'Lista Oficial'!E:E,1,FALSE)</f>
        <v>Bristolmyers</v>
      </c>
    </row>
    <row r="279">
      <c r="A279" s="19" t="s">
        <v>756</v>
      </c>
      <c r="B279" s="4" t="s">
        <v>68</v>
      </c>
      <c r="I279" s="6" t="str">
        <f>VLOOKUP(B279,'Lista Oficial'!E:E,1,FALSE)</f>
        <v>Abbott Laboratories</v>
      </c>
    </row>
    <row r="280">
      <c r="A280" s="20" t="s">
        <v>800</v>
      </c>
      <c r="B280" s="4" t="s">
        <v>801</v>
      </c>
      <c r="C280" s="5" t="s">
        <v>802</v>
      </c>
      <c r="I280" s="6" t="str">
        <f>VLOOKUP(B280,'Lista Oficial'!E:E,1,FALSE)</f>
        <v>LOCAWEB</v>
      </c>
    </row>
    <row r="281">
      <c r="A281" s="20" t="s">
        <v>800</v>
      </c>
      <c r="B281" s="4" t="s">
        <v>803</v>
      </c>
      <c r="C281" s="5" t="s">
        <v>804</v>
      </c>
      <c r="D281" s="5" t="s">
        <v>805</v>
      </c>
      <c r="I281" s="6" t="str">
        <f>VLOOKUP(B281,'Lista Oficial'!E:E,1,FALSE)</f>
        <v>TOTVS</v>
      </c>
    </row>
    <row r="282">
      <c r="A282" s="20" t="s">
        <v>800</v>
      </c>
      <c r="B282" s="4" t="s">
        <v>806</v>
      </c>
      <c r="C282" s="5" t="s">
        <v>807</v>
      </c>
      <c r="D282" s="5" t="s">
        <v>808</v>
      </c>
      <c r="I282" s="6" t="str">
        <f>VLOOKUP(B282,'Lista Oficial'!E:E,1,FALSE)</f>
        <v>Xerox</v>
      </c>
    </row>
    <row r="283">
      <c r="A283" s="20" t="s">
        <v>800</v>
      </c>
      <c r="B283" s="4" t="s">
        <v>809</v>
      </c>
      <c r="C283" s="5" t="s">
        <v>810</v>
      </c>
      <c r="D283" s="5" t="s">
        <v>811</v>
      </c>
      <c r="I283" s="6" t="str">
        <f>VLOOKUP(B283,'Lista Oficial'!E:E,1,FALSE)</f>
        <v>Qualcomm</v>
      </c>
    </row>
    <row r="284">
      <c r="A284" s="20" t="s">
        <v>800</v>
      </c>
      <c r="B284" s="4" t="s">
        <v>812</v>
      </c>
      <c r="C284" s="5" t="s">
        <v>813</v>
      </c>
      <c r="D284" s="5" t="s">
        <v>814</v>
      </c>
      <c r="I284" s="6" t="str">
        <f>VLOOKUP(B284,'Lista Oficial'!E:E,1,FALSE)</f>
        <v>Oracle</v>
      </c>
    </row>
    <row r="285">
      <c r="A285" s="20" t="s">
        <v>800</v>
      </c>
      <c r="B285" s="4" t="s">
        <v>815</v>
      </c>
      <c r="C285" s="5" t="s">
        <v>816</v>
      </c>
      <c r="D285" s="5" t="s">
        <v>817</v>
      </c>
      <c r="I285" s="6" t="str">
        <f>VLOOKUP(B285,'Lista Oficial'!E:E,1,FALSE)</f>
        <v>Microsoft</v>
      </c>
    </row>
    <row r="286">
      <c r="A286" s="20" t="s">
        <v>800</v>
      </c>
      <c r="B286" s="4" t="s">
        <v>818</v>
      </c>
      <c r="C286" s="5" t="s">
        <v>819</v>
      </c>
      <c r="D286" s="5" t="s">
        <v>820</v>
      </c>
      <c r="I286" s="6" t="str">
        <f>VLOOKUP(B286,'Lista Oficial'!E:E,1,FALSE)</f>
        <v>IBM</v>
      </c>
    </row>
    <row r="287">
      <c r="A287" s="20" t="s">
        <v>800</v>
      </c>
      <c r="B287" s="4" t="s">
        <v>821</v>
      </c>
      <c r="C287" s="5" t="s">
        <v>822</v>
      </c>
      <c r="D287" s="5" t="s">
        <v>823</v>
      </c>
      <c r="I287" s="6" t="str">
        <f>VLOOKUP(B287,'Lista Oficial'!E:E,1,FALSE)</f>
        <v>Intel</v>
      </c>
    </row>
    <row r="288">
      <c r="A288" s="20" t="s">
        <v>800</v>
      </c>
      <c r="B288" s="4" t="s">
        <v>824</v>
      </c>
      <c r="C288" s="5" t="s">
        <v>825</v>
      </c>
      <c r="D288" s="5" t="s">
        <v>826</v>
      </c>
      <c r="I288" s="6" t="str">
        <f>VLOOKUP(B288,'Lista Oficial'!E:E,1,FALSE)</f>
        <v>HP Company</v>
      </c>
    </row>
    <row r="289">
      <c r="A289" s="20" t="s">
        <v>800</v>
      </c>
      <c r="B289" s="4" t="s">
        <v>827</v>
      </c>
      <c r="C289" s="5" t="s">
        <v>828</v>
      </c>
      <c r="I289" s="6" t="str">
        <f>VLOOKUP(B289,'Lista Oficial'!E:E,1,FALSE)</f>
        <v>Ebay</v>
      </c>
    </row>
    <row r="290">
      <c r="A290" s="20" t="s">
        <v>800</v>
      </c>
      <c r="B290" s="4" t="s">
        <v>829</v>
      </c>
      <c r="C290" s="5" t="s">
        <v>830</v>
      </c>
      <c r="D290" s="5" t="s">
        <v>831</v>
      </c>
      <c r="I290" s="6" t="str">
        <f>VLOOKUP(B290,'Lista Oficial'!E:E,1,FALSE)</f>
        <v>Cisco</v>
      </c>
    </row>
    <row r="291">
      <c r="A291" s="20" t="s">
        <v>800</v>
      </c>
      <c r="B291" s="4" t="s">
        <v>832</v>
      </c>
      <c r="C291" s="5" t="s">
        <v>833</v>
      </c>
      <c r="I291" s="6" t="str">
        <f>VLOOKUP(B291,'Lista Oficial'!E:E,1,FALSE)</f>
        <v>Att Inc</v>
      </c>
    </row>
    <row r="292">
      <c r="A292" s="20" t="s">
        <v>800</v>
      </c>
      <c r="B292" s="4" t="s">
        <v>834</v>
      </c>
      <c r="C292" s="5" t="s">
        <v>835</v>
      </c>
      <c r="D292" s="5" t="s">
        <v>836</v>
      </c>
      <c r="I292" s="6" t="str">
        <f>VLOOKUP(B292,'Lista Oficial'!E:E,1,FALSE)</f>
        <v>Apple</v>
      </c>
    </row>
    <row r="293">
      <c r="A293" s="20" t="s">
        <v>800</v>
      </c>
      <c r="B293" s="4" t="s">
        <v>837</v>
      </c>
      <c r="C293" s="5" t="s">
        <v>838</v>
      </c>
      <c r="D293" s="5" t="s">
        <v>839</v>
      </c>
      <c r="I293" s="6" t="str">
        <f>VLOOKUP(B293,'Lista Oficial'!E:E,1,FALSE)</f>
        <v>LINX</v>
      </c>
    </row>
    <row r="294">
      <c r="A294" s="20" t="s">
        <v>800</v>
      </c>
      <c r="B294" s="4" t="s">
        <v>840</v>
      </c>
      <c r="C294" s="5" t="s">
        <v>841</v>
      </c>
      <c r="D294" s="5" t="s">
        <v>842</v>
      </c>
      <c r="I294" s="6" t="str">
        <f>VLOOKUP(B294,'Lista Oficial'!E:E,1,FALSE)</f>
        <v>Positivo Inf</v>
      </c>
    </row>
    <row r="295">
      <c r="A295" s="20" t="s">
        <v>800</v>
      </c>
      <c r="B295" s="4" t="s">
        <v>843</v>
      </c>
      <c r="C295" s="5" t="s">
        <v>844</v>
      </c>
      <c r="I295" s="6" t="str">
        <f>VLOOKUP(B295,'Lista Oficial'!E:E,1,FALSE)</f>
        <v>Ebay</v>
      </c>
    </row>
    <row r="296">
      <c r="A296" s="21" t="s">
        <v>845</v>
      </c>
      <c r="B296" s="4" t="s">
        <v>846</v>
      </c>
      <c r="C296" s="5" t="s">
        <v>847</v>
      </c>
      <c r="D296" s="5" t="s">
        <v>848</v>
      </c>
      <c r="I296" s="6" t="str">
        <f>VLOOKUP(B296,'Lista Oficial'!E:E,1,FALSE)</f>
        <v>Verizon</v>
      </c>
    </row>
    <row r="297">
      <c r="A297" s="21" t="s">
        <v>845</v>
      </c>
      <c r="B297" s="4" t="s">
        <v>849</v>
      </c>
      <c r="C297" s="5" t="s">
        <v>850</v>
      </c>
      <c r="D297" s="5" t="s">
        <v>851</v>
      </c>
      <c r="E297" s="5" t="s">
        <v>852</v>
      </c>
      <c r="I297" s="6" t="str">
        <f>VLOOKUP(B297,'Lista Oficial'!E:E,1,FALSE)</f>
        <v>OI</v>
      </c>
    </row>
    <row r="298">
      <c r="A298" s="21" t="s">
        <v>845</v>
      </c>
      <c r="B298" s="4" t="s">
        <v>853</v>
      </c>
      <c r="C298" s="5" t="s">
        <v>854</v>
      </c>
      <c r="D298" s="5" t="s">
        <v>855</v>
      </c>
      <c r="I298" s="6" t="str">
        <f>VLOOKUP(B298,'Lista Oficial'!E:E,1,FALSE)</f>
        <v>Tim Participações</v>
      </c>
    </row>
    <row r="299">
      <c r="A299" s="21" t="s">
        <v>845</v>
      </c>
      <c r="B299" s="4" t="s">
        <v>856</v>
      </c>
      <c r="C299" s="5" t="s">
        <v>857</v>
      </c>
      <c r="D299" s="5" t="s">
        <v>858</v>
      </c>
      <c r="E299" s="5" t="s">
        <v>859</v>
      </c>
      <c r="F299" s="5" t="s">
        <v>860</v>
      </c>
      <c r="I299" s="6" t="str">
        <f>VLOOKUP(B299,'Lista Oficial'!E:E,1,FALSE)</f>
        <v>Telefônica Brasil S.A</v>
      </c>
    </row>
    <row r="300">
      <c r="A300" s="21" t="s">
        <v>845</v>
      </c>
      <c r="B300" s="4" t="s">
        <v>861</v>
      </c>
      <c r="C300" s="5" t="s">
        <v>862</v>
      </c>
      <c r="D300" s="5" t="s">
        <v>863</v>
      </c>
      <c r="E300" s="5" t="s">
        <v>864</v>
      </c>
      <c r="F300" s="5" t="s">
        <v>865</v>
      </c>
      <c r="I300" s="6" t="str">
        <f>VLOOKUP(B300,'Lista Oficial'!E:E,1,FALSE)</f>
        <v>TELEBRAS</v>
      </c>
    </row>
    <row r="301">
      <c r="A301" s="21" t="s">
        <v>845</v>
      </c>
      <c r="B301" s="10" t="s">
        <v>832</v>
      </c>
      <c r="C301" s="5" t="s">
        <v>866</v>
      </c>
      <c r="I301" s="6" t="str">
        <f>VLOOKUP(B301,'Lista Oficial'!E:E,1,FALSE)</f>
        <v>Att Inc</v>
      </c>
    </row>
    <row r="302">
      <c r="A302" s="16" t="s">
        <v>867</v>
      </c>
      <c r="B302" s="4" t="s">
        <v>868</v>
      </c>
      <c r="C302" s="5" t="s">
        <v>869</v>
      </c>
      <c r="D302" s="5" t="s">
        <v>870</v>
      </c>
      <c r="E302" s="5" t="s">
        <v>871</v>
      </c>
      <c r="F302" s="5" t="s">
        <v>872</v>
      </c>
      <c r="G302" s="5" t="s">
        <v>873</v>
      </c>
      <c r="H302" s="5" t="s">
        <v>874</v>
      </c>
      <c r="I302" s="6" t="str">
        <f>VLOOKUP(B302,'Lista Oficial'!E:E,1,FALSE)</f>
        <v>CELPE</v>
      </c>
    </row>
    <row r="303">
      <c r="A303" s="16" t="s">
        <v>867</v>
      </c>
      <c r="B303" s="4" t="s">
        <v>875</v>
      </c>
      <c r="C303" s="5" t="s">
        <v>876</v>
      </c>
      <c r="D303" s="5" t="s">
        <v>877</v>
      </c>
      <c r="E303" s="5" t="s">
        <v>878</v>
      </c>
      <c r="F303" s="5" t="s">
        <v>879</v>
      </c>
      <c r="I303" s="6" t="str">
        <f>VLOOKUP(B303,'Lista Oficial'!E:E,1,FALSE)</f>
        <v>CEEE-D</v>
      </c>
    </row>
    <row r="304">
      <c r="A304" s="16" t="s">
        <v>867</v>
      </c>
      <c r="B304" s="4" t="s">
        <v>880</v>
      </c>
      <c r="C304" s="5" t="s">
        <v>881</v>
      </c>
      <c r="D304" s="5" t="s">
        <v>882</v>
      </c>
      <c r="E304" s="5" t="s">
        <v>883</v>
      </c>
      <c r="F304" s="5" t="s">
        <v>884</v>
      </c>
      <c r="I304" s="6" t="str">
        <f>VLOOKUP(B304,'Lista Oficial'!E:E,1,FALSE)</f>
        <v>CEEE-GT</v>
      </c>
    </row>
    <row r="305">
      <c r="A305" s="16" t="s">
        <v>867</v>
      </c>
      <c r="B305" s="4" t="s">
        <v>885</v>
      </c>
      <c r="C305" s="5" t="s">
        <v>886</v>
      </c>
      <c r="D305" s="5" t="s">
        <v>887</v>
      </c>
      <c r="E305" s="5" t="s">
        <v>888</v>
      </c>
      <c r="F305" s="5" t="s">
        <v>889</v>
      </c>
      <c r="I305" s="6" t="str">
        <f>VLOOKUP(B305,'Lista Oficial'!E:E,1,FALSE)</f>
        <v>CASAN</v>
      </c>
    </row>
    <row r="306">
      <c r="A306" s="16" t="s">
        <v>867</v>
      </c>
      <c r="B306" s="4" t="s">
        <v>890</v>
      </c>
      <c r="C306" s="5" t="s">
        <v>891</v>
      </c>
      <c r="D306" s="5" t="s">
        <v>892</v>
      </c>
      <c r="I306" s="6" t="str">
        <f>VLOOKUP(B306,'Lista Oficial'!E:E,1,FALSE)</f>
        <v>CEG</v>
      </c>
    </row>
    <row r="307">
      <c r="A307" s="16" t="s">
        <v>867</v>
      </c>
      <c r="B307" s="4" t="s">
        <v>893</v>
      </c>
      <c r="C307" s="5" t="s">
        <v>894</v>
      </c>
      <c r="D307" s="5" t="s">
        <v>895</v>
      </c>
      <c r="E307" s="5" t="s">
        <v>896</v>
      </c>
      <c r="F307" s="5" t="s">
        <v>897</v>
      </c>
      <c r="G307" s="5" t="s">
        <v>898</v>
      </c>
      <c r="H307" s="5" t="s">
        <v>899</v>
      </c>
      <c r="I307" s="6" t="str">
        <f>VLOOKUP(B307,'Lista Oficial'!E:E,1,FALSE)</f>
        <v>CEB</v>
      </c>
    </row>
    <row r="308">
      <c r="A308" s="16" t="s">
        <v>867</v>
      </c>
      <c r="B308" s="4" t="s">
        <v>900</v>
      </c>
      <c r="C308" s="5" t="s">
        <v>901</v>
      </c>
      <c r="D308" s="5" t="s">
        <v>901</v>
      </c>
      <c r="E308" s="5" t="s">
        <v>902</v>
      </c>
      <c r="F308" s="5" t="s">
        <v>903</v>
      </c>
      <c r="G308" s="5" t="s">
        <v>904</v>
      </c>
      <c r="I308" s="6" t="str">
        <f>VLOOKUP(B308,'Lista Oficial'!E:E,1,FALSE)</f>
        <v>RENOVA</v>
      </c>
    </row>
    <row r="309">
      <c r="A309" s="16" t="s">
        <v>867</v>
      </c>
      <c r="B309" s="4" t="s">
        <v>905</v>
      </c>
      <c r="C309" s="5" t="s">
        <v>906</v>
      </c>
      <c r="D309" s="5" t="s">
        <v>907</v>
      </c>
      <c r="E309" s="5" t="s">
        <v>908</v>
      </c>
      <c r="F309" s="5" t="s">
        <v>909</v>
      </c>
      <c r="G309" s="5" t="s">
        <v>910</v>
      </c>
      <c r="H309" s="5" t="s">
        <v>911</v>
      </c>
      <c r="I309" s="6" t="str">
        <f>VLOOKUP(B309,'Lista Oficial'!E:E,1,FALSE)</f>
        <v>COELCE</v>
      </c>
    </row>
    <row r="310">
      <c r="A310" s="16" t="s">
        <v>867</v>
      </c>
      <c r="B310" s="4" t="s">
        <v>912</v>
      </c>
      <c r="C310" s="5" t="s">
        <v>913</v>
      </c>
      <c r="D310" s="5" t="s">
        <v>914</v>
      </c>
      <c r="E310" s="5" t="s">
        <v>915</v>
      </c>
      <c r="F310" s="5" t="s">
        <v>916</v>
      </c>
      <c r="I310" s="6" t="str">
        <f>VLOOKUP(B310,'Lista Oficial'!E:E,1,FALSE)</f>
        <v>CELESC</v>
      </c>
    </row>
    <row r="311">
      <c r="A311" s="16" t="s">
        <v>867</v>
      </c>
      <c r="B311" s="4" t="s">
        <v>917</v>
      </c>
      <c r="C311" s="5" t="s">
        <v>918</v>
      </c>
      <c r="D311" s="5" t="s">
        <v>919</v>
      </c>
      <c r="E311" s="5" t="s">
        <v>920</v>
      </c>
      <c r="F311" s="5" t="s">
        <v>921</v>
      </c>
      <c r="G311" s="5" t="s">
        <v>922</v>
      </c>
      <c r="H311" s="5" t="s">
        <v>923</v>
      </c>
      <c r="I311" s="6" t="str">
        <f>VLOOKUP(B311,'Lista Oficial'!E:E,1,FALSE)</f>
        <v>Alupar Investimento</v>
      </c>
    </row>
    <row r="312">
      <c r="A312" s="16" t="s">
        <v>867</v>
      </c>
      <c r="B312" s="4" t="s">
        <v>924</v>
      </c>
      <c r="C312" s="5" t="s">
        <v>925</v>
      </c>
      <c r="D312" s="5" t="s">
        <v>926</v>
      </c>
      <c r="E312" s="5" t="s">
        <v>927</v>
      </c>
      <c r="F312" s="5" t="s">
        <v>928</v>
      </c>
      <c r="G312" s="5" t="s">
        <v>929</v>
      </c>
      <c r="H312" s="5" t="s">
        <v>930</v>
      </c>
      <c r="I312" s="6" t="str">
        <f>VLOOKUP(B312,'Lista Oficial'!E:E,1,FALSE)</f>
        <v>SANEPAR</v>
      </c>
    </row>
    <row r="313">
      <c r="A313" s="16" t="s">
        <v>867</v>
      </c>
      <c r="B313" s="4" t="s">
        <v>931</v>
      </c>
      <c r="C313" s="5" t="s">
        <v>932</v>
      </c>
      <c r="D313" s="5" t="s">
        <v>933</v>
      </c>
      <c r="I313" s="6" t="str">
        <f>VLOOKUP(B313,'Lista Oficial'!E:E,1,FALSE)</f>
        <v>CPFL RENOVAV</v>
      </c>
    </row>
    <row r="314">
      <c r="A314" s="16" t="s">
        <v>867</v>
      </c>
      <c r="B314" s="4" t="s">
        <v>934</v>
      </c>
      <c r="C314" s="5" t="s">
        <v>935</v>
      </c>
      <c r="D314" s="5" t="s">
        <v>936</v>
      </c>
      <c r="E314" s="5" t="s">
        <v>937</v>
      </c>
      <c r="F314" s="5" t="s">
        <v>938</v>
      </c>
      <c r="G314" s="5" t="s">
        <v>939</v>
      </c>
      <c r="H314" s="5" t="s">
        <v>940</v>
      </c>
      <c r="I314" s="6" t="str">
        <f>VLOOKUP(B314,'Lista Oficial'!E:E,1,FALSE)</f>
        <v>COPEL</v>
      </c>
    </row>
    <row r="315">
      <c r="A315" s="16" t="s">
        <v>867</v>
      </c>
      <c r="B315" s="4" t="s">
        <v>941</v>
      </c>
      <c r="C315" s="5" t="s">
        <v>942</v>
      </c>
      <c r="D315" s="5" t="s">
        <v>943</v>
      </c>
      <c r="I315" s="6" t="str">
        <f>VLOOKUP(B315,'Lista Oficial'!E:E,1,FALSE)</f>
        <v>CPFL ENERGIA</v>
      </c>
    </row>
    <row r="316">
      <c r="A316" s="16" t="s">
        <v>867</v>
      </c>
      <c r="B316" s="4" t="s">
        <v>944</v>
      </c>
      <c r="C316" s="5" t="s">
        <v>945</v>
      </c>
      <c r="D316" s="5" t="s">
        <v>946</v>
      </c>
      <c r="E316" s="5" t="s">
        <v>947</v>
      </c>
      <c r="F316" s="5" t="s">
        <v>948</v>
      </c>
      <c r="I316" s="6" t="str">
        <f>VLOOKUP(B316,'Lista Oficial'!E:E,1,FALSE)</f>
        <v>COMGÁS</v>
      </c>
    </row>
    <row r="317">
      <c r="A317" s="16" t="s">
        <v>867</v>
      </c>
      <c r="B317" s="4" t="s">
        <v>949</v>
      </c>
      <c r="C317" s="5" t="s">
        <v>950</v>
      </c>
      <c r="D317" s="5" t="s">
        <v>951</v>
      </c>
      <c r="E317" s="5" t="s">
        <v>952</v>
      </c>
      <c r="F317" s="5" t="s">
        <v>953</v>
      </c>
      <c r="G317" s="5" t="s">
        <v>954</v>
      </c>
      <c r="H317" s="5" t="s">
        <v>955</v>
      </c>
      <c r="I317" s="6" t="str">
        <f>VLOOKUP(B317,'Lista Oficial'!E:E,1,FALSE)</f>
        <v>AES Tietê</v>
      </c>
    </row>
    <row r="318">
      <c r="A318" s="16" t="s">
        <v>867</v>
      </c>
      <c r="B318" s="4" t="s">
        <v>956</v>
      </c>
      <c r="C318" s="5" t="s">
        <v>957</v>
      </c>
      <c r="I318" s="6" t="str">
        <f>VLOOKUP(B318,'Lista Oficial'!E:E,1,FALSE)</f>
        <v>NEOENERGIA</v>
      </c>
    </row>
    <row r="319">
      <c r="A319" s="16" t="s">
        <v>867</v>
      </c>
      <c r="B319" s="4" t="s">
        <v>958</v>
      </c>
      <c r="C319" s="5" t="s">
        <v>959</v>
      </c>
      <c r="D319" s="5" t="s">
        <v>960</v>
      </c>
      <c r="E319" s="5" t="s">
        <v>961</v>
      </c>
      <c r="F319" s="5" t="s">
        <v>962</v>
      </c>
      <c r="I319" s="6" t="str">
        <f>VLOOKUP(B319,'Lista Oficial'!E:E,1,FALSE)</f>
        <v>TRAN PAULISTA</v>
      </c>
    </row>
    <row r="320">
      <c r="A320" s="16" t="s">
        <v>867</v>
      </c>
      <c r="B320" s="4" t="s">
        <v>963</v>
      </c>
      <c r="C320" s="5" t="s">
        <v>964</v>
      </c>
      <c r="I320" s="6" t="str">
        <f>VLOOKUP(B320,'Lista Oficial'!E:E,1,FALSE)</f>
        <v>ENGIE BRASIL</v>
      </c>
    </row>
    <row r="321">
      <c r="A321" s="16" t="s">
        <v>867</v>
      </c>
      <c r="B321" s="4" t="s">
        <v>965</v>
      </c>
      <c r="C321" s="5" t="s">
        <v>966</v>
      </c>
      <c r="D321" s="5" t="s">
        <v>967</v>
      </c>
      <c r="E321" s="5" t="s">
        <v>968</v>
      </c>
      <c r="I321" s="6" t="str">
        <f>VLOOKUP(B321,'Lista Oficial'!E:E,1,FALSE)</f>
        <v>TAESA</v>
      </c>
    </row>
    <row r="322">
      <c r="A322" s="16" t="s">
        <v>867</v>
      </c>
      <c r="B322" s="4" t="s">
        <v>969</v>
      </c>
      <c r="C322" s="5" t="s">
        <v>970</v>
      </c>
      <c r="D322" s="5" t="s">
        <v>971</v>
      </c>
      <c r="I322" s="6" t="str">
        <f>VLOOKUP(B322,'Lista Oficial'!E:E,1,FALSE)</f>
        <v>SABESP</v>
      </c>
    </row>
    <row r="323">
      <c r="A323" s="16" t="s">
        <v>867</v>
      </c>
      <c r="B323" s="4" t="s">
        <v>900</v>
      </c>
      <c r="C323" s="5" t="s">
        <v>972</v>
      </c>
      <c r="I323" s="6" t="str">
        <f>VLOOKUP(B323,'Lista Oficial'!E:E,1,FALSE)</f>
        <v>RENOVA</v>
      </c>
    </row>
    <row r="324">
      <c r="A324" s="16" t="s">
        <v>867</v>
      </c>
      <c r="B324" s="4" t="s">
        <v>90</v>
      </c>
      <c r="C324" s="5" t="s">
        <v>973</v>
      </c>
      <c r="D324" s="5" t="s">
        <v>974</v>
      </c>
      <c r="I324" s="6" t="str">
        <f>VLOOKUP(B324,'Lista Oficial'!E:E,1,FALSE)</f>
        <v>Ger Paranapanema</v>
      </c>
    </row>
    <row r="325">
      <c r="A325" s="16" t="s">
        <v>867</v>
      </c>
      <c r="B325" s="4" t="s">
        <v>975</v>
      </c>
      <c r="C325" s="5" t="s">
        <v>976</v>
      </c>
      <c r="D325" s="5" t="s">
        <v>977</v>
      </c>
      <c r="E325" s="5" t="s">
        <v>978</v>
      </c>
      <c r="F325" s="5" t="s">
        <v>979</v>
      </c>
      <c r="I325" s="6" t="str">
        <f>VLOOKUP(B325,'Lista Oficial'!E:E,1,FALSE)</f>
        <v>CESP</v>
      </c>
    </row>
    <row r="326">
      <c r="A326" s="16" t="s">
        <v>867</v>
      </c>
      <c r="B326" s="4" t="s">
        <v>980</v>
      </c>
      <c r="C326" s="5" t="s">
        <v>981</v>
      </c>
      <c r="D326" s="5" t="s">
        <v>982</v>
      </c>
      <c r="E326" s="5" t="s">
        <v>983</v>
      </c>
      <c r="I326" s="6" t="str">
        <f>VLOOKUP(B326,'Lista Oficial'!E:E,1,FALSE)</f>
        <v>CEMIG</v>
      </c>
    </row>
    <row r="327">
      <c r="A327" s="16" t="s">
        <v>867</v>
      </c>
      <c r="B327" s="10" t="s">
        <v>96</v>
      </c>
      <c r="C327" s="5" t="s">
        <v>984</v>
      </c>
      <c r="I327" s="6" t="str">
        <f>VLOOKUP(B327,'Lista Oficial'!E:E,1,FALSE)</f>
        <v>AFLUENTE T</v>
      </c>
    </row>
  </sheetData>
  <autoFilter ref="$A$1:$I$327"/>
  <hyperlinks>
    <hyperlink r:id="rId1" ref="C2"/>
    <hyperlink r:id="rId2" ref="C3"/>
    <hyperlink r:id="rId3" ref="C4"/>
    <hyperlink r:id="rId4" ref="C5"/>
    <hyperlink r:id="rId5" ref="C6"/>
    <hyperlink r:id="rId6" ref="D6"/>
    <hyperlink r:id="rId7" ref="C7"/>
    <hyperlink r:id="rId8" ref="C8"/>
    <hyperlink r:id="rId9" ref="C9"/>
    <hyperlink r:id="rId10" ref="C10"/>
    <hyperlink r:id="rId11" ref="C11"/>
    <hyperlink r:id="rId12" ref="C12"/>
    <hyperlink r:id="rId13" ref="C13"/>
    <hyperlink r:id="rId14" ref="C14"/>
    <hyperlink r:id="rId15" ref="C15"/>
    <hyperlink r:id="rId16" ref="C16"/>
    <hyperlink r:id="rId17" ref="C17"/>
    <hyperlink r:id="rId18" ref="C18"/>
    <hyperlink r:id="rId19" ref="C19"/>
    <hyperlink r:id="rId20" ref="C20"/>
    <hyperlink r:id="rId21" ref="D20"/>
    <hyperlink r:id="rId22" ref="C21"/>
    <hyperlink r:id="rId23" ref="D21"/>
    <hyperlink r:id="rId24" ref="C22"/>
    <hyperlink r:id="rId25" ref="D22"/>
    <hyperlink r:id="rId26" ref="C23"/>
    <hyperlink r:id="rId27" ref="C24"/>
    <hyperlink r:id="rId28" ref="D24"/>
    <hyperlink r:id="rId29" ref="C25"/>
    <hyperlink r:id="rId30" ref="C26"/>
    <hyperlink r:id="rId31" ref="C27"/>
    <hyperlink r:id="rId32" ref="C28"/>
    <hyperlink r:id="rId33" ref="C29"/>
    <hyperlink r:id="rId34" ref="C30"/>
    <hyperlink r:id="rId35" ref="C31"/>
    <hyperlink r:id="rId36" ref="C32"/>
    <hyperlink r:id="rId37" ref="C33"/>
    <hyperlink r:id="rId38" ref="D33"/>
    <hyperlink r:id="rId39" ref="E33"/>
    <hyperlink r:id="rId40" ref="F33"/>
    <hyperlink r:id="rId41" ref="C34"/>
    <hyperlink r:id="rId42" ref="C35"/>
    <hyperlink r:id="rId43" ref="D35"/>
    <hyperlink r:id="rId44" ref="C36"/>
    <hyperlink r:id="rId45" ref="D36"/>
    <hyperlink r:id="rId46" ref="C37"/>
    <hyperlink r:id="rId47" ref="D37"/>
    <hyperlink r:id="rId48" ref="E37"/>
    <hyperlink r:id="rId49" ref="F37"/>
    <hyperlink r:id="rId50" ref="C38"/>
    <hyperlink r:id="rId51" ref="D38"/>
    <hyperlink r:id="rId52" ref="C39"/>
    <hyperlink r:id="rId53" ref="D39"/>
    <hyperlink r:id="rId54" ref="C40"/>
    <hyperlink r:id="rId55" ref="C41"/>
    <hyperlink r:id="rId56" ref="D41"/>
    <hyperlink r:id="rId57" ref="E41"/>
    <hyperlink r:id="rId58" ref="C42"/>
    <hyperlink r:id="rId59" ref="C43"/>
    <hyperlink r:id="rId60" ref="D43"/>
    <hyperlink r:id="rId61" ref="E43"/>
    <hyperlink r:id="rId62" ref="F43"/>
    <hyperlink r:id="rId63" ref="C44"/>
    <hyperlink r:id="rId64" ref="C45"/>
    <hyperlink r:id="rId65" ref="C46"/>
    <hyperlink r:id="rId66" ref="C47"/>
    <hyperlink r:id="rId67" ref="C48"/>
    <hyperlink r:id="rId68" ref="C49"/>
    <hyperlink r:id="rId69" ref="D49"/>
    <hyperlink r:id="rId70" ref="E49"/>
    <hyperlink r:id="rId71" ref="C50"/>
    <hyperlink r:id="rId72" ref="D50"/>
    <hyperlink r:id="rId73" ref="C51"/>
    <hyperlink r:id="rId74" ref="D51"/>
    <hyperlink r:id="rId75" ref="C52"/>
    <hyperlink r:id="rId76" ref="D52"/>
    <hyperlink r:id="rId77" ref="C53"/>
    <hyperlink r:id="rId78" ref="C54"/>
    <hyperlink r:id="rId79" ref="D54"/>
    <hyperlink r:id="rId80" ref="E54"/>
    <hyperlink r:id="rId81" ref="F54"/>
    <hyperlink r:id="rId82" ref="C55"/>
    <hyperlink r:id="rId83" ref="D55"/>
    <hyperlink r:id="rId84" ref="C56"/>
    <hyperlink r:id="rId85" ref="D56"/>
    <hyperlink r:id="rId86" ref="C57"/>
    <hyperlink r:id="rId87" ref="D57"/>
    <hyperlink r:id="rId88" ref="C58"/>
    <hyperlink r:id="rId89" ref="C59"/>
    <hyperlink r:id="rId90" ref="D59"/>
    <hyperlink r:id="rId91" ref="C60"/>
    <hyperlink r:id="rId92" ref="C61"/>
    <hyperlink r:id="rId93" ref="D61"/>
    <hyperlink r:id="rId94" ref="C62"/>
    <hyperlink r:id="rId95" ref="C63"/>
    <hyperlink r:id="rId96" ref="D63"/>
    <hyperlink r:id="rId97" ref="E63"/>
    <hyperlink r:id="rId98" ref="C64"/>
    <hyperlink r:id="rId99" ref="C66"/>
    <hyperlink r:id="rId100" ref="D66"/>
    <hyperlink r:id="rId101" ref="C67"/>
    <hyperlink r:id="rId102" ref="D67"/>
    <hyperlink r:id="rId103" ref="C68"/>
    <hyperlink r:id="rId104" ref="D68"/>
    <hyperlink r:id="rId105" ref="C69"/>
    <hyperlink r:id="rId106" ref="D69"/>
    <hyperlink r:id="rId107" ref="C70"/>
    <hyperlink r:id="rId108" ref="D70"/>
    <hyperlink r:id="rId109" ref="C71"/>
    <hyperlink r:id="rId110" ref="D71"/>
    <hyperlink r:id="rId111" ref="C72"/>
    <hyperlink r:id="rId112" ref="C73"/>
    <hyperlink r:id="rId113" ref="C74"/>
    <hyperlink r:id="rId114" ref="D74"/>
    <hyperlink r:id="rId115" ref="C75"/>
    <hyperlink r:id="rId116" ref="D75"/>
    <hyperlink r:id="rId117" ref="E75"/>
    <hyperlink r:id="rId118" ref="C76"/>
    <hyperlink r:id="rId119" ref="D76"/>
    <hyperlink r:id="rId120" ref="C77"/>
    <hyperlink r:id="rId121" ref="D77"/>
    <hyperlink r:id="rId122" ref="C78"/>
    <hyperlink r:id="rId123" ref="D78"/>
    <hyperlink r:id="rId124" ref="C79"/>
    <hyperlink r:id="rId125" ref="D79"/>
    <hyperlink r:id="rId126" ref="E79"/>
    <hyperlink r:id="rId127" ref="F79"/>
    <hyperlink r:id="rId128" ref="C80"/>
    <hyperlink r:id="rId129" ref="D80"/>
    <hyperlink r:id="rId130" ref="C81"/>
    <hyperlink r:id="rId131" ref="D81"/>
    <hyperlink r:id="rId132" ref="C82"/>
    <hyperlink r:id="rId133" ref="D82"/>
    <hyperlink r:id="rId134" ref="C83"/>
    <hyperlink r:id="rId135" ref="C84"/>
    <hyperlink r:id="rId136" ref="D84"/>
    <hyperlink r:id="rId137" ref="C85"/>
    <hyperlink r:id="rId138" ref="D85"/>
    <hyperlink r:id="rId139" ref="E85"/>
    <hyperlink r:id="rId140" ref="F85"/>
    <hyperlink r:id="rId141" ref="C86"/>
    <hyperlink r:id="rId142" ref="D86"/>
    <hyperlink r:id="rId143" ref="E86"/>
    <hyperlink r:id="rId144" ref="F86"/>
    <hyperlink r:id="rId145" ref="C87"/>
    <hyperlink r:id="rId146" ref="D87"/>
    <hyperlink r:id="rId147" ref="C88"/>
    <hyperlink r:id="rId148" ref="D88"/>
    <hyperlink r:id="rId149" ref="E88"/>
    <hyperlink r:id="rId150" ref="F88"/>
    <hyperlink r:id="rId151" ref="C89"/>
    <hyperlink r:id="rId152" ref="C90"/>
    <hyperlink r:id="rId153" ref="D90"/>
    <hyperlink r:id="rId154" ref="C91"/>
    <hyperlink r:id="rId155" ref="D91"/>
    <hyperlink r:id="rId156" ref="C92"/>
    <hyperlink r:id="rId157" ref="D92"/>
    <hyperlink r:id="rId158" ref="C93"/>
    <hyperlink r:id="rId159" ref="D93"/>
    <hyperlink r:id="rId160" ref="C94"/>
    <hyperlink r:id="rId161" ref="D94"/>
    <hyperlink r:id="rId162" ref="C95"/>
    <hyperlink r:id="rId163" ref="D95"/>
    <hyperlink r:id="rId164" ref="C96"/>
    <hyperlink r:id="rId165" ref="C97"/>
    <hyperlink r:id="rId166" ref="D97"/>
    <hyperlink r:id="rId167" ref="C98"/>
    <hyperlink r:id="rId168" ref="C99"/>
    <hyperlink r:id="rId169" ref="D99"/>
    <hyperlink r:id="rId170" ref="C100"/>
    <hyperlink r:id="rId171" ref="D100"/>
    <hyperlink r:id="rId172" ref="C101"/>
    <hyperlink r:id="rId173" ref="D101"/>
    <hyperlink r:id="rId174" ref="C102"/>
    <hyperlink r:id="rId175" ref="D102"/>
    <hyperlink r:id="rId176" ref="C103"/>
    <hyperlink r:id="rId177" ref="D103"/>
    <hyperlink r:id="rId178" ref="C104"/>
    <hyperlink r:id="rId179" ref="D104"/>
    <hyperlink r:id="rId180" ref="C105"/>
    <hyperlink r:id="rId181" ref="D105"/>
    <hyperlink r:id="rId182" ref="C106"/>
    <hyperlink r:id="rId183" ref="C107"/>
    <hyperlink r:id="rId184" ref="C108"/>
    <hyperlink r:id="rId185" ref="C109"/>
    <hyperlink r:id="rId186" ref="C110"/>
    <hyperlink r:id="rId187" ref="C111"/>
    <hyperlink r:id="rId188" ref="C112"/>
    <hyperlink r:id="rId189" ref="C113"/>
    <hyperlink r:id="rId190" ref="D113"/>
    <hyperlink r:id="rId191" ref="E113"/>
    <hyperlink r:id="rId192" ref="F113"/>
    <hyperlink r:id="rId193" ref="C114"/>
    <hyperlink r:id="rId194" ref="C115"/>
    <hyperlink r:id="rId195" ref="D115"/>
    <hyperlink r:id="rId196" ref="C116"/>
    <hyperlink r:id="rId197" ref="C117"/>
    <hyperlink r:id="rId198" ref="C118"/>
    <hyperlink r:id="rId199" ref="C119"/>
    <hyperlink r:id="rId200" ref="D119"/>
    <hyperlink r:id="rId201" ref="C120"/>
    <hyperlink r:id="rId202" ref="C121"/>
    <hyperlink r:id="rId203" ref="C122"/>
    <hyperlink r:id="rId204" ref="D122"/>
    <hyperlink r:id="rId205" ref="C123"/>
    <hyperlink r:id="rId206" ref="D123"/>
    <hyperlink r:id="rId207" ref="C124"/>
    <hyperlink r:id="rId208" ref="D124"/>
    <hyperlink r:id="rId209" ref="C125"/>
    <hyperlink r:id="rId210" ref="D125"/>
    <hyperlink r:id="rId211" ref="C126"/>
    <hyperlink r:id="rId212" ref="D126"/>
    <hyperlink r:id="rId213" ref="C127"/>
    <hyperlink r:id="rId214" ref="D127"/>
    <hyperlink r:id="rId215" ref="C128"/>
    <hyperlink r:id="rId216" ref="D128"/>
    <hyperlink r:id="rId217" ref="C129"/>
    <hyperlink r:id="rId218" ref="D129"/>
    <hyperlink r:id="rId219" ref="C130"/>
    <hyperlink r:id="rId220" ref="D130"/>
    <hyperlink r:id="rId221" ref="C131"/>
    <hyperlink r:id="rId222" ref="D131"/>
    <hyperlink r:id="rId223" ref="E131"/>
    <hyperlink r:id="rId224" ref="C132"/>
    <hyperlink r:id="rId225" ref="C133"/>
    <hyperlink r:id="rId226" ref="D133"/>
    <hyperlink r:id="rId227" ref="C134"/>
    <hyperlink r:id="rId228" ref="D134"/>
    <hyperlink r:id="rId229" ref="E134"/>
    <hyperlink r:id="rId230" ref="C135"/>
    <hyperlink r:id="rId231" ref="D135"/>
    <hyperlink r:id="rId232" ref="C136"/>
    <hyperlink r:id="rId233" ref="D136"/>
    <hyperlink r:id="rId234" ref="C137"/>
    <hyperlink r:id="rId235" ref="D137"/>
    <hyperlink r:id="rId236" ref="C138"/>
    <hyperlink r:id="rId237" ref="C139"/>
    <hyperlink r:id="rId238" ref="C140"/>
    <hyperlink r:id="rId239" ref="D140"/>
    <hyperlink r:id="rId240" ref="E140"/>
    <hyperlink r:id="rId241" ref="F140"/>
    <hyperlink r:id="rId242" ref="C141"/>
    <hyperlink r:id="rId243" ref="D141"/>
    <hyperlink r:id="rId244" ref="C142"/>
    <hyperlink r:id="rId245" ref="D142"/>
    <hyperlink r:id="rId246" ref="C143"/>
    <hyperlink r:id="rId247" ref="D143"/>
    <hyperlink r:id="rId248" ref="C144"/>
    <hyperlink r:id="rId249" ref="D144"/>
    <hyperlink r:id="rId250" ref="C145"/>
    <hyperlink r:id="rId251" ref="D145"/>
    <hyperlink r:id="rId252" ref="C146"/>
    <hyperlink r:id="rId253" ref="D146"/>
    <hyperlink r:id="rId254" ref="C147"/>
    <hyperlink r:id="rId255" ref="D147"/>
    <hyperlink r:id="rId256" ref="C148"/>
    <hyperlink r:id="rId257" ref="D148"/>
    <hyperlink r:id="rId258" ref="C149"/>
    <hyperlink r:id="rId259" ref="D149"/>
    <hyperlink r:id="rId260" ref="C150"/>
    <hyperlink r:id="rId261" ref="D150"/>
    <hyperlink r:id="rId262" ref="C151"/>
    <hyperlink r:id="rId263" ref="D151"/>
    <hyperlink r:id="rId264" ref="C152"/>
    <hyperlink r:id="rId265" ref="D152"/>
    <hyperlink r:id="rId266" ref="C153"/>
    <hyperlink r:id="rId267" ref="D153"/>
    <hyperlink r:id="rId268" ref="C154"/>
    <hyperlink r:id="rId269" ref="D154"/>
    <hyperlink r:id="rId270" ref="C155"/>
    <hyperlink r:id="rId271" ref="D155"/>
    <hyperlink r:id="rId272" ref="C156"/>
    <hyperlink r:id="rId273" ref="D156"/>
    <hyperlink r:id="rId274" ref="C157"/>
    <hyperlink r:id="rId275" ref="D157"/>
    <hyperlink r:id="rId276" ref="C158"/>
    <hyperlink r:id="rId277" ref="D158"/>
    <hyperlink r:id="rId278" ref="C159"/>
    <hyperlink r:id="rId279" ref="D159"/>
    <hyperlink r:id="rId280" ref="C160"/>
    <hyperlink r:id="rId281" ref="D160"/>
    <hyperlink r:id="rId282" ref="C161"/>
    <hyperlink r:id="rId283" ref="D161"/>
    <hyperlink r:id="rId284" ref="C162"/>
    <hyperlink r:id="rId285" ref="D162"/>
    <hyperlink r:id="rId286" ref="C163"/>
    <hyperlink r:id="rId287" ref="D163"/>
    <hyperlink r:id="rId288" ref="E163"/>
    <hyperlink r:id="rId289" ref="F163"/>
    <hyperlink r:id="rId290" ref="G163"/>
    <hyperlink r:id="rId291" ref="H163"/>
    <hyperlink r:id="rId292" ref="C164"/>
    <hyperlink r:id="rId293" ref="D164"/>
    <hyperlink r:id="rId294" ref="E164"/>
    <hyperlink r:id="rId295" ref="C165"/>
    <hyperlink r:id="rId296" ref="D165"/>
    <hyperlink r:id="rId297" ref="E165"/>
    <hyperlink r:id="rId298" ref="F165"/>
    <hyperlink r:id="rId299" ref="G165"/>
    <hyperlink r:id="rId300" ref="H165"/>
    <hyperlink r:id="rId301" ref="C166"/>
    <hyperlink r:id="rId302" ref="D166"/>
    <hyperlink r:id="rId303" ref="C167"/>
    <hyperlink r:id="rId304" ref="D167"/>
    <hyperlink r:id="rId305" ref="E167"/>
    <hyperlink r:id="rId306" ref="F167"/>
    <hyperlink r:id="rId307" ref="C168"/>
    <hyperlink r:id="rId308" ref="C169"/>
    <hyperlink r:id="rId309" ref="C170"/>
    <hyperlink r:id="rId310" ref="C171"/>
    <hyperlink r:id="rId311" ref="C172"/>
    <hyperlink r:id="rId312" ref="D172"/>
    <hyperlink r:id="rId313" ref="E172"/>
    <hyperlink r:id="rId314" ref="C173"/>
    <hyperlink r:id="rId315" ref="C174"/>
    <hyperlink r:id="rId316" ref="C175"/>
    <hyperlink r:id="rId317" ref="D175"/>
    <hyperlink r:id="rId318" ref="E175"/>
    <hyperlink r:id="rId319" ref="C176"/>
    <hyperlink r:id="rId320" ref="C177"/>
    <hyperlink r:id="rId321" ref="D177"/>
    <hyperlink r:id="rId322" ref="C178"/>
    <hyperlink r:id="rId323" ref="C179"/>
    <hyperlink r:id="rId324" ref="C180"/>
    <hyperlink r:id="rId325" ref="D180"/>
    <hyperlink r:id="rId326" ref="E180"/>
    <hyperlink r:id="rId327" ref="F180"/>
    <hyperlink r:id="rId328" ref="C181"/>
    <hyperlink r:id="rId329" ref="C182"/>
    <hyperlink r:id="rId330" ref="D182"/>
    <hyperlink r:id="rId331" ref="C183"/>
    <hyperlink r:id="rId332" ref="D183"/>
    <hyperlink r:id="rId333" ref="C184"/>
    <hyperlink r:id="rId334" ref="D184"/>
    <hyperlink r:id="rId335" ref="C185"/>
    <hyperlink r:id="rId336" ref="D185"/>
    <hyperlink r:id="rId337" ref="E185"/>
    <hyperlink r:id="rId338" ref="F185"/>
    <hyperlink r:id="rId339" ref="C186"/>
    <hyperlink r:id="rId340" ref="D186"/>
    <hyperlink r:id="rId341" ref="E186"/>
    <hyperlink r:id="rId342" ref="F186"/>
    <hyperlink r:id="rId343" ref="C187"/>
    <hyperlink r:id="rId344" ref="D187"/>
    <hyperlink r:id="rId345" ref="C188"/>
    <hyperlink r:id="rId346" ref="D188"/>
    <hyperlink r:id="rId347" ref="E188"/>
    <hyperlink r:id="rId348" ref="F188"/>
    <hyperlink r:id="rId349" ref="G188"/>
    <hyperlink r:id="rId350" ref="H188"/>
    <hyperlink r:id="rId351" ref="C189"/>
    <hyperlink r:id="rId352" ref="C190"/>
    <hyperlink r:id="rId353" ref="D190"/>
    <hyperlink r:id="rId354" ref="E190"/>
    <hyperlink r:id="rId355" ref="F190"/>
    <hyperlink r:id="rId356" ref="G190"/>
    <hyperlink r:id="rId357" ref="C191"/>
    <hyperlink r:id="rId358" ref="D191"/>
    <hyperlink r:id="rId359" ref="E191"/>
    <hyperlink r:id="rId360" ref="C192"/>
    <hyperlink r:id="rId361" ref="D192"/>
    <hyperlink r:id="rId362" ref="C193"/>
    <hyperlink r:id="rId363" ref="C194"/>
    <hyperlink r:id="rId364" ref="D194"/>
    <hyperlink r:id="rId365" ref="C195"/>
    <hyperlink r:id="rId366" ref="C196"/>
    <hyperlink r:id="rId367" ref="D196"/>
    <hyperlink r:id="rId368" ref="E196"/>
    <hyperlink r:id="rId369" ref="F196"/>
    <hyperlink r:id="rId370" ref="C197"/>
    <hyperlink r:id="rId371" ref="D197"/>
    <hyperlink r:id="rId372" ref="E197"/>
    <hyperlink r:id="rId373" ref="F197"/>
    <hyperlink r:id="rId374" ref="C198"/>
    <hyperlink r:id="rId375" ref="C199"/>
    <hyperlink r:id="rId376" ref="D199"/>
    <hyperlink r:id="rId377" ref="C200"/>
    <hyperlink r:id="rId378" ref="D200"/>
    <hyperlink r:id="rId379" ref="C201"/>
    <hyperlink r:id="rId380" ref="D201"/>
    <hyperlink r:id="rId381" ref="C202"/>
    <hyperlink r:id="rId382" ref="D202"/>
    <hyperlink r:id="rId383" ref="C203"/>
    <hyperlink r:id="rId384" ref="D203"/>
    <hyperlink r:id="rId385" ref="C204"/>
    <hyperlink r:id="rId386" ref="D204"/>
    <hyperlink r:id="rId387" ref="C205"/>
    <hyperlink r:id="rId388" ref="D205"/>
    <hyperlink r:id="rId389" ref="C206"/>
    <hyperlink r:id="rId390" ref="D206"/>
    <hyperlink r:id="rId391" ref="C207"/>
    <hyperlink r:id="rId392" ref="D207"/>
    <hyperlink r:id="rId393" ref="C208"/>
    <hyperlink r:id="rId394" ref="D208"/>
    <hyperlink r:id="rId395" ref="C209"/>
    <hyperlink r:id="rId396" ref="D209"/>
    <hyperlink r:id="rId397" ref="C210"/>
    <hyperlink r:id="rId398" ref="D210"/>
    <hyperlink r:id="rId399" ref="C211"/>
    <hyperlink r:id="rId400" ref="D211"/>
    <hyperlink r:id="rId401" ref="C212"/>
    <hyperlink r:id="rId402" ref="D212"/>
    <hyperlink r:id="rId403" ref="C213"/>
    <hyperlink r:id="rId404" ref="D213"/>
    <hyperlink r:id="rId405" ref="C214"/>
    <hyperlink r:id="rId406" ref="D214"/>
    <hyperlink r:id="rId407" ref="C215"/>
    <hyperlink r:id="rId408" ref="D215"/>
    <hyperlink r:id="rId409" ref="C216"/>
    <hyperlink r:id="rId410" ref="D216"/>
    <hyperlink r:id="rId411" ref="C217"/>
    <hyperlink r:id="rId412" ref="D217"/>
    <hyperlink r:id="rId413" ref="C218"/>
    <hyperlink r:id="rId414" ref="D218"/>
    <hyperlink r:id="rId415" ref="C219"/>
    <hyperlink r:id="rId416" ref="D219"/>
    <hyperlink r:id="rId417" ref="C220"/>
    <hyperlink r:id="rId418" ref="D220"/>
    <hyperlink r:id="rId419" ref="C221"/>
    <hyperlink r:id="rId420" ref="D221"/>
    <hyperlink r:id="rId421" ref="C222"/>
    <hyperlink r:id="rId422" ref="D222"/>
    <hyperlink r:id="rId423" ref="C223"/>
    <hyperlink r:id="rId424" ref="D223"/>
    <hyperlink r:id="rId425" ref="C224"/>
    <hyperlink r:id="rId426" ref="D224"/>
    <hyperlink r:id="rId427" ref="C225"/>
    <hyperlink r:id="rId428" ref="D225"/>
    <hyperlink r:id="rId429" ref="C226"/>
    <hyperlink r:id="rId430" ref="D226"/>
    <hyperlink r:id="rId431" ref="C227"/>
    <hyperlink r:id="rId432" ref="D227"/>
    <hyperlink r:id="rId433" ref="C228"/>
    <hyperlink r:id="rId434" ref="D228"/>
    <hyperlink r:id="rId435" ref="C229"/>
    <hyperlink r:id="rId436" ref="D229"/>
    <hyperlink r:id="rId437" ref="C230"/>
    <hyperlink r:id="rId438" ref="D230"/>
    <hyperlink r:id="rId439" ref="C231"/>
    <hyperlink r:id="rId440" ref="D231"/>
    <hyperlink r:id="rId441" ref="C232"/>
    <hyperlink r:id="rId442" ref="D232"/>
    <hyperlink r:id="rId443" ref="C233"/>
    <hyperlink r:id="rId444" ref="C234"/>
    <hyperlink r:id="rId445" ref="D234"/>
    <hyperlink r:id="rId446" ref="C235"/>
    <hyperlink r:id="rId447" ref="D235"/>
    <hyperlink r:id="rId448" ref="C236"/>
    <hyperlink r:id="rId449" ref="D236"/>
    <hyperlink r:id="rId450" ref="C237"/>
    <hyperlink r:id="rId451" ref="D237"/>
    <hyperlink r:id="rId452" ref="C238"/>
    <hyperlink r:id="rId453" ref="D238"/>
    <hyperlink r:id="rId454" ref="C239"/>
    <hyperlink r:id="rId455" ref="D239"/>
    <hyperlink r:id="rId456" ref="C240"/>
    <hyperlink r:id="rId457" ref="D240"/>
    <hyperlink r:id="rId458" ref="C241"/>
    <hyperlink r:id="rId459" ref="D241"/>
    <hyperlink r:id="rId460" ref="C242"/>
    <hyperlink r:id="rId461" ref="D242"/>
    <hyperlink r:id="rId462" ref="C243"/>
    <hyperlink r:id="rId463" ref="D243"/>
    <hyperlink r:id="rId464" ref="C244"/>
    <hyperlink r:id="rId465" ref="D244"/>
    <hyperlink r:id="rId466" ref="C245"/>
    <hyperlink r:id="rId467" ref="D245"/>
    <hyperlink r:id="rId468" ref="C246"/>
    <hyperlink r:id="rId469" ref="D246"/>
    <hyperlink r:id="rId470" ref="C247"/>
    <hyperlink r:id="rId471" ref="D247"/>
    <hyperlink r:id="rId472" ref="C248"/>
    <hyperlink r:id="rId473" ref="D248"/>
    <hyperlink r:id="rId474" ref="C249"/>
    <hyperlink r:id="rId475" ref="C250"/>
    <hyperlink r:id="rId476" ref="D250"/>
    <hyperlink r:id="rId477" ref="C251"/>
    <hyperlink r:id="rId478" ref="D251"/>
    <hyperlink r:id="rId479" ref="C252"/>
    <hyperlink r:id="rId480" ref="D252"/>
    <hyperlink r:id="rId481" ref="C253"/>
    <hyperlink r:id="rId482" ref="D253"/>
    <hyperlink r:id="rId483" ref="C254"/>
    <hyperlink r:id="rId484" ref="D254"/>
    <hyperlink r:id="rId485" ref="C255"/>
    <hyperlink r:id="rId486" ref="D255"/>
    <hyperlink r:id="rId487" ref="C256"/>
    <hyperlink r:id="rId488" ref="D256"/>
    <hyperlink r:id="rId489" ref="E256"/>
    <hyperlink r:id="rId490" ref="C257"/>
    <hyperlink r:id="rId491" ref="D257"/>
    <hyperlink r:id="rId492" ref="C258"/>
    <hyperlink r:id="rId493" ref="D258"/>
    <hyperlink r:id="rId494" ref="C259"/>
    <hyperlink r:id="rId495" ref="D259"/>
    <hyperlink r:id="rId496" ref="E259"/>
    <hyperlink r:id="rId497" ref="F259"/>
    <hyperlink r:id="rId498" ref="C260"/>
    <hyperlink r:id="rId499" ref="C261"/>
    <hyperlink r:id="rId500" ref="C262"/>
    <hyperlink r:id="rId501" ref="C263"/>
    <hyperlink r:id="rId502" ref="C264"/>
    <hyperlink r:id="rId503" ref="D264"/>
    <hyperlink r:id="rId504" ref="C265"/>
    <hyperlink r:id="rId505" ref="D265"/>
    <hyperlink r:id="rId506" ref="E265"/>
    <hyperlink r:id="rId507" ref="F265"/>
    <hyperlink r:id="rId508" ref="C266"/>
    <hyperlink r:id="rId509" ref="D266"/>
    <hyperlink r:id="rId510" ref="C267"/>
    <hyperlink r:id="rId511" ref="D267"/>
    <hyperlink r:id="rId512" ref="C268"/>
    <hyperlink r:id="rId513" ref="D268"/>
    <hyperlink r:id="rId514" ref="C269"/>
    <hyperlink r:id="rId515" ref="D269"/>
    <hyperlink r:id="rId516" ref="E269"/>
    <hyperlink r:id="rId517" ref="F269"/>
    <hyperlink r:id="rId518" ref="C270"/>
    <hyperlink r:id="rId519" ref="D270"/>
    <hyperlink r:id="rId520" ref="C271"/>
    <hyperlink r:id="rId521" ref="D271"/>
    <hyperlink r:id="rId522" ref="C272"/>
    <hyperlink r:id="rId523" ref="D272"/>
    <hyperlink r:id="rId524" ref="C273"/>
    <hyperlink r:id="rId525" ref="D273"/>
    <hyperlink r:id="rId526" ref="C274"/>
    <hyperlink r:id="rId527" ref="C275"/>
    <hyperlink r:id="rId528" ref="C276"/>
    <hyperlink r:id="rId529" ref="C277"/>
    <hyperlink r:id="rId530" ref="C278"/>
    <hyperlink r:id="rId531" ref="C280"/>
    <hyperlink r:id="rId532" ref="C281"/>
    <hyperlink r:id="rId533" ref="D281"/>
    <hyperlink r:id="rId534" ref="C282"/>
    <hyperlink r:id="rId535" ref="D282"/>
    <hyperlink r:id="rId536" ref="C283"/>
    <hyperlink r:id="rId537" ref="D283"/>
    <hyperlink r:id="rId538" ref="C284"/>
    <hyperlink r:id="rId539" ref="D284"/>
    <hyperlink r:id="rId540" ref="C285"/>
    <hyperlink r:id="rId541" ref="D285"/>
    <hyperlink r:id="rId542" ref="C286"/>
    <hyperlink r:id="rId543" ref="D286"/>
    <hyperlink r:id="rId544" ref="C287"/>
    <hyperlink r:id="rId545" ref="D287"/>
    <hyperlink r:id="rId546" ref="C288"/>
    <hyperlink r:id="rId547" ref="D288"/>
    <hyperlink r:id="rId548" ref="C289"/>
    <hyperlink r:id="rId549" ref="C290"/>
    <hyperlink r:id="rId550" ref="D290"/>
    <hyperlink r:id="rId551" ref="C291"/>
    <hyperlink r:id="rId552" ref="C292"/>
    <hyperlink r:id="rId553" ref="D292"/>
    <hyperlink r:id="rId554" ref="C293"/>
    <hyperlink r:id="rId555" ref="D293"/>
    <hyperlink r:id="rId556" ref="C294"/>
    <hyperlink r:id="rId557" ref="D294"/>
    <hyperlink r:id="rId558" ref="C295"/>
    <hyperlink r:id="rId559" ref="C296"/>
    <hyperlink r:id="rId560" ref="D296"/>
    <hyperlink r:id="rId561" ref="C297"/>
    <hyperlink r:id="rId562" ref="D297"/>
    <hyperlink r:id="rId563" ref="E297"/>
    <hyperlink r:id="rId564" ref="C298"/>
    <hyperlink r:id="rId565" ref="D298"/>
    <hyperlink r:id="rId566" ref="C299"/>
    <hyperlink r:id="rId567" ref="D299"/>
    <hyperlink r:id="rId568" ref="E299"/>
    <hyperlink r:id="rId569" ref="F299"/>
    <hyperlink r:id="rId570" ref="C300"/>
    <hyperlink r:id="rId571" ref="D300"/>
    <hyperlink r:id="rId572" ref="E300"/>
    <hyperlink r:id="rId573" ref="F300"/>
    <hyperlink r:id="rId574" ref="C301"/>
    <hyperlink r:id="rId575" ref="C302"/>
    <hyperlink r:id="rId576" ref="D302"/>
    <hyperlink r:id="rId577" ref="E302"/>
    <hyperlink r:id="rId578" ref="F302"/>
    <hyperlink r:id="rId579" ref="G302"/>
    <hyperlink r:id="rId580" ref="H302"/>
    <hyperlink r:id="rId581" ref="C303"/>
    <hyperlink r:id="rId582" ref="D303"/>
    <hyperlink r:id="rId583" ref="E303"/>
    <hyperlink r:id="rId584" ref="F303"/>
    <hyperlink r:id="rId585" ref="C304"/>
    <hyperlink r:id="rId586" ref="D304"/>
    <hyperlink r:id="rId587" ref="E304"/>
    <hyperlink r:id="rId588" ref="F304"/>
    <hyperlink r:id="rId589" ref="C305"/>
    <hyperlink r:id="rId590" ref="D305"/>
    <hyperlink r:id="rId591" ref="E305"/>
    <hyperlink r:id="rId592" ref="F305"/>
    <hyperlink r:id="rId593" ref="C306"/>
    <hyperlink r:id="rId594" ref="D306"/>
    <hyperlink r:id="rId595" ref="C307"/>
    <hyperlink r:id="rId596" ref="D307"/>
    <hyperlink r:id="rId597" ref="E307"/>
    <hyperlink r:id="rId598" ref="F307"/>
    <hyperlink r:id="rId599" ref="G307"/>
    <hyperlink r:id="rId600" ref="H307"/>
    <hyperlink r:id="rId601" ref="C308"/>
    <hyperlink r:id="rId602" ref="D308"/>
    <hyperlink r:id="rId603" ref="E308"/>
    <hyperlink r:id="rId604" ref="F308"/>
    <hyperlink r:id="rId605" ref="G308"/>
    <hyperlink r:id="rId606" ref="C309"/>
    <hyperlink r:id="rId607" ref="D309"/>
    <hyperlink r:id="rId608" ref="E309"/>
    <hyperlink r:id="rId609" ref="F309"/>
    <hyperlink r:id="rId610" ref="G309"/>
    <hyperlink r:id="rId611" ref="H309"/>
    <hyperlink r:id="rId612" ref="C310"/>
    <hyperlink r:id="rId613" ref="D310"/>
    <hyperlink r:id="rId614" ref="E310"/>
    <hyperlink r:id="rId615" ref="F310"/>
    <hyperlink r:id="rId616" ref="C311"/>
    <hyperlink r:id="rId617" ref="D311"/>
    <hyperlink r:id="rId618" ref="E311"/>
    <hyperlink r:id="rId619" ref="F311"/>
    <hyperlink r:id="rId620" ref="G311"/>
    <hyperlink r:id="rId621" ref="H311"/>
    <hyperlink r:id="rId622" ref="C312"/>
    <hyperlink r:id="rId623" ref="D312"/>
    <hyperlink r:id="rId624" ref="E312"/>
    <hyperlink r:id="rId625" ref="F312"/>
    <hyperlink r:id="rId626" ref="G312"/>
    <hyperlink r:id="rId627" ref="H312"/>
    <hyperlink r:id="rId628" ref="C313"/>
    <hyperlink r:id="rId629" ref="D313"/>
    <hyperlink r:id="rId630" ref="C314"/>
    <hyperlink r:id="rId631" ref="D314"/>
    <hyperlink r:id="rId632" ref="E314"/>
    <hyperlink r:id="rId633" ref="F314"/>
    <hyperlink r:id="rId634" ref="G314"/>
    <hyperlink r:id="rId635" ref="H314"/>
    <hyperlink r:id="rId636" ref="C315"/>
    <hyperlink r:id="rId637" ref="D315"/>
    <hyperlink r:id="rId638" ref="C316"/>
    <hyperlink r:id="rId639" ref="D316"/>
    <hyperlink r:id="rId640" ref="E316"/>
    <hyperlink r:id="rId641" ref="F316"/>
    <hyperlink r:id="rId642" ref="C317"/>
    <hyperlink r:id="rId643" ref="D317"/>
    <hyperlink r:id="rId644" ref="E317"/>
    <hyperlink r:id="rId645" ref="F317"/>
    <hyperlink r:id="rId646" ref="G317"/>
    <hyperlink r:id="rId647" ref="H317"/>
    <hyperlink r:id="rId648" ref="C318"/>
    <hyperlink r:id="rId649" ref="C319"/>
    <hyperlink r:id="rId650" ref="D319"/>
    <hyperlink r:id="rId651" ref="E319"/>
    <hyperlink r:id="rId652" ref="F319"/>
    <hyperlink r:id="rId653" ref="C320"/>
    <hyperlink r:id="rId654" ref="C321"/>
    <hyperlink r:id="rId655" ref="D321"/>
    <hyperlink r:id="rId656" ref="E321"/>
    <hyperlink r:id="rId657" ref="C322"/>
    <hyperlink r:id="rId658" ref="D322"/>
    <hyperlink r:id="rId659" ref="C323"/>
    <hyperlink r:id="rId660" ref="C324"/>
    <hyperlink r:id="rId661" ref="D324"/>
    <hyperlink r:id="rId662" ref="C325"/>
    <hyperlink r:id="rId663" ref="D325"/>
    <hyperlink r:id="rId664" ref="E325"/>
    <hyperlink r:id="rId665" ref="F325"/>
    <hyperlink r:id="rId666" ref="C326"/>
    <hyperlink r:id="rId667" ref="D326"/>
    <hyperlink r:id="rId668" ref="E326"/>
    <hyperlink r:id="rId669" ref="C327"/>
  </hyperlinks>
  <drawing r:id="rId67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38"/>
    <col customWidth="1" min="2" max="2" width="25.63"/>
    <col customWidth="1" min="6" max="6" width="9.25"/>
    <col customWidth="1" min="7" max="7" width="11.5"/>
  </cols>
  <sheetData>
    <row r="1">
      <c r="A1" s="2" t="s">
        <v>985</v>
      </c>
      <c r="B1" s="2" t="s">
        <v>986</v>
      </c>
      <c r="C1" s="2" t="s">
        <v>987</v>
      </c>
      <c r="D1" s="2" t="s">
        <v>988</v>
      </c>
      <c r="E1" s="6" t="s">
        <v>989</v>
      </c>
      <c r="F1" s="2" t="s">
        <v>990</v>
      </c>
      <c r="G1" s="2" t="s">
        <v>988</v>
      </c>
      <c r="H1" s="2" t="s">
        <v>991</v>
      </c>
      <c r="I1" s="2" t="s">
        <v>992</v>
      </c>
      <c r="J1" s="2" t="s">
        <v>993</v>
      </c>
      <c r="K1" s="2" t="s">
        <v>994</v>
      </c>
      <c r="L1" s="2" t="s">
        <v>995</v>
      </c>
      <c r="M1" s="2" t="s">
        <v>996</v>
      </c>
    </row>
    <row r="2">
      <c r="A2" s="2">
        <v>2.0</v>
      </c>
      <c r="B2" s="2" t="s">
        <v>997</v>
      </c>
      <c r="C2" s="2" t="s">
        <v>997</v>
      </c>
      <c r="D2" s="2" t="s">
        <v>998</v>
      </c>
      <c r="E2" s="6" t="s">
        <v>999</v>
      </c>
      <c r="F2" s="2" t="s">
        <v>1000</v>
      </c>
      <c r="G2" s="2" t="s">
        <v>1001</v>
      </c>
      <c r="H2" s="2" t="s">
        <v>1002</v>
      </c>
      <c r="I2" s="2" t="s">
        <v>1003</v>
      </c>
      <c r="O2" s="6" t="str">
        <f>E2&amp;" OR "&amp;E3</f>
        <v>COSAN OR DOMMO</v>
      </c>
    </row>
    <row r="3">
      <c r="A3" s="2">
        <v>1.0</v>
      </c>
      <c r="B3" s="2" t="s">
        <v>997</v>
      </c>
      <c r="C3" s="2" t="s">
        <v>997</v>
      </c>
      <c r="D3" s="2" t="s">
        <v>998</v>
      </c>
      <c r="E3" s="6" t="s">
        <v>1004</v>
      </c>
      <c r="F3" s="2" t="s">
        <v>1005</v>
      </c>
      <c r="G3" s="2"/>
      <c r="H3" s="22" t="str">
        <f>VLOOKUP(E3,'Lista Infomoney'!B:H,2,FALSE)</f>
        <v>DMMO11</v>
      </c>
      <c r="I3" s="22" t="str">
        <f>VLOOKUP(E3,'Lista Infomoney'!B:F,3,FALSE)</f>
        <v>DMMO3F</v>
      </c>
      <c r="J3" s="22" t="str">
        <f>VLOOKUP(E3,'Lista Infomoney'!B:F,4,FALSE)</f>
        <v>DMMO3</v>
      </c>
      <c r="K3" s="2" t="s">
        <v>1006</v>
      </c>
      <c r="O3" s="6" t="str">
        <f t="shared" ref="O3:O533" si="1">O2&amp;" OR "&amp;E4</f>
        <v>COSAN OR DOMMO OR ENAUTA PART</v>
      </c>
    </row>
    <row r="4">
      <c r="A4" s="2">
        <v>1.0</v>
      </c>
      <c r="B4" s="2" t="s">
        <v>997</v>
      </c>
      <c r="C4" s="2" t="s">
        <v>997</v>
      </c>
      <c r="D4" s="2" t="s">
        <v>998</v>
      </c>
      <c r="E4" s="6" t="s">
        <v>1007</v>
      </c>
      <c r="F4" s="2" t="s">
        <v>1008</v>
      </c>
      <c r="G4" s="2" t="s">
        <v>1001</v>
      </c>
      <c r="H4" s="22" t="str">
        <f>VLOOKUP(E4,'Lista Infomoney'!B:H,2,FALSE)</f>
        <v>ENAT3</v>
      </c>
      <c r="I4" s="6" t="str">
        <f>VLOOKUP(E4,'Lista Infomoney'!B:F,3,FALSE)</f>
        <v/>
      </c>
      <c r="J4" s="6" t="str">
        <f>VLOOKUP(E4,'Lista Infomoney'!B:F,4,FALSE)</f>
        <v/>
      </c>
      <c r="K4" s="6" t="str">
        <f>VLOOKUP(E4,'Lista Infomoney'!B:F,5,FALSE)</f>
        <v/>
      </c>
      <c r="O4" s="6" t="str">
        <f t="shared" si="1"/>
        <v>COSAN OR DOMMO OR ENAUTA PART OR PET MANGUINHOS</v>
      </c>
    </row>
    <row r="5">
      <c r="A5" s="2">
        <v>1.0</v>
      </c>
      <c r="B5" s="2" t="s">
        <v>997</v>
      </c>
      <c r="C5" s="2" t="s">
        <v>997</v>
      </c>
      <c r="D5" s="2" t="s">
        <v>998</v>
      </c>
      <c r="E5" s="2" t="s">
        <v>1009</v>
      </c>
      <c r="F5" s="2" t="s">
        <v>1010</v>
      </c>
      <c r="G5" s="2"/>
      <c r="H5" s="22" t="str">
        <f>VLOOKUP(E5,'Lista Infomoney'!B:H,2,FALSE)</f>
        <v>RPMG3F</v>
      </c>
      <c r="I5" s="22" t="str">
        <f>VLOOKUP(E5,'Lista Infomoney'!B:F,3,FALSE)</f>
        <v>RPMG3</v>
      </c>
      <c r="J5" s="6" t="str">
        <f>VLOOKUP(E5,'Lista Infomoney'!B:F,4,FALSE)</f>
        <v/>
      </c>
      <c r="K5" s="6" t="str">
        <f>VLOOKUP(E5,'Lista Infomoney'!B:F,5,FALSE)</f>
        <v/>
      </c>
      <c r="O5" s="6" t="str">
        <f t="shared" si="1"/>
        <v>COSAN OR DOMMO OR ENAUTA PART OR PET MANGUINHOS OR PETROBRAS</v>
      </c>
    </row>
    <row r="6">
      <c r="A6" s="2">
        <v>1.0</v>
      </c>
      <c r="B6" s="2" t="s">
        <v>997</v>
      </c>
      <c r="C6" s="2" t="s">
        <v>997</v>
      </c>
      <c r="D6" s="2" t="s">
        <v>998</v>
      </c>
      <c r="E6" s="6" t="s">
        <v>1011</v>
      </c>
      <c r="F6" s="2" t="s">
        <v>1012</v>
      </c>
      <c r="G6" s="2" t="s">
        <v>1013</v>
      </c>
      <c r="H6" s="22" t="str">
        <f>VLOOKUP(E6,'Lista Infomoney'!B:H,2,FALSE)</f>
        <v>PETR4F</v>
      </c>
      <c r="I6" s="22" t="str">
        <f>VLOOKUP(E6,'Lista Infomoney'!B:F,3,FALSE)</f>
        <v>PETR4</v>
      </c>
      <c r="J6" s="22" t="str">
        <f>VLOOKUP(E6,'Lista Infomoney'!B:F,4,FALSE)</f>
        <v>PETR3F</v>
      </c>
      <c r="K6" s="22" t="str">
        <f>VLOOKUP(E6,'Lista Infomoney'!B:F,5,FALSE)</f>
        <v>PETR3</v>
      </c>
      <c r="O6" s="6" t="str">
        <f t="shared" si="1"/>
        <v>COSAN OR DOMMO OR ENAUTA PART OR PET MANGUINHOS OR PETROBRAS OR Petrobras Distribuidora</v>
      </c>
    </row>
    <row r="7">
      <c r="A7" s="2">
        <v>1.0</v>
      </c>
      <c r="B7" s="2" t="s">
        <v>997</v>
      </c>
      <c r="C7" s="2" t="s">
        <v>997</v>
      </c>
      <c r="D7" s="2" t="s">
        <v>998</v>
      </c>
      <c r="E7" s="2" t="s">
        <v>751</v>
      </c>
      <c r="F7" s="2" t="s">
        <v>1014</v>
      </c>
      <c r="G7" s="2" t="s">
        <v>1001</v>
      </c>
      <c r="H7" s="22" t="str">
        <f>VLOOKUP(E7,'Lista Infomoney'!B:H,2,FALSE)</f>
        <v>BRDT3</v>
      </c>
      <c r="I7" s="6" t="str">
        <f>VLOOKUP(E7,'Lista Infomoney'!B:F,3,FALSE)</f>
        <v/>
      </c>
      <c r="J7" s="6" t="str">
        <f>VLOOKUP(E7,'Lista Infomoney'!B:F,4,FALSE)</f>
        <v/>
      </c>
      <c r="K7" s="6" t="str">
        <f>VLOOKUP(E7,'Lista Infomoney'!B:F,5,FALSE)</f>
        <v/>
      </c>
      <c r="O7" s="6" t="str">
        <f t="shared" si="1"/>
        <v>COSAN OR DOMMO OR ENAUTA PART OR PET MANGUINHOS OR PETROBRAS OR Petrobras Distribuidora OR PETRORIO</v>
      </c>
    </row>
    <row r="8">
      <c r="A8" s="2">
        <v>1.0</v>
      </c>
      <c r="B8" s="2" t="s">
        <v>997</v>
      </c>
      <c r="C8" s="2" t="s">
        <v>997</v>
      </c>
      <c r="D8" s="2" t="s">
        <v>998</v>
      </c>
      <c r="E8" s="2" t="s">
        <v>730</v>
      </c>
      <c r="F8" s="2" t="s">
        <v>1015</v>
      </c>
      <c r="G8" s="2" t="s">
        <v>1001</v>
      </c>
      <c r="H8" s="22" t="str">
        <f>VLOOKUP(E8,'Lista Infomoney'!B:H,2,FALSE)</f>
        <v>PRIO3F</v>
      </c>
      <c r="I8" s="22" t="str">
        <f>VLOOKUP(E8,'Lista Infomoney'!B:F,3,FALSE)</f>
        <v>PRIO3</v>
      </c>
      <c r="J8" s="6" t="str">
        <f>VLOOKUP(E8,'Lista Infomoney'!B:F,4,FALSE)</f>
        <v/>
      </c>
      <c r="K8" s="6" t="str">
        <f>VLOOKUP(E8,'Lista Infomoney'!B:F,5,FALSE)</f>
        <v/>
      </c>
      <c r="O8" s="6" t="str">
        <f t="shared" si="1"/>
        <v>COSAN OR DOMMO OR ENAUTA PART OR PET MANGUINHOS OR PETROBRAS OR Petrobras Distribuidora OR PETRORIO OR ULTRAPAR</v>
      </c>
    </row>
    <row r="9">
      <c r="A9" s="2">
        <v>1.0</v>
      </c>
      <c r="B9" s="2" t="s">
        <v>997</v>
      </c>
      <c r="C9" s="2" t="s">
        <v>997</v>
      </c>
      <c r="D9" s="2" t="s">
        <v>998</v>
      </c>
      <c r="E9" s="2" t="s">
        <v>1016</v>
      </c>
      <c r="F9" s="2" t="s">
        <v>1017</v>
      </c>
      <c r="G9" s="2" t="s">
        <v>1001</v>
      </c>
      <c r="H9" s="22" t="str">
        <f>VLOOKUP(E9,'Lista Infomoney'!B:H,2,FALSE)</f>
        <v>UGPA3</v>
      </c>
      <c r="I9" s="22" t="str">
        <f>VLOOKUP(E9,'Lista Infomoney'!B:F,3,FALSE)</f>
        <v>UGPA3F</v>
      </c>
      <c r="J9" s="6" t="str">
        <f>VLOOKUP(E9,'Lista Infomoney'!B:F,4,FALSE)</f>
        <v/>
      </c>
      <c r="K9" s="6" t="str">
        <f>VLOOKUP(E9,'Lista Infomoney'!B:F,5,FALSE)</f>
        <v/>
      </c>
      <c r="O9" s="6" t="str">
        <f t="shared" si="1"/>
        <v>COSAN OR DOMMO OR ENAUTA PART OR PET MANGUINHOS OR PETROBRAS OR Petrobras Distribuidora OR PETRORIO OR ULTRAPAR OR LUPATECH</v>
      </c>
    </row>
    <row r="10">
      <c r="A10" s="2">
        <v>1.0</v>
      </c>
      <c r="B10" s="2" t="s">
        <v>997</v>
      </c>
      <c r="C10" s="2" t="s">
        <v>997</v>
      </c>
      <c r="D10" s="2" t="s">
        <v>1018</v>
      </c>
      <c r="E10" s="2" t="s">
        <v>1019</v>
      </c>
      <c r="F10" s="2" t="s">
        <v>1020</v>
      </c>
      <c r="G10" s="2" t="s">
        <v>1001</v>
      </c>
      <c r="H10" s="22" t="str">
        <f>VLOOKUP(E10,'Lista Infomoney'!B:H,2,FALSE)</f>
        <v>LUPA3F</v>
      </c>
      <c r="I10" s="22" t="str">
        <f>VLOOKUP(E10,'Lista Infomoney'!B:F,3,FALSE)</f>
        <v>LUPA3</v>
      </c>
      <c r="J10" s="2" t="s">
        <v>1021</v>
      </c>
      <c r="K10" s="6" t="str">
        <f>VLOOKUP(E10,'Lista Infomoney'!B:F,5,FALSE)</f>
        <v/>
      </c>
      <c r="O10" s="6" t="str">
        <f t="shared" si="1"/>
        <v>COSAN OR DOMMO OR ENAUTA PART OR PET MANGUINHOS OR PETROBRAS OR Petrobras Distribuidora OR PETRORIO OR ULTRAPAR OR LUPATECH OR OSX BRASIL</v>
      </c>
    </row>
    <row r="11">
      <c r="A11" s="2">
        <v>1.0</v>
      </c>
      <c r="B11" s="2" t="s">
        <v>997</v>
      </c>
      <c r="C11" s="2" t="s">
        <v>997</v>
      </c>
      <c r="D11" s="2" t="s">
        <v>1018</v>
      </c>
      <c r="E11" s="2" t="s">
        <v>1022</v>
      </c>
      <c r="F11" s="2" t="s">
        <v>1023</v>
      </c>
      <c r="G11" s="2" t="s">
        <v>1001</v>
      </c>
      <c r="H11" s="22" t="str">
        <f>VLOOKUP(E11,'Lista Infomoney'!B:H,2,FALSE)</f>
        <v>OSXB3F</v>
      </c>
      <c r="I11" s="22" t="str">
        <f>VLOOKUP(E11,'Lista Infomoney'!B:F,3,FALSE)</f>
        <v>OSXB3</v>
      </c>
      <c r="J11" s="6" t="str">
        <f>VLOOKUP(E11,'Lista Infomoney'!B:F,4,FALSE)</f>
        <v/>
      </c>
      <c r="K11" s="6" t="str">
        <f>VLOOKUP(E11,'Lista Infomoney'!B:F,5,FALSE)</f>
        <v/>
      </c>
      <c r="O11" s="6" t="str">
        <f t="shared" si="1"/>
        <v>COSAN OR DOMMO OR ENAUTA PART OR PET MANGUINHOS OR PETROBRAS OR Petrobras Distribuidora OR PETRORIO OR ULTRAPAR OR LUPATECH OR OSX BRASIL OR BRADESPAR</v>
      </c>
    </row>
    <row r="12">
      <c r="A12" s="2">
        <v>1.0</v>
      </c>
      <c r="B12" s="2" t="s">
        <v>1024</v>
      </c>
      <c r="C12" s="2" t="s">
        <v>1025</v>
      </c>
      <c r="D12" s="2" t="s">
        <v>1026</v>
      </c>
      <c r="E12" s="2" t="s">
        <v>1027</v>
      </c>
      <c r="F12" s="2" t="s">
        <v>1028</v>
      </c>
      <c r="G12" s="2" t="s">
        <v>1029</v>
      </c>
      <c r="H12" s="22" t="str">
        <f>VLOOKUP(E12,'Lista Infomoney'!B:H,2,FALSE)</f>
        <v>BRAP4F</v>
      </c>
      <c r="I12" s="22" t="str">
        <f>VLOOKUP(E12,'Lista Infomoney'!B:F,3,FALSE)</f>
        <v>BRAP4</v>
      </c>
      <c r="J12" s="22" t="str">
        <f>VLOOKUP(E12,'Lista Infomoney'!B:F,4,FALSE)</f>
        <v>BRAP3F</v>
      </c>
      <c r="K12" s="22" t="str">
        <f>VLOOKUP(E12,'Lista Infomoney'!B:F,5,FALSE)</f>
        <v>BRAP3</v>
      </c>
      <c r="O12" s="6" t="str">
        <f t="shared" si="1"/>
        <v>COSAN OR DOMMO OR ENAUTA PART OR PET MANGUINHOS OR PETROBRAS OR Petrobras Distribuidora OR PETRORIO OR ULTRAPAR OR LUPATECH OR OSX BRASIL OR BRADESPAR OR LITEL</v>
      </c>
    </row>
    <row r="13">
      <c r="A13" s="2">
        <v>2.0</v>
      </c>
      <c r="B13" s="2" t="s">
        <v>1024</v>
      </c>
      <c r="C13" s="2" t="s">
        <v>1025</v>
      </c>
      <c r="D13" s="2" t="s">
        <v>1026</v>
      </c>
      <c r="E13" s="2" t="s">
        <v>1030</v>
      </c>
      <c r="F13" s="2" t="s">
        <v>1031</v>
      </c>
      <c r="G13" s="2" t="s">
        <v>1032</v>
      </c>
      <c r="H13" s="2" t="s">
        <v>1033</v>
      </c>
      <c r="I13" s="2" t="s">
        <v>1034</v>
      </c>
      <c r="J13" s="2" t="s">
        <v>1035</v>
      </c>
      <c r="K13" s="2" t="s">
        <v>1036</v>
      </c>
      <c r="O13" s="6" t="str">
        <f t="shared" si="1"/>
        <v>COSAN OR DOMMO OR ENAUTA PART OR PET MANGUINHOS OR PETROBRAS OR Petrobras Distribuidora OR PETRORIO OR ULTRAPAR OR LUPATECH OR OSX BRASIL OR BRADESPAR OR LITEL OR LITELA</v>
      </c>
    </row>
    <row r="14">
      <c r="A14" s="2">
        <v>2.0</v>
      </c>
      <c r="B14" s="2" t="s">
        <v>1024</v>
      </c>
      <c r="C14" s="2" t="s">
        <v>1025</v>
      </c>
      <c r="D14" s="2" t="s">
        <v>1026</v>
      </c>
      <c r="E14" s="2" t="s">
        <v>1037</v>
      </c>
      <c r="F14" s="2" t="s">
        <v>1038</v>
      </c>
      <c r="G14" s="2" t="s">
        <v>1032</v>
      </c>
      <c r="H14" s="2" t="s">
        <v>1039</v>
      </c>
      <c r="O14" s="6" t="str">
        <f t="shared" si="1"/>
        <v>COSAN OR DOMMO OR ENAUTA PART OR PET MANGUINHOS OR PETROBRAS OR Petrobras Distribuidora OR PETRORIO OR ULTRAPAR OR LUPATECH OR OSX BRASIL OR BRADESPAR OR LITEL OR LITELA OR MMX Mineração</v>
      </c>
    </row>
    <row r="15">
      <c r="A15" s="2">
        <v>1.0</v>
      </c>
      <c r="B15" s="2" t="s">
        <v>1024</v>
      </c>
      <c r="C15" s="2" t="s">
        <v>1025</v>
      </c>
      <c r="D15" s="2" t="s">
        <v>1026</v>
      </c>
      <c r="E15" s="2" t="s">
        <v>79</v>
      </c>
      <c r="F15" s="2" t="s">
        <v>1040</v>
      </c>
      <c r="G15" s="2" t="s">
        <v>1001</v>
      </c>
      <c r="H15" s="22" t="str">
        <f>VLOOKUP(E15,'Lista Infomoney'!B:H,2,FALSE)</f>
        <v>MMXM11F</v>
      </c>
      <c r="I15" s="22" t="str">
        <f>VLOOKUP(E15,'Lista Infomoney'!B:F,3,FALSE)</f>
        <v>MMXM3F</v>
      </c>
      <c r="J15" s="2" t="s">
        <v>547</v>
      </c>
      <c r="K15" s="2" t="s">
        <v>546</v>
      </c>
      <c r="O15" s="6" t="str">
        <f t="shared" si="1"/>
        <v>COSAN OR DOMMO OR ENAUTA PART OR PET MANGUINHOS OR PETROBRAS OR Petrobras Distribuidora OR PETRORIO OR ULTRAPAR OR LUPATECH OR OSX BRASIL OR BRADESPAR OR LITEL OR LITELA OR MMX Mineração OR VALE</v>
      </c>
    </row>
    <row r="16">
      <c r="A16" s="2">
        <v>1.0</v>
      </c>
      <c r="B16" s="2" t="s">
        <v>1024</v>
      </c>
      <c r="C16" s="2" t="s">
        <v>1025</v>
      </c>
      <c r="D16" s="2" t="s">
        <v>1026</v>
      </c>
      <c r="E16" s="2" t="s">
        <v>1041</v>
      </c>
      <c r="F16" s="2" t="s">
        <v>1041</v>
      </c>
      <c r="G16" s="2" t="s">
        <v>1001</v>
      </c>
      <c r="H16" s="22" t="str">
        <f>VLOOKUP(E16,'Lista Infomoney'!B:H,2,FALSE)</f>
        <v>VALE3</v>
      </c>
      <c r="I16" s="2" t="s">
        <v>1042</v>
      </c>
      <c r="J16" s="6" t="str">
        <f>VLOOKUP(E16,'Lista Infomoney'!B:F,4,FALSE)</f>
        <v/>
      </c>
      <c r="K16" s="6" t="str">
        <f>VLOOKUP(E16,'Lista Infomoney'!B:F,5,FALSE)</f>
        <v/>
      </c>
      <c r="O16" s="6" t="str">
        <f t="shared" si="1"/>
        <v>COSAN OR DOMMO OR ENAUTA PART OR PET MANGUINHOS OR PETROBRAS OR Petrobras Distribuidora OR PETRORIO OR ULTRAPAR OR LUPATECH OR OSX BRASIL OR BRADESPAR OR LITEL OR LITELA OR MMX Mineração OR VALE OR FERBASA</v>
      </c>
    </row>
    <row r="17">
      <c r="A17" s="2">
        <v>1.0</v>
      </c>
      <c r="B17" s="2" t="s">
        <v>1024</v>
      </c>
      <c r="C17" s="2" t="s">
        <v>1043</v>
      </c>
      <c r="D17" s="2" t="s">
        <v>1044</v>
      </c>
      <c r="E17" s="2" t="s">
        <v>1045</v>
      </c>
      <c r="F17" s="2" t="s">
        <v>1046</v>
      </c>
      <c r="G17" s="2" t="s">
        <v>1029</v>
      </c>
      <c r="H17" s="22" t="str">
        <f>VLOOKUP(E17,'Lista Infomoney'!B:H,2,FALSE)</f>
        <v>FESA4F</v>
      </c>
      <c r="I17" s="22" t="str">
        <f>VLOOKUP(E17,'Lista Infomoney'!B:F,3,FALSE)</f>
        <v>FESA3F</v>
      </c>
      <c r="J17" s="22" t="str">
        <f>VLOOKUP(E17,'Lista Infomoney'!B:F,4,FALSE)</f>
        <v>FESA4</v>
      </c>
      <c r="K17" s="22" t="str">
        <f>VLOOKUP(E17,'Lista Infomoney'!B:F,5,FALSE)</f>
        <v>FESA3</v>
      </c>
      <c r="O17" s="6" t="str">
        <f t="shared" si="1"/>
        <v>COSAN OR DOMMO OR ENAUTA PART OR PET MANGUINHOS OR PETROBRAS OR Petrobras Distribuidora OR PETRORIO OR ULTRAPAR OR LUPATECH OR OSX BRASIL OR BRADESPAR OR LITEL OR LITELA OR MMX Mineração OR VALE OR FERBASA OR GERDAU</v>
      </c>
    </row>
    <row r="18">
      <c r="A18" s="2">
        <v>1.0</v>
      </c>
      <c r="B18" s="2" t="s">
        <v>1024</v>
      </c>
      <c r="C18" s="2" t="s">
        <v>1043</v>
      </c>
      <c r="D18" s="2" t="s">
        <v>1044</v>
      </c>
      <c r="E18" s="2" t="s">
        <v>1047</v>
      </c>
      <c r="F18" s="2" t="s">
        <v>1048</v>
      </c>
      <c r="G18" s="2" t="s">
        <v>1029</v>
      </c>
      <c r="H18" s="23" t="s">
        <v>1049</v>
      </c>
      <c r="I18" s="2" t="s">
        <v>1050</v>
      </c>
      <c r="J18" s="2" t="s">
        <v>1051</v>
      </c>
      <c r="K18" s="2" t="s">
        <v>1052</v>
      </c>
      <c r="O18" s="6" t="str">
        <f t="shared" si="1"/>
        <v>COSAN OR DOMMO OR ENAUTA PART OR PET MANGUINHOS OR PETROBRAS OR Petrobras Distribuidora OR PETRORIO OR ULTRAPAR OR LUPATECH OR OSX BRASIL OR BRADESPAR OR LITEL OR LITELA OR MMX Mineração OR VALE OR FERBASA OR GERDAU OR GERDAU MET</v>
      </c>
    </row>
    <row r="19">
      <c r="A19" s="2">
        <v>2.0</v>
      </c>
      <c r="B19" s="2" t="s">
        <v>1024</v>
      </c>
      <c r="C19" s="2" t="s">
        <v>1043</v>
      </c>
      <c r="D19" s="2" t="s">
        <v>1044</v>
      </c>
      <c r="E19" s="2" t="s">
        <v>1053</v>
      </c>
      <c r="F19" s="2" t="s">
        <v>1054</v>
      </c>
      <c r="G19" s="2" t="s">
        <v>1029</v>
      </c>
      <c r="H19" s="2" t="s">
        <v>1055</v>
      </c>
      <c r="I19" s="2" t="s">
        <v>549</v>
      </c>
      <c r="J19" s="2" t="s">
        <v>1056</v>
      </c>
      <c r="K19" s="2" t="s">
        <v>1057</v>
      </c>
      <c r="O19" s="6" t="str">
        <f t="shared" si="1"/>
        <v>COSAN OR DOMMO OR ENAUTA PART OR PET MANGUINHOS OR PETROBRAS OR Petrobras Distribuidora OR PETRORIO OR ULTRAPAR OR LUPATECH OR OSX BRASIL OR BRADESPAR OR LITEL OR LITELA OR MMX Mineração OR VALE OR FERBASA OR GERDAU OR GERDAU MET OR CSN</v>
      </c>
    </row>
    <row r="20">
      <c r="A20" s="2">
        <v>1.0</v>
      </c>
      <c r="B20" s="2" t="s">
        <v>1024</v>
      </c>
      <c r="C20" s="2" t="s">
        <v>1043</v>
      </c>
      <c r="D20" s="2" t="s">
        <v>1044</v>
      </c>
      <c r="E20" s="2" t="s">
        <v>550</v>
      </c>
      <c r="F20" s="2" t="s">
        <v>1058</v>
      </c>
      <c r="G20" s="2"/>
      <c r="H20" s="22" t="str">
        <f>VLOOKUP(E20,'Lista Infomoney'!B:H,2,FALSE)</f>
        <v>CSNA3F</v>
      </c>
      <c r="I20" s="22" t="str">
        <f>VLOOKUP(E20,'Lista Infomoney'!B:F,3,FALSE)</f>
        <v>CSNA3</v>
      </c>
      <c r="J20" s="6" t="str">
        <f>VLOOKUP(E20,'Lista Infomoney'!B:F,4,FALSE)</f>
        <v/>
      </c>
      <c r="K20" s="6" t="str">
        <f>VLOOKUP(E20,'Lista Infomoney'!B:F,5,FALSE)</f>
        <v/>
      </c>
      <c r="O20" s="6" t="str">
        <f t="shared" si="1"/>
        <v>COSAN OR DOMMO OR ENAUTA PART OR PET MANGUINHOS OR PETROBRAS OR Petrobras Distribuidora OR PETRORIO OR ULTRAPAR OR LUPATECH OR OSX BRASIL OR BRADESPAR OR LITEL OR LITELA OR MMX Mineração OR VALE OR FERBASA OR GERDAU OR GERDAU MET OR CSN OR USIMINAS</v>
      </c>
    </row>
    <row r="21">
      <c r="A21" s="2">
        <v>1.0</v>
      </c>
      <c r="B21" s="2" t="s">
        <v>1024</v>
      </c>
      <c r="C21" s="2" t="s">
        <v>1043</v>
      </c>
      <c r="D21" s="2" t="s">
        <v>1044</v>
      </c>
      <c r="E21" s="2" t="s">
        <v>1059</v>
      </c>
      <c r="F21" s="2" t="s">
        <v>1060</v>
      </c>
      <c r="G21" s="2" t="s">
        <v>1029</v>
      </c>
      <c r="H21" s="22" t="str">
        <f>VLOOKUP(E21,'Lista Infomoney'!B:H,2,FALSE)</f>
        <v>USIM6</v>
      </c>
      <c r="I21" s="22" t="str">
        <f>VLOOKUP(E21,'Lista Infomoney'!B:F,3,FALSE)</f>
        <v>USIM5</v>
      </c>
      <c r="J21" s="22" t="str">
        <f>VLOOKUP(E21,'Lista Infomoney'!B:F,4,FALSE)</f>
        <v>USIM3</v>
      </c>
      <c r="K21" s="2" t="s">
        <v>1061</v>
      </c>
      <c r="L21" s="2" t="s">
        <v>1062</v>
      </c>
      <c r="M21" s="2" t="s">
        <v>1063</v>
      </c>
      <c r="O21"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v>
      </c>
    </row>
    <row r="22">
      <c r="A22" s="2">
        <v>2.0</v>
      </c>
      <c r="B22" s="2" t="s">
        <v>1024</v>
      </c>
      <c r="C22" s="2" t="s">
        <v>1043</v>
      </c>
      <c r="D22" s="2" t="s">
        <v>1064</v>
      </c>
      <c r="E22" s="2" t="s">
        <v>1065</v>
      </c>
      <c r="F22" s="2" t="s">
        <v>1066</v>
      </c>
      <c r="G22" s="2"/>
      <c r="H22" s="2" t="s">
        <v>1067</v>
      </c>
      <c r="I22" s="2" t="s">
        <v>1068</v>
      </c>
      <c r="J22" s="2" t="s">
        <v>1069</v>
      </c>
      <c r="K22" s="2" t="s">
        <v>1070</v>
      </c>
      <c r="O22"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v>
      </c>
    </row>
    <row r="23">
      <c r="A23" s="2">
        <v>2.0</v>
      </c>
      <c r="B23" s="2" t="s">
        <v>1024</v>
      </c>
      <c r="C23" s="2" t="s">
        <v>1043</v>
      </c>
      <c r="D23" s="2" t="s">
        <v>1064</v>
      </c>
      <c r="E23" s="2" t="s">
        <v>1071</v>
      </c>
      <c r="F23" s="2" t="s">
        <v>1072</v>
      </c>
      <c r="G23" s="2"/>
      <c r="H23" s="2" t="s">
        <v>1073</v>
      </c>
      <c r="I23" s="2" t="s">
        <v>1074</v>
      </c>
      <c r="J23" s="2" t="s">
        <v>1075</v>
      </c>
      <c r="K23" s="2" t="s">
        <v>1076</v>
      </c>
      <c r="L23" s="2" t="s">
        <v>1077</v>
      </c>
      <c r="M23" s="2" t="s">
        <v>1078</v>
      </c>
      <c r="O23"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v>
      </c>
    </row>
    <row r="24">
      <c r="A24" s="2">
        <v>2.0</v>
      </c>
      <c r="B24" s="2" t="s">
        <v>1024</v>
      </c>
      <c r="C24" s="2" t="s">
        <v>1043</v>
      </c>
      <c r="D24" s="2" t="s">
        <v>1064</v>
      </c>
      <c r="E24" s="2" t="s">
        <v>1079</v>
      </c>
      <c r="F24" s="2" t="s">
        <v>1080</v>
      </c>
      <c r="G24" s="2"/>
      <c r="H24" s="2" t="s">
        <v>1081</v>
      </c>
      <c r="I24" s="2" t="s">
        <v>1082</v>
      </c>
      <c r="J24" s="2" t="s">
        <v>1083</v>
      </c>
      <c r="K24" s="2" t="s">
        <v>1084</v>
      </c>
      <c r="O24"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v>
      </c>
    </row>
    <row r="25">
      <c r="A25" s="2">
        <v>1.0</v>
      </c>
      <c r="B25" s="2" t="s">
        <v>1024</v>
      </c>
      <c r="C25" s="2" t="s">
        <v>1043</v>
      </c>
      <c r="D25" s="2" t="s">
        <v>1085</v>
      </c>
      <c r="E25" s="2" t="s">
        <v>1086</v>
      </c>
      <c r="F25" s="2" t="s">
        <v>1087</v>
      </c>
      <c r="G25" s="2" t="s">
        <v>1001</v>
      </c>
      <c r="H25" s="22" t="str">
        <f>VLOOKUP(E25,'Lista Infomoney'!B:H,2,FALSE)</f>
        <v>PMAM3F</v>
      </c>
      <c r="I25" s="22" t="str">
        <f>VLOOKUP(E25,'Lista Infomoney'!B:F,3,FALSE)</f>
        <v>PMAM3</v>
      </c>
      <c r="J25" s="6" t="str">
        <f>VLOOKUP(E25,'Lista Infomoney'!B:F,4,FALSE)</f>
        <v/>
      </c>
      <c r="K25" s="6" t="str">
        <f>VLOOKUP(E25,'Lista Infomoney'!B:F,5,FALSE)</f>
        <v/>
      </c>
      <c r="O25"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v>
      </c>
    </row>
    <row r="26">
      <c r="A26" s="2">
        <v>1.0</v>
      </c>
      <c r="B26" s="2" t="s">
        <v>1024</v>
      </c>
      <c r="C26" s="2" t="s">
        <v>1088</v>
      </c>
      <c r="D26" s="2" t="s">
        <v>1089</v>
      </c>
      <c r="E26" s="2" t="s">
        <v>1090</v>
      </c>
      <c r="F26" s="2" t="s">
        <v>1091</v>
      </c>
      <c r="G26" s="2" t="s">
        <v>1029</v>
      </c>
      <c r="H26" s="22" t="str">
        <f>VLOOKUP(E26,'Lista Infomoney'!B:H,2,FALSE)</f>
        <v>BRKM6</v>
      </c>
      <c r="I26" s="22" t="str">
        <f>VLOOKUP(E26,'Lista Infomoney'!B:F,3,FALSE)</f>
        <v>BRKM5F</v>
      </c>
      <c r="J26" s="22" t="str">
        <f>VLOOKUP(E26,'Lista Infomoney'!B:F,4,FALSE)</f>
        <v>BRKM5</v>
      </c>
      <c r="K26" s="22" t="str">
        <f>VLOOKUP(E26,'Lista Infomoney'!B:F,5,FALSE)</f>
        <v>BRKM3</v>
      </c>
      <c r="L26" s="2" t="s">
        <v>1092</v>
      </c>
      <c r="M26" s="2" t="s">
        <v>1093</v>
      </c>
      <c r="O26"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v>
      </c>
    </row>
    <row r="27">
      <c r="A27" s="2">
        <v>2.0</v>
      </c>
      <c r="B27" s="2" t="s">
        <v>1024</v>
      </c>
      <c r="C27" s="2" t="s">
        <v>1088</v>
      </c>
      <c r="D27" s="2" t="s">
        <v>1089</v>
      </c>
      <c r="E27" s="2" t="s">
        <v>1094</v>
      </c>
      <c r="F27" s="2" t="s">
        <v>1095</v>
      </c>
      <c r="G27" s="2"/>
      <c r="H27" s="2" t="s">
        <v>1096</v>
      </c>
      <c r="I27" s="2" t="s">
        <v>1097</v>
      </c>
      <c r="J27" s="2" t="s">
        <v>1098</v>
      </c>
      <c r="K27" s="2" t="s">
        <v>1099</v>
      </c>
      <c r="O27"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v>
      </c>
    </row>
    <row r="28">
      <c r="A28" s="2">
        <v>2.0</v>
      </c>
      <c r="B28" s="2" t="s">
        <v>1024</v>
      </c>
      <c r="C28" s="2" t="s">
        <v>1088</v>
      </c>
      <c r="D28" s="2" t="s">
        <v>1100</v>
      </c>
      <c r="E28" s="2" t="s">
        <v>1101</v>
      </c>
      <c r="F28" s="2" t="s">
        <v>1102</v>
      </c>
      <c r="G28" s="2" t="s">
        <v>1001</v>
      </c>
      <c r="H28" s="2" t="s">
        <v>1103</v>
      </c>
      <c r="I28" s="2" t="s">
        <v>1104</v>
      </c>
      <c r="O28"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v>
      </c>
    </row>
    <row r="29">
      <c r="A29" s="2">
        <v>2.0</v>
      </c>
      <c r="B29" s="2" t="s">
        <v>1024</v>
      </c>
      <c r="C29" s="2" t="s">
        <v>1088</v>
      </c>
      <c r="D29" s="2" t="s">
        <v>1100</v>
      </c>
      <c r="E29" s="2" t="s">
        <v>1105</v>
      </c>
      <c r="F29" s="2" t="s">
        <v>1106</v>
      </c>
      <c r="G29" s="2" t="s">
        <v>1107</v>
      </c>
      <c r="H29" s="2" t="s">
        <v>1108</v>
      </c>
      <c r="I29" s="2" t="s">
        <v>1109</v>
      </c>
      <c r="O29"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v>
      </c>
    </row>
    <row r="30">
      <c r="A30" s="2">
        <v>2.0</v>
      </c>
      <c r="B30" s="2" t="s">
        <v>1024</v>
      </c>
      <c r="C30" s="2" t="s">
        <v>1088</v>
      </c>
      <c r="D30" s="2" t="s">
        <v>1110</v>
      </c>
      <c r="E30" s="2" t="s">
        <v>1111</v>
      </c>
      <c r="F30" s="2" t="s">
        <v>1112</v>
      </c>
      <c r="G30" s="2"/>
      <c r="H30" s="2" t="s">
        <v>1113</v>
      </c>
      <c r="I30" s="2" t="s">
        <v>1114</v>
      </c>
      <c r="J30" s="2" t="s">
        <v>1115</v>
      </c>
      <c r="K30" s="2" t="s">
        <v>1116</v>
      </c>
      <c r="L30" s="2" t="s">
        <v>1117</v>
      </c>
      <c r="M30" s="2" t="s">
        <v>1118</v>
      </c>
      <c r="O30"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v>
      </c>
    </row>
    <row r="31">
      <c r="A31" s="2">
        <v>1.0</v>
      </c>
      <c r="B31" s="2" t="s">
        <v>1024</v>
      </c>
      <c r="C31" s="2" t="s">
        <v>1088</v>
      </c>
      <c r="D31" s="2" t="s">
        <v>1110</v>
      </c>
      <c r="E31" s="2" t="s">
        <v>1119</v>
      </c>
      <c r="F31" s="2" t="s">
        <v>1120</v>
      </c>
      <c r="G31" s="2"/>
      <c r="H31" s="22" t="str">
        <f>VLOOKUP(E31,'Lista Infomoney'!B:H,2,FALSE)</f>
        <v>UNIP3F</v>
      </c>
      <c r="I31" s="2" t="s">
        <v>540</v>
      </c>
      <c r="J31" s="2" t="s">
        <v>538</v>
      </c>
      <c r="K31" s="2" t="s">
        <v>542</v>
      </c>
      <c r="L31" s="2" t="s">
        <v>541</v>
      </c>
      <c r="M31" s="2" t="s">
        <v>539</v>
      </c>
      <c r="O31"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v>
      </c>
    </row>
    <row r="32">
      <c r="A32" s="2">
        <v>2.0</v>
      </c>
      <c r="B32" s="2" t="s">
        <v>1024</v>
      </c>
      <c r="C32" s="2" t="s">
        <v>1121</v>
      </c>
      <c r="D32" s="2" t="s">
        <v>1122</v>
      </c>
      <c r="E32" s="2" t="s">
        <v>1123</v>
      </c>
      <c r="F32" s="2" t="s">
        <v>1124</v>
      </c>
      <c r="G32" s="2" t="s">
        <v>1001</v>
      </c>
      <c r="H32" s="2" t="s">
        <v>1125</v>
      </c>
      <c r="I32" s="2" t="s">
        <v>1126</v>
      </c>
      <c r="O32"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v>
      </c>
    </row>
    <row r="33">
      <c r="A33" s="2">
        <v>1.0</v>
      </c>
      <c r="B33" s="2" t="s">
        <v>1024</v>
      </c>
      <c r="C33" s="2" t="s">
        <v>1121</v>
      </c>
      <c r="D33" s="2" t="s">
        <v>1122</v>
      </c>
      <c r="E33" s="2" t="s">
        <v>1127</v>
      </c>
      <c r="F33" s="2" t="s">
        <v>1128</v>
      </c>
      <c r="G33" s="2" t="s">
        <v>1029</v>
      </c>
      <c r="H33" s="22" t="str">
        <f>VLOOKUP(E33,'Lista Infomoney'!B:H,2,FALSE)</f>
        <v>EUCA4F</v>
      </c>
      <c r="I33" s="22" t="str">
        <f>VLOOKUP(E33,'Lista Infomoney'!B:F,3,FALSE)</f>
        <v>EUCA3F</v>
      </c>
      <c r="J33" s="22" t="str">
        <f>VLOOKUP(E33,'Lista Infomoney'!B:F,4,FALSE)</f>
        <v>EUCA4</v>
      </c>
      <c r="K33" s="22" t="str">
        <f>VLOOKUP(E33,'Lista Infomoney'!B:F,5,FALSE)</f>
        <v>EUCA3</v>
      </c>
      <c r="O33"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v>
      </c>
    </row>
    <row r="34">
      <c r="A34" s="2">
        <v>1.0</v>
      </c>
      <c r="B34" s="2" t="s">
        <v>1024</v>
      </c>
      <c r="C34" s="2" t="s">
        <v>1121</v>
      </c>
      <c r="D34" s="2" t="s">
        <v>1129</v>
      </c>
      <c r="E34" s="2" t="s">
        <v>553</v>
      </c>
      <c r="F34" s="2" t="s">
        <v>1130</v>
      </c>
      <c r="G34" s="2"/>
      <c r="H34" s="22" t="str">
        <f>VLOOKUP(E34,'Lista Infomoney'!B:H,2,FALSE)</f>
        <v>RANI4</v>
      </c>
      <c r="I34" s="2" t="s">
        <v>1131</v>
      </c>
      <c r="J34" s="2" t="s">
        <v>510</v>
      </c>
      <c r="K34" s="2" t="s">
        <v>509</v>
      </c>
      <c r="O34"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v>
      </c>
    </row>
    <row r="35">
      <c r="A35" s="2">
        <v>1.0</v>
      </c>
      <c r="B35" s="2" t="s">
        <v>1024</v>
      </c>
      <c r="C35" s="2" t="s">
        <v>1121</v>
      </c>
      <c r="D35" s="2" t="s">
        <v>1129</v>
      </c>
      <c r="E35" s="2" t="s">
        <v>1132</v>
      </c>
      <c r="F35" s="2" t="s">
        <v>1133</v>
      </c>
      <c r="G35" s="2" t="s">
        <v>1013</v>
      </c>
      <c r="H35" s="22" t="str">
        <f>VLOOKUP(E35,'Lista Infomoney'!B:H,2,FALSE)</f>
        <v>KLBN4F</v>
      </c>
      <c r="I35" s="22" t="str">
        <f>VLOOKUP(E35,'Lista Infomoney'!B:F,3,FALSE)</f>
        <v>KLBN3F</v>
      </c>
      <c r="J35" s="22" t="str">
        <f>VLOOKUP(E35,'Lista Infomoney'!B:F,4,FALSE)</f>
        <v>KLBN11F</v>
      </c>
      <c r="K35" s="22" t="str">
        <f>VLOOKUP(E35,'Lista Infomoney'!B:F,5,FALSE)</f>
        <v>KLBN4</v>
      </c>
      <c r="L35" s="2" t="s">
        <v>535</v>
      </c>
      <c r="M35" s="2" t="s">
        <v>536</v>
      </c>
      <c r="O35"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v>
      </c>
    </row>
    <row r="36">
      <c r="A36" s="2">
        <v>2.0</v>
      </c>
      <c r="B36" s="2" t="s">
        <v>1024</v>
      </c>
      <c r="C36" s="2" t="s">
        <v>1121</v>
      </c>
      <c r="D36" s="2" t="s">
        <v>1129</v>
      </c>
      <c r="E36" s="2" t="s">
        <v>1134</v>
      </c>
      <c r="F36" s="2" t="s">
        <v>1135</v>
      </c>
      <c r="G36" s="2"/>
      <c r="H36" s="2" t="s">
        <v>1136</v>
      </c>
      <c r="I36" s="2" t="s">
        <v>1137</v>
      </c>
      <c r="J36" s="2" t="s">
        <v>1138</v>
      </c>
      <c r="K36" s="2" t="s">
        <v>1139</v>
      </c>
      <c r="O36"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v>
      </c>
    </row>
    <row r="37">
      <c r="A37" s="2">
        <v>2.0</v>
      </c>
      <c r="B37" s="2" t="s">
        <v>1024</v>
      </c>
      <c r="C37" s="2" t="s">
        <v>1121</v>
      </c>
      <c r="D37" s="2" t="s">
        <v>1129</v>
      </c>
      <c r="E37" s="2" t="s">
        <v>1140</v>
      </c>
      <c r="F37" s="24" t="s">
        <v>1141</v>
      </c>
      <c r="G37" s="2"/>
      <c r="H37" s="6" t="s">
        <v>1141</v>
      </c>
      <c r="O37"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v>
      </c>
    </row>
    <row r="38">
      <c r="A38" s="2">
        <v>1.0</v>
      </c>
      <c r="B38" s="2" t="s">
        <v>1024</v>
      </c>
      <c r="C38" s="2" t="s">
        <v>1121</v>
      </c>
      <c r="D38" s="2" t="s">
        <v>1129</v>
      </c>
      <c r="E38" s="2" t="s">
        <v>102</v>
      </c>
      <c r="F38" s="2" t="s">
        <v>1142</v>
      </c>
      <c r="G38" s="2"/>
      <c r="H38" s="22" t="str">
        <f>VLOOKUP(E38,'Lista Infomoney'!B:H,2,FALSE)</f>
        <v>NEMO5F</v>
      </c>
      <c r="I38" s="2" t="s">
        <v>544</v>
      </c>
      <c r="J38" s="2" t="s">
        <v>1143</v>
      </c>
      <c r="K38" s="2" t="s">
        <v>545</v>
      </c>
      <c r="L38" s="2" t="s">
        <v>1144</v>
      </c>
      <c r="M38" s="2" t="s">
        <v>543</v>
      </c>
      <c r="O38"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v>
      </c>
    </row>
    <row r="39">
      <c r="A39" s="2">
        <v>1.0</v>
      </c>
      <c r="B39" s="2" t="s">
        <v>1024</v>
      </c>
      <c r="C39" s="2" t="s">
        <v>1121</v>
      </c>
      <c r="D39" s="2" t="s">
        <v>1129</v>
      </c>
      <c r="E39" s="2" t="s">
        <v>527</v>
      </c>
      <c r="F39" s="2" t="s">
        <v>1145</v>
      </c>
      <c r="G39" s="2" t="s">
        <v>1001</v>
      </c>
      <c r="H39" s="22" t="str">
        <f>VLOOKUP(E39,'Lista Infomoney'!B:H,2,FALSE)</f>
        <v>SUZB3F</v>
      </c>
      <c r="I39" s="22" t="str">
        <f>VLOOKUP(E39,'Lista Infomoney'!B:F,3,FALSE)</f>
        <v>SUZB3</v>
      </c>
      <c r="J39" s="6" t="str">
        <f>VLOOKUP(E39,'Lista Infomoney'!B:F,4,FALSE)</f>
        <v/>
      </c>
      <c r="K39" s="6" t="str">
        <f>VLOOKUP(E39,'Lista Infomoney'!B:F,5,FALSE)</f>
        <v/>
      </c>
      <c r="O39"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v>
      </c>
    </row>
    <row r="40">
      <c r="A40" s="2">
        <v>2.0</v>
      </c>
      <c r="B40" s="2" t="s">
        <v>1024</v>
      </c>
      <c r="C40" s="2" t="s">
        <v>1146</v>
      </c>
      <c r="D40" s="2" t="s">
        <v>1146</v>
      </c>
      <c r="E40" s="2" t="s">
        <v>1147</v>
      </c>
      <c r="F40" s="2" t="s">
        <v>1148</v>
      </c>
      <c r="G40" s="2"/>
      <c r="H40" s="2" t="s">
        <v>1149</v>
      </c>
      <c r="I40" s="2" t="s">
        <v>1150</v>
      </c>
      <c r="J40" s="2" t="s">
        <v>1151</v>
      </c>
      <c r="K40" s="2" t="s">
        <v>1152</v>
      </c>
      <c r="O40"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v>
      </c>
    </row>
    <row r="41">
      <c r="A41" s="2">
        <v>2.0</v>
      </c>
      <c r="B41" s="2" t="s">
        <v>1024</v>
      </c>
      <c r="C41" s="2" t="s">
        <v>1153</v>
      </c>
      <c r="D41" s="2" t="s">
        <v>1153</v>
      </c>
      <c r="E41" s="2" t="s">
        <v>1154</v>
      </c>
      <c r="F41" s="2" t="s">
        <v>1155</v>
      </c>
      <c r="G41" s="2"/>
      <c r="H41" s="2" t="s">
        <v>1156</v>
      </c>
      <c r="I41" s="2" t="s">
        <v>1157</v>
      </c>
      <c r="J41" s="2" t="s">
        <v>1158</v>
      </c>
      <c r="K41" s="2" t="s">
        <v>1159</v>
      </c>
      <c r="L41" s="2" t="s">
        <v>1160</v>
      </c>
      <c r="M41" s="2" t="s">
        <v>1161</v>
      </c>
      <c r="O41"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v>
      </c>
    </row>
    <row r="42">
      <c r="A42" s="2">
        <v>1.0</v>
      </c>
      <c r="B42" s="2" t="s">
        <v>1162</v>
      </c>
      <c r="C42" s="2" t="s">
        <v>1163</v>
      </c>
      <c r="D42" s="2" t="s">
        <v>1164</v>
      </c>
      <c r="E42" s="2" t="s">
        <v>1165</v>
      </c>
      <c r="F42" s="2" t="s">
        <v>1166</v>
      </c>
      <c r="G42" s="2" t="s">
        <v>1001</v>
      </c>
      <c r="H42" s="22" t="str">
        <f>VLOOKUP(E42,'Lista Infomoney'!B:H,2,FALSE)</f>
        <v>ETER3F</v>
      </c>
      <c r="I42" s="22" t="str">
        <f>VLOOKUP(E42,'Lista Infomoney'!B:F,3,FALSE)</f>
        <v>ETER3</v>
      </c>
      <c r="J42" s="6" t="str">
        <f>VLOOKUP(E42,'Lista Infomoney'!B:F,4,FALSE)</f>
        <v/>
      </c>
      <c r="K42" s="6" t="str">
        <f>VLOOKUP(E42,'Lista Infomoney'!B:F,5,FALSE)</f>
        <v/>
      </c>
      <c r="O42"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v>
      </c>
    </row>
    <row r="43">
      <c r="A43" s="2">
        <v>2.0</v>
      </c>
      <c r="B43" s="2" t="s">
        <v>1162</v>
      </c>
      <c r="C43" s="2" t="s">
        <v>1163</v>
      </c>
      <c r="D43" s="2"/>
      <c r="E43" s="2" t="s">
        <v>1167</v>
      </c>
      <c r="F43" s="2" t="s">
        <v>1168</v>
      </c>
      <c r="G43" s="2"/>
      <c r="H43" s="2" t="s">
        <v>1169</v>
      </c>
      <c r="I43" s="2" t="s">
        <v>1170</v>
      </c>
      <c r="J43" s="2" t="s">
        <v>1171</v>
      </c>
      <c r="K43" s="2" t="s">
        <v>1172</v>
      </c>
      <c r="O43"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v>
      </c>
    </row>
    <row r="44">
      <c r="A44" s="2">
        <v>1.0</v>
      </c>
      <c r="B44" s="2" t="s">
        <v>1162</v>
      </c>
      <c r="C44" s="2" t="s">
        <v>1163</v>
      </c>
      <c r="D44" s="2"/>
      <c r="E44" s="2" t="s">
        <v>131</v>
      </c>
      <c r="F44" s="2" t="s">
        <v>1173</v>
      </c>
      <c r="G44" s="2" t="s">
        <v>1001</v>
      </c>
      <c r="H44" s="22" t="str">
        <f>VLOOKUP(E44,'Lista Infomoney'!B:H,2,FALSE)</f>
        <v>PTBL3F</v>
      </c>
      <c r="I44" s="2" t="s">
        <v>1174</v>
      </c>
      <c r="J44" s="6" t="str">
        <f>VLOOKUP(E44,'Lista Infomoney'!B:F,4,FALSE)</f>
        <v/>
      </c>
      <c r="K44" s="6" t="str">
        <f>VLOOKUP(E44,'Lista Infomoney'!B:F,5,FALSE)</f>
        <v/>
      </c>
      <c r="O44"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v>
      </c>
    </row>
    <row r="45">
      <c r="A45" s="2">
        <v>2.0</v>
      </c>
      <c r="B45" s="2" t="s">
        <v>1162</v>
      </c>
      <c r="C45" s="2" t="s">
        <v>1163</v>
      </c>
      <c r="D45" s="2" t="s">
        <v>1175</v>
      </c>
      <c r="E45" s="2" t="s">
        <v>1176</v>
      </c>
      <c r="F45" s="2" t="s">
        <v>1177</v>
      </c>
      <c r="G45" s="2"/>
      <c r="H45" s="2" t="s">
        <v>1178</v>
      </c>
      <c r="I45" s="2" t="s">
        <v>1179</v>
      </c>
      <c r="J45" s="2" t="s">
        <v>1180</v>
      </c>
      <c r="K45" s="2" t="s">
        <v>1181</v>
      </c>
      <c r="O45"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v>
      </c>
    </row>
    <row r="46">
      <c r="A46" s="2">
        <v>2.0</v>
      </c>
      <c r="B46" s="2" t="s">
        <v>1162</v>
      </c>
      <c r="C46" s="2" t="s">
        <v>1163</v>
      </c>
      <c r="D46" s="2" t="s">
        <v>1182</v>
      </c>
      <c r="E46" s="2" t="s">
        <v>1183</v>
      </c>
      <c r="F46" s="2" t="s">
        <v>1184</v>
      </c>
      <c r="G46" s="2"/>
      <c r="H46" s="2" t="s">
        <v>1185</v>
      </c>
      <c r="I46" s="2" t="s">
        <v>1186</v>
      </c>
      <c r="J46" s="2" t="s">
        <v>1187</v>
      </c>
      <c r="K46" s="2" t="s">
        <v>1188</v>
      </c>
      <c r="L46" s="2" t="s">
        <v>1189</v>
      </c>
      <c r="M46" s="2" t="s">
        <v>1190</v>
      </c>
      <c r="O46"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v>
      </c>
    </row>
    <row r="47">
      <c r="A47" s="2">
        <v>2.0</v>
      </c>
      <c r="B47" s="2" t="s">
        <v>1162</v>
      </c>
      <c r="C47" s="2" t="s">
        <v>1163</v>
      </c>
      <c r="D47" s="2"/>
      <c r="E47" s="2" t="s">
        <v>1191</v>
      </c>
      <c r="F47" s="2" t="s">
        <v>1192</v>
      </c>
      <c r="G47" s="2"/>
      <c r="H47" s="2" t="s">
        <v>1193</v>
      </c>
      <c r="I47" s="2" t="s">
        <v>1194</v>
      </c>
      <c r="J47" s="2" t="s">
        <v>1195</v>
      </c>
      <c r="K47" s="2" t="s">
        <v>1196</v>
      </c>
      <c r="O47"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v>
      </c>
    </row>
    <row r="48">
      <c r="A48" s="2">
        <v>2.0</v>
      </c>
      <c r="B48" s="2" t="s">
        <v>1162</v>
      </c>
      <c r="C48" s="2" t="s">
        <v>1163</v>
      </c>
      <c r="D48" s="2" t="s">
        <v>1197</v>
      </c>
      <c r="E48" s="2" t="s">
        <v>1198</v>
      </c>
      <c r="F48" s="2" t="s">
        <v>1199</v>
      </c>
      <c r="G48" s="2" t="s">
        <v>1001</v>
      </c>
      <c r="H48" s="2" t="s">
        <v>1200</v>
      </c>
      <c r="I48" s="2" t="s">
        <v>1201</v>
      </c>
      <c r="O48"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v>
      </c>
    </row>
    <row r="49">
      <c r="A49" s="2">
        <v>2.0</v>
      </c>
      <c r="B49" s="2" t="s">
        <v>1162</v>
      </c>
      <c r="C49" s="2" t="s">
        <v>1202</v>
      </c>
      <c r="D49" s="2" t="s">
        <v>1203</v>
      </c>
      <c r="E49" s="2" t="s">
        <v>1204</v>
      </c>
      <c r="F49" s="2" t="s">
        <v>1205</v>
      </c>
      <c r="G49" s="2" t="s">
        <v>1001</v>
      </c>
      <c r="H49" s="2" t="s">
        <v>1206</v>
      </c>
      <c r="I49" s="2" t="s">
        <v>1207</v>
      </c>
      <c r="O49"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v>
      </c>
    </row>
    <row r="50">
      <c r="A50" s="2">
        <v>1.0</v>
      </c>
      <c r="B50" s="2" t="s">
        <v>1162</v>
      </c>
      <c r="C50" s="2" t="s">
        <v>1202</v>
      </c>
      <c r="D50" s="2" t="s">
        <v>1208</v>
      </c>
      <c r="E50" s="2" t="s">
        <v>1209</v>
      </c>
      <c r="F50" s="2" t="s">
        <v>1210</v>
      </c>
      <c r="G50" s="2" t="s">
        <v>1029</v>
      </c>
      <c r="H50" s="22" t="str">
        <f>VLOOKUP(E50,'Lista Infomoney'!B:H,2,FALSE)</f>
        <v>FRAS3F</v>
      </c>
      <c r="I50" s="22" t="str">
        <f>VLOOKUP(E50,'Lista Infomoney'!B:F,3,FALSE)</f>
        <v>FRAS3</v>
      </c>
      <c r="J50" s="6" t="str">
        <f>VLOOKUP(E50,'Lista Infomoney'!B:F,4,FALSE)</f>
        <v/>
      </c>
      <c r="K50" s="6" t="str">
        <f>VLOOKUP(E50,'Lista Infomoney'!B:F,5,FALSE)</f>
        <v/>
      </c>
      <c r="O50"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v>
      </c>
    </row>
    <row r="51">
      <c r="A51" s="2">
        <v>1.0</v>
      </c>
      <c r="B51" s="2" t="s">
        <v>1162</v>
      </c>
      <c r="C51" s="2" t="s">
        <v>1202</v>
      </c>
      <c r="D51" s="2"/>
      <c r="E51" s="2" t="s">
        <v>1211</v>
      </c>
      <c r="F51" s="2" t="s">
        <v>1212</v>
      </c>
      <c r="G51" s="2" t="s">
        <v>1013</v>
      </c>
      <c r="H51" s="22" t="str">
        <f>VLOOKUP(E51,'Lista Infomoney'!B:H,2,FALSE)</f>
        <v>POMO4F</v>
      </c>
      <c r="I51" s="22" t="str">
        <f>VLOOKUP(E51,'Lista Infomoney'!B:F,3,FALSE)</f>
        <v>POMO3F</v>
      </c>
      <c r="J51" s="22" t="str">
        <f>VLOOKUP(E51,'Lista Infomoney'!B:F,4,FALSE)</f>
        <v>POMO4</v>
      </c>
      <c r="K51" s="22" t="str">
        <f>VLOOKUP(E51,'Lista Infomoney'!B:F,5,FALSE)</f>
        <v>POMO3</v>
      </c>
      <c r="O51"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v>
      </c>
    </row>
    <row r="52">
      <c r="A52" s="2">
        <v>1.0</v>
      </c>
      <c r="B52" s="2" t="s">
        <v>1162</v>
      </c>
      <c r="C52" s="2" t="s">
        <v>1202</v>
      </c>
      <c r="D52" s="2"/>
      <c r="E52" s="2" t="s">
        <v>1213</v>
      </c>
      <c r="F52" s="2" t="s">
        <v>1214</v>
      </c>
      <c r="G52" s="2" t="s">
        <v>1029</v>
      </c>
      <c r="H52" s="22" t="str">
        <f>VLOOKUP(E52,'Lista Infomoney'!B:H,2,FALSE)</f>
        <v>RAPT3F</v>
      </c>
      <c r="I52" s="22" t="str">
        <f>VLOOKUP(E52,'Lista Infomoney'!B:F,3,FALSE)</f>
        <v>RAPT4F</v>
      </c>
      <c r="J52" s="22" t="str">
        <f>VLOOKUP(E52,'Lista Infomoney'!B:F,4,FALSE)</f>
        <v>RAPT4</v>
      </c>
      <c r="K52" s="22" t="str">
        <f>VLOOKUP(E52,'Lista Infomoney'!B:F,5,FALSE)</f>
        <v>RAPT3</v>
      </c>
      <c r="O52"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v>
      </c>
    </row>
    <row r="53">
      <c r="A53" s="2">
        <v>2.0</v>
      </c>
      <c r="B53" s="2" t="s">
        <v>1162</v>
      </c>
      <c r="C53" s="2" t="s">
        <v>1202</v>
      </c>
      <c r="D53" s="2"/>
      <c r="E53" s="2" t="s">
        <v>1215</v>
      </c>
      <c r="F53" s="2" t="s">
        <v>1216</v>
      </c>
      <c r="G53" s="2"/>
      <c r="H53" s="2" t="s">
        <v>1217</v>
      </c>
      <c r="I53" s="2" t="s">
        <v>1218</v>
      </c>
      <c r="J53" s="2" t="s">
        <v>1219</v>
      </c>
      <c r="K53" s="2" t="s">
        <v>1220</v>
      </c>
      <c r="O53"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v>
      </c>
    </row>
    <row r="54">
      <c r="A54" s="2">
        <v>2.0</v>
      </c>
      <c r="B54" s="2" t="s">
        <v>1162</v>
      </c>
      <c r="C54" s="2" t="s">
        <v>1202</v>
      </c>
      <c r="D54" s="2"/>
      <c r="E54" s="2" t="s">
        <v>1221</v>
      </c>
      <c r="F54" s="2" t="s">
        <v>1222</v>
      </c>
      <c r="G54" s="2"/>
      <c r="H54" s="2" t="s">
        <v>1223</v>
      </c>
      <c r="I54" s="2" t="s">
        <v>1224</v>
      </c>
      <c r="J54" s="2" t="s">
        <v>1225</v>
      </c>
      <c r="K54" s="2" t="s">
        <v>1226</v>
      </c>
      <c r="O54"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v>
      </c>
    </row>
    <row r="55">
      <c r="A55" s="2">
        <v>2.0</v>
      </c>
      <c r="B55" s="2" t="s">
        <v>1162</v>
      </c>
      <c r="C55" s="2" t="s">
        <v>1202</v>
      </c>
      <c r="D55" s="2"/>
      <c r="E55" s="2" t="s">
        <v>1227</v>
      </c>
      <c r="F55" s="2" t="s">
        <v>1227</v>
      </c>
      <c r="G55" s="2" t="s">
        <v>1001</v>
      </c>
      <c r="H55" s="2" t="s">
        <v>1228</v>
      </c>
      <c r="I55" s="2" t="s">
        <v>1229</v>
      </c>
      <c r="O55"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v>
      </c>
    </row>
    <row r="56">
      <c r="A56" s="2">
        <v>2.0</v>
      </c>
      <c r="B56" s="2" t="s">
        <v>1162</v>
      </c>
      <c r="C56" s="2" t="s">
        <v>1202</v>
      </c>
      <c r="D56" s="2"/>
      <c r="E56" s="2" t="s">
        <v>1230</v>
      </c>
      <c r="F56" s="2" t="s">
        <v>1231</v>
      </c>
      <c r="G56" s="2"/>
      <c r="H56" s="2" t="s">
        <v>1232</v>
      </c>
      <c r="I56" s="2" t="s">
        <v>1233</v>
      </c>
      <c r="J56" s="2" t="s">
        <v>1234</v>
      </c>
      <c r="K56" s="2" t="s">
        <v>1235</v>
      </c>
      <c r="O56"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v>
      </c>
    </row>
    <row r="57">
      <c r="A57" s="2">
        <v>1.0</v>
      </c>
      <c r="B57" s="2" t="s">
        <v>1162</v>
      </c>
      <c r="C57" s="2" t="s">
        <v>1236</v>
      </c>
      <c r="D57" s="2" t="s">
        <v>1237</v>
      </c>
      <c r="E57" s="2" t="s">
        <v>1238</v>
      </c>
      <c r="F57" s="2" t="s">
        <v>1239</v>
      </c>
      <c r="G57" s="2"/>
      <c r="H57" s="22" t="str">
        <f>VLOOKUP(E57,'Lista Infomoney'!B:H,2,FALSE)</f>
        <v>SHUL4F</v>
      </c>
      <c r="I57" s="22" t="str">
        <f>VLOOKUP(E57,'Lista Infomoney'!B:F,3,FALSE)</f>
        <v>SHUL4</v>
      </c>
      <c r="J57" s="22" t="str">
        <f>VLOOKUP(E57,'Lista Infomoney'!B:F,4,FALSE)</f>
        <v>SHUL3</v>
      </c>
      <c r="K57" s="2" t="s">
        <v>1240</v>
      </c>
      <c r="O57"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v>
      </c>
    </row>
    <row r="58">
      <c r="A58" s="2">
        <v>1.0</v>
      </c>
      <c r="B58" s="2" t="s">
        <v>1162</v>
      </c>
      <c r="C58" s="2" t="s">
        <v>1236</v>
      </c>
      <c r="D58" s="2"/>
      <c r="E58" s="2" t="s">
        <v>1241</v>
      </c>
      <c r="F58" s="2" t="s">
        <v>1242</v>
      </c>
      <c r="G58" s="2" t="s">
        <v>1001</v>
      </c>
      <c r="H58" s="22" t="str">
        <f>VLOOKUP(E58,'Lista Infomoney'!B:H,2,FALSE)</f>
        <v>WEGE3F</v>
      </c>
      <c r="I58" s="22" t="str">
        <f>VLOOKUP(E58,'Lista Infomoney'!B:F,3,FALSE)</f>
        <v>WEGE3</v>
      </c>
      <c r="J58" s="6" t="str">
        <f>VLOOKUP(E58,'Lista Infomoney'!B:F,4,FALSE)</f>
        <v/>
      </c>
      <c r="K58" s="6" t="str">
        <f>VLOOKUP(E58,'Lista Infomoney'!B:F,5,FALSE)</f>
        <v/>
      </c>
      <c r="O58"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v>
      </c>
    </row>
    <row r="59">
      <c r="A59" s="2">
        <v>1.0</v>
      </c>
      <c r="B59" s="2" t="s">
        <v>1162</v>
      </c>
      <c r="C59" s="2" t="s">
        <v>1236</v>
      </c>
      <c r="D59" s="2" t="s">
        <v>1243</v>
      </c>
      <c r="E59" s="2" t="s">
        <v>1244</v>
      </c>
      <c r="F59" s="2" t="s">
        <v>1245</v>
      </c>
      <c r="G59" s="2"/>
      <c r="H59" s="22" t="str">
        <f>VLOOKUP(E59,'Lista Infomoney'!B:H,2,FALSE)</f>
        <v>EALT3F</v>
      </c>
      <c r="I59" s="22" t="str">
        <f>VLOOKUP(E59,'Lista Infomoney'!B:F,3,FALSE)</f>
        <v>EALT4F</v>
      </c>
      <c r="J59" s="2" t="s">
        <v>1246</v>
      </c>
      <c r="K59" s="2" t="s">
        <v>1247</v>
      </c>
      <c r="O59"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v>
      </c>
    </row>
    <row r="60">
      <c r="A60" s="2">
        <v>1.0</v>
      </c>
      <c r="B60" s="2" t="s">
        <v>1162</v>
      </c>
      <c r="C60" s="2" t="s">
        <v>1236</v>
      </c>
      <c r="D60" s="2"/>
      <c r="E60" s="2" t="s">
        <v>1248</v>
      </c>
      <c r="F60" s="2" t="s">
        <v>1249</v>
      </c>
      <c r="G60" s="2"/>
      <c r="H60" s="22" t="str">
        <f>VLOOKUP(E60,'Lista Infomoney'!B:H,2,FALSE)</f>
        <v>BDLL4F</v>
      </c>
      <c r="I60" s="22" t="str">
        <f>VLOOKUP(E60,'Lista Infomoney'!B:F,3,FALSE)</f>
        <v>BDLL3F</v>
      </c>
      <c r="J60" s="2" t="s">
        <v>1250</v>
      </c>
      <c r="K60" s="2" t="s">
        <v>1251</v>
      </c>
      <c r="O60"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v>
      </c>
    </row>
    <row r="61">
      <c r="A61" s="2">
        <v>2.0</v>
      </c>
      <c r="B61" s="2" t="s">
        <v>1162</v>
      </c>
      <c r="C61" s="2" t="s">
        <v>1236</v>
      </c>
      <c r="D61" s="2"/>
      <c r="E61" s="2" t="s">
        <v>1252</v>
      </c>
      <c r="F61" s="2" t="s">
        <v>1253</v>
      </c>
      <c r="G61" s="2" t="s">
        <v>1001</v>
      </c>
      <c r="H61" s="2" t="s">
        <v>1254</v>
      </c>
      <c r="I61" s="2" t="s">
        <v>1255</v>
      </c>
      <c r="O61"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v>
      </c>
    </row>
    <row r="62">
      <c r="A62" s="2">
        <v>1.0</v>
      </c>
      <c r="B62" s="2" t="s">
        <v>1162</v>
      </c>
      <c r="C62" s="2" t="s">
        <v>1236</v>
      </c>
      <c r="D62" s="2"/>
      <c r="E62" s="2" t="s">
        <v>1256</v>
      </c>
      <c r="F62" s="2" t="s">
        <v>1257</v>
      </c>
      <c r="G62" s="2"/>
      <c r="H62" s="22" t="str">
        <f>VLOOKUP(E62,'Lista Infomoney'!B:H,2,FALSE)</f>
        <v>INEP4F</v>
      </c>
      <c r="I62" s="22" t="str">
        <f>VLOOKUP(E62,'Lista Infomoney'!B:F,3,FALSE)</f>
        <v>INEP3F</v>
      </c>
      <c r="J62" s="22" t="str">
        <f>VLOOKUP(E62,'Lista Infomoney'!B:F,4,FALSE)</f>
        <v>INEP4</v>
      </c>
      <c r="K62" s="22" t="str">
        <f>VLOOKUP(E62,'Lista Infomoney'!B:F,5,FALSE)</f>
        <v>INEP3</v>
      </c>
      <c r="O62"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v>
      </c>
    </row>
    <row r="63">
      <c r="A63" s="2">
        <v>2.0</v>
      </c>
      <c r="B63" s="2" t="s">
        <v>1162</v>
      </c>
      <c r="C63" s="2" t="s">
        <v>1236</v>
      </c>
      <c r="D63" s="2"/>
      <c r="E63" s="2" t="s">
        <v>1258</v>
      </c>
      <c r="F63" s="2" t="s">
        <v>1259</v>
      </c>
      <c r="G63" s="2"/>
      <c r="H63" s="2" t="s">
        <v>1260</v>
      </c>
      <c r="I63" s="2" t="s">
        <v>1261</v>
      </c>
      <c r="J63" s="2" t="s">
        <v>1262</v>
      </c>
      <c r="K63" s="2" t="s">
        <v>1263</v>
      </c>
      <c r="O63"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v>
      </c>
    </row>
    <row r="64">
      <c r="A64" s="2">
        <v>2.0</v>
      </c>
      <c r="B64" s="2" t="s">
        <v>1162</v>
      </c>
      <c r="C64" s="2" t="s">
        <v>1236</v>
      </c>
      <c r="D64" s="2"/>
      <c r="E64" s="2" t="s">
        <v>1264</v>
      </c>
      <c r="F64" s="2" t="s">
        <v>1265</v>
      </c>
      <c r="G64" s="2" t="s">
        <v>1001</v>
      </c>
      <c r="H64" s="2" t="s">
        <v>1266</v>
      </c>
      <c r="I64" s="2" t="s">
        <v>1267</v>
      </c>
      <c r="O64"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v>
      </c>
    </row>
    <row r="65">
      <c r="A65" s="2">
        <v>2.0</v>
      </c>
      <c r="B65" s="2" t="s">
        <v>1162</v>
      </c>
      <c r="C65" s="2" t="s">
        <v>1236</v>
      </c>
      <c r="D65" s="2"/>
      <c r="E65" s="2" t="s">
        <v>1268</v>
      </c>
      <c r="F65" s="2" t="s">
        <v>1269</v>
      </c>
      <c r="G65" s="2"/>
      <c r="H65" s="2" t="s">
        <v>1270</v>
      </c>
      <c r="I65" s="2" t="s">
        <v>1271</v>
      </c>
      <c r="O65"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v>
      </c>
    </row>
    <row r="66">
      <c r="A66" s="2">
        <v>2.0</v>
      </c>
      <c r="B66" s="2" t="s">
        <v>1162</v>
      </c>
      <c r="C66" s="2" t="s">
        <v>1236</v>
      </c>
      <c r="D66" s="2"/>
      <c r="E66" s="2" t="s">
        <v>1272</v>
      </c>
      <c r="F66" s="2" t="s">
        <v>1273</v>
      </c>
      <c r="G66" s="2" t="s">
        <v>1274</v>
      </c>
      <c r="H66" s="2" t="s">
        <v>1275</v>
      </c>
      <c r="I66" s="2" t="s">
        <v>1276</v>
      </c>
      <c r="O66"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v>
      </c>
    </row>
    <row r="67">
      <c r="A67" s="2">
        <v>2.0</v>
      </c>
      <c r="B67" s="2" t="s">
        <v>1162</v>
      </c>
      <c r="C67" s="2" t="s">
        <v>1236</v>
      </c>
      <c r="D67" s="2" t="s">
        <v>1277</v>
      </c>
      <c r="E67" s="2" t="s">
        <v>1278</v>
      </c>
      <c r="F67" s="2" t="s">
        <v>1279</v>
      </c>
      <c r="G67" s="2"/>
      <c r="H67" s="2" t="s">
        <v>1280</v>
      </c>
      <c r="I67" s="2" t="s">
        <v>1281</v>
      </c>
      <c r="J67" s="2" t="s">
        <v>1282</v>
      </c>
      <c r="K67" s="2" t="s">
        <v>1283</v>
      </c>
      <c r="O67"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v>
      </c>
    </row>
    <row r="68">
      <c r="A68" s="2">
        <v>2.0</v>
      </c>
      <c r="B68" s="2" t="s">
        <v>1162</v>
      </c>
      <c r="C68" s="2" t="s">
        <v>1236</v>
      </c>
      <c r="D68" s="2" t="s">
        <v>1277</v>
      </c>
      <c r="E68" s="2" t="s">
        <v>1284</v>
      </c>
      <c r="F68" s="2" t="s">
        <v>1285</v>
      </c>
      <c r="G68" s="2" t="s">
        <v>1107</v>
      </c>
      <c r="H68" s="2" t="s">
        <v>1286</v>
      </c>
      <c r="I68" s="2" t="s">
        <v>1287</v>
      </c>
      <c r="O68"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v>
      </c>
    </row>
    <row r="69">
      <c r="A69" s="2">
        <v>1.0</v>
      </c>
      <c r="B69" s="2" t="s">
        <v>1162</v>
      </c>
      <c r="C69" s="2" t="s">
        <v>1236</v>
      </c>
      <c r="D69" s="2" t="s">
        <v>1288</v>
      </c>
      <c r="E69" s="2" t="s">
        <v>1289</v>
      </c>
      <c r="F69" s="2" t="s">
        <v>1290</v>
      </c>
      <c r="G69" s="2" t="s">
        <v>1013</v>
      </c>
      <c r="H69" s="22" t="str">
        <f>VLOOKUP(E69,'Lista Infomoney'!B:H,2,FALSE)</f>
        <v>TASA4F</v>
      </c>
      <c r="I69" s="22" t="str">
        <f>VLOOKUP(E69,'Lista Infomoney'!B:F,3,FALSE)</f>
        <v>TASA3F</v>
      </c>
      <c r="J69" s="22" t="str">
        <f>VLOOKUP(E69,'Lista Infomoney'!B:F,4,FALSE)</f>
        <v>TASA4</v>
      </c>
      <c r="K69" s="22" t="str">
        <f>VLOOKUP(E69,'Lista Infomoney'!B:F,5,FALSE)</f>
        <v>TASA3</v>
      </c>
      <c r="L69" s="2" t="s">
        <v>1291</v>
      </c>
      <c r="M69" s="2" t="s">
        <v>1292</v>
      </c>
      <c r="N69" s="2" t="s">
        <v>1293</v>
      </c>
      <c r="O69"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v>
      </c>
    </row>
    <row r="70">
      <c r="A70" s="2">
        <v>2.0</v>
      </c>
      <c r="B70" s="2" t="s">
        <v>1162</v>
      </c>
      <c r="C70" s="2" t="s">
        <v>1294</v>
      </c>
      <c r="D70" s="2" t="s">
        <v>1295</v>
      </c>
      <c r="E70" s="2" t="s">
        <v>1296</v>
      </c>
      <c r="F70" s="2" t="s">
        <v>1296</v>
      </c>
      <c r="G70" s="2" t="s">
        <v>1013</v>
      </c>
      <c r="H70" s="2" t="s">
        <v>1297</v>
      </c>
      <c r="I70" s="2" t="s">
        <v>1298</v>
      </c>
      <c r="O70"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v>
      </c>
    </row>
    <row r="71">
      <c r="A71" s="2">
        <v>1.0</v>
      </c>
      <c r="B71" s="2" t="s">
        <v>1162</v>
      </c>
      <c r="C71" s="2" t="s">
        <v>1294</v>
      </c>
      <c r="D71" s="2" t="s">
        <v>1295</v>
      </c>
      <c r="E71" s="2" t="s">
        <v>118</v>
      </c>
      <c r="F71" s="2" t="s">
        <v>1299</v>
      </c>
      <c r="G71" s="2" t="s">
        <v>1013</v>
      </c>
      <c r="H71" s="22" t="str">
        <f>VLOOKUP(E71,'Lista Infomoney'!B:H,2,FALSE)</f>
        <v>GOLL11</v>
      </c>
      <c r="I71" s="22" t="str">
        <f>VLOOKUP(E71,'Lista Infomoney'!B:F,3,FALSE)</f>
        <v>GOL4F</v>
      </c>
      <c r="J71" s="22" t="str">
        <f>VLOOKUP(E71,'Lista Infomoney'!B:F,4,FALSE)</f>
        <v>GOLL4</v>
      </c>
      <c r="K71" s="2" t="s">
        <v>1300</v>
      </c>
      <c r="O71"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v>
      </c>
    </row>
    <row r="72">
      <c r="A72" s="2">
        <v>2.0</v>
      </c>
      <c r="B72" s="2" t="s">
        <v>1162</v>
      </c>
      <c r="C72" s="2" t="s">
        <v>1294</v>
      </c>
      <c r="D72" s="2" t="s">
        <v>1301</v>
      </c>
      <c r="E72" s="2" t="s">
        <v>1302</v>
      </c>
      <c r="F72" s="2" t="s">
        <v>1303</v>
      </c>
      <c r="G72" s="2" t="s">
        <v>1032</v>
      </c>
      <c r="H72" s="2" t="s">
        <v>1304</v>
      </c>
      <c r="I72" s="2" t="s">
        <v>1305</v>
      </c>
      <c r="J72" s="2" t="s">
        <v>1306</v>
      </c>
      <c r="K72" s="2" t="s">
        <v>1307</v>
      </c>
      <c r="L72" s="2" t="s">
        <v>1308</v>
      </c>
      <c r="M72" s="2" t="s">
        <v>1309</v>
      </c>
      <c r="O72"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v>
      </c>
    </row>
    <row r="73">
      <c r="A73" s="2">
        <v>2.0</v>
      </c>
      <c r="B73" s="2" t="s">
        <v>1162</v>
      </c>
      <c r="C73" s="2" t="s">
        <v>1294</v>
      </c>
      <c r="D73" s="2" t="s">
        <v>1301</v>
      </c>
      <c r="E73" s="2" t="s">
        <v>1310</v>
      </c>
      <c r="F73" s="24" t="s">
        <v>1311</v>
      </c>
      <c r="G73" s="2" t="s">
        <v>1032</v>
      </c>
      <c r="H73" s="6" t="s">
        <v>1311</v>
      </c>
      <c r="O73"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v>
      </c>
    </row>
    <row r="74">
      <c r="A74" s="2">
        <v>1.0</v>
      </c>
      <c r="B74" s="2" t="s">
        <v>1162</v>
      </c>
      <c r="C74" s="2" t="s">
        <v>1294</v>
      </c>
      <c r="D74" s="2" t="s">
        <v>1301</v>
      </c>
      <c r="E74" s="2" t="s">
        <v>1312</v>
      </c>
      <c r="F74" s="2" t="s">
        <v>1313</v>
      </c>
      <c r="G74" s="2" t="s">
        <v>1001</v>
      </c>
      <c r="H74" s="22" t="str">
        <f>VLOOKUP(E74,'Lista Infomoney'!B:H,2,FALSE)</f>
        <v>RLOG3F</v>
      </c>
      <c r="I74" s="22" t="str">
        <f>VLOOKUP(E74,'Lista Infomoney'!B:F,3,FALSE)</f>
        <v>RLOG3</v>
      </c>
      <c r="J74" s="6" t="str">
        <f>VLOOKUP(E74,'Lista Infomoney'!B:F,4,FALSE)</f>
        <v/>
      </c>
      <c r="K74" s="6" t="str">
        <f>VLOOKUP(E74,'Lista Infomoney'!B:F,5,FALSE)</f>
        <v/>
      </c>
      <c r="O74"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v>
      </c>
    </row>
    <row r="75">
      <c r="A75" s="2">
        <v>2.0</v>
      </c>
      <c r="B75" s="2" t="s">
        <v>1162</v>
      </c>
      <c r="C75" s="2" t="s">
        <v>1294</v>
      </c>
      <c r="D75" s="2" t="s">
        <v>1301</v>
      </c>
      <c r="E75" s="2" t="s">
        <v>1314</v>
      </c>
      <c r="F75" s="2" t="s">
        <v>1315</v>
      </c>
      <c r="G75" s="2"/>
      <c r="H75" s="2" t="s">
        <v>1316</v>
      </c>
      <c r="I75" s="2" t="s">
        <v>1317</v>
      </c>
      <c r="J75" s="2" t="s">
        <v>1318</v>
      </c>
      <c r="K75" s="2" t="s">
        <v>1319</v>
      </c>
      <c r="L75" s="2" t="s">
        <v>1320</v>
      </c>
      <c r="O75"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v>
      </c>
    </row>
    <row r="76">
      <c r="A76" s="2">
        <v>2.0</v>
      </c>
      <c r="B76" s="2" t="s">
        <v>1162</v>
      </c>
      <c r="C76" s="2" t="s">
        <v>1294</v>
      </c>
      <c r="D76" s="2" t="s">
        <v>1301</v>
      </c>
      <c r="E76" s="2" t="s">
        <v>1321</v>
      </c>
      <c r="F76" s="2" t="s">
        <v>1322</v>
      </c>
      <c r="G76" s="2" t="s">
        <v>1032</v>
      </c>
      <c r="H76" s="2" t="s">
        <v>1322</v>
      </c>
      <c r="O76"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v>
      </c>
    </row>
    <row r="77">
      <c r="A77" s="2">
        <v>1.0</v>
      </c>
      <c r="B77" s="2" t="s">
        <v>1162</v>
      </c>
      <c r="C77" s="2" t="s">
        <v>1294</v>
      </c>
      <c r="D77" s="2" t="s">
        <v>1301</v>
      </c>
      <c r="E77" s="2" t="s">
        <v>154</v>
      </c>
      <c r="F77" s="2" t="s">
        <v>1323</v>
      </c>
      <c r="G77" s="2" t="s">
        <v>1001</v>
      </c>
      <c r="H77" s="22" t="str">
        <f>VLOOKUP(E77,'Lista Infomoney'!B:H,2,FALSE)</f>
        <v>RAIL3F</v>
      </c>
      <c r="I77" s="22" t="str">
        <f>VLOOKUP(E77,'Lista Infomoney'!B:F,3,FALSE)</f>
        <v>RAIL3</v>
      </c>
      <c r="J77" s="6" t="str">
        <f>VLOOKUP(E77,'Lista Infomoney'!B:F,4,FALSE)</f>
        <v/>
      </c>
      <c r="K77" s="6" t="str">
        <f>VLOOKUP(E77,'Lista Infomoney'!B:F,5,FALSE)</f>
        <v/>
      </c>
      <c r="O77"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v>
      </c>
    </row>
    <row r="78">
      <c r="A78" s="2">
        <v>1.0</v>
      </c>
      <c r="B78" s="2" t="s">
        <v>1162</v>
      </c>
      <c r="C78" s="2" t="s">
        <v>1294</v>
      </c>
      <c r="D78" s="2" t="s">
        <v>1324</v>
      </c>
      <c r="E78" s="2" t="s">
        <v>11</v>
      </c>
      <c r="F78" s="2" t="s">
        <v>1325</v>
      </c>
      <c r="G78" s="2" t="s">
        <v>1001</v>
      </c>
      <c r="H78" s="22" t="str">
        <f>VLOOKUP(E78,'Lista Infomoney'!B:H,2,FALSE)</f>
        <v>HBSA3</v>
      </c>
      <c r="I78" s="6" t="str">
        <f>VLOOKUP(E78,'Lista Infomoney'!B:F,3,FALSE)</f>
        <v/>
      </c>
      <c r="J78" s="6" t="str">
        <f>VLOOKUP(E78,'Lista Infomoney'!B:F,4,FALSE)</f>
        <v/>
      </c>
      <c r="K78" s="6" t="str">
        <f>VLOOKUP(E78,'Lista Infomoney'!B:F,5,FALSE)</f>
        <v/>
      </c>
      <c r="O78"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v>
      </c>
    </row>
    <row r="79">
      <c r="A79" s="2">
        <v>2.0</v>
      </c>
      <c r="B79" s="2" t="s">
        <v>1162</v>
      </c>
      <c r="C79" s="2" t="s">
        <v>1294</v>
      </c>
      <c r="D79" s="2" t="s">
        <v>1324</v>
      </c>
      <c r="E79" s="2" t="s">
        <v>1326</v>
      </c>
      <c r="F79" s="2" t="s">
        <v>1327</v>
      </c>
      <c r="G79" s="2" t="s">
        <v>1001</v>
      </c>
      <c r="H79" s="2" t="s">
        <v>1328</v>
      </c>
      <c r="I79" s="2" t="s">
        <v>1329</v>
      </c>
      <c r="J79" s="2" t="s">
        <v>1330</v>
      </c>
      <c r="O79"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v>
      </c>
    </row>
    <row r="80">
      <c r="A80" s="2">
        <v>2.0</v>
      </c>
      <c r="B80" s="2" t="s">
        <v>1162</v>
      </c>
      <c r="C80" s="2" t="s">
        <v>1294</v>
      </c>
      <c r="D80" s="2" t="s">
        <v>1324</v>
      </c>
      <c r="E80" s="2" t="s">
        <v>1331</v>
      </c>
      <c r="F80" s="2" t="s">
        <v>1332</v>
      </c>
      <c r="G80" s="2"/>
      <c r="H80" s="2" t="s">
        <v>1333</v>
      </c>
      <c r="I80" s="2" t="s">
        <v>1334</v>
      </c>
      <c r="J80" s="2" t="s">
        <v>1335</v>
      </c>
      <c r="K80" s="2" t="s">
        <v>1336</v>
      </c>
      <c r="O80"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v>
      </c>
    </row>
    <row r="81">
      <c r="A81" s="2">
        <v>2.0</v>
      </c>
      <c r="B81" s="2" t="s">
        <v>1162</v>
      </c>
      <c r="C81" s="2" t="s">
        <v>1294</v>
      </c>
      <c r="D81" s="2" t="s">
        <v>1337</v>
      </c>
      <c r="E81" s="2" t="s">
        <v>1338</v>
      </c>
      <c r="F81" s="2" t="s">
        <v>1339</v>
      </c>
      <c r="G81" s="2" t="s">
        <v>1001</v>
      </c>
      <c r="H81" s="2" t="s">
        <v>1340</v>
      </c>
      <c r="I81" s="2" t="s">
        <v>1341</v>
      </c>
      <c r="O81"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v>
      </c>
    </row>
    <row r="82">
      <c r="A82" s="2">
        <v>2.0</v>
      </c>
      <c r="B82" s="2" t="s">
        <v>1162</v>
      </c>
      <c r="C82" s="2" t="s">
        <v>1294</v>
      </c>
      <c r="D82" s="2" t="s">
        <v>1337</v>
      </c>
      <c r="E82" s="2" t="s">
        <v>1342</v>
      </c>
      <c r="F82" s="2" t="s">
        <v>1343</v>
      </c>
      <c r="G82" s="2" t="s">
        <v>1001</v>
      </c>
      <c r="H82" s="2" t="s">
        <v>1344</v>
      </c>
      <c r="I82" s="2" t="s">
        <v>1345</v>
      </c>
      <c r="O82"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v>
      </c>
    </row>
    <row r="83">
      <c r="A83" s="2">
        <v>2.0</v>
      </c>
      <c r="B83" s="2" t="s">
        <v>1162</v>
      </c>
      <c r="C83" s="2" t="s">
        <v>1294</v>
      </c>
      <c r="D83" s="2" t="s">
        <v>1346</v>
      </c>
      <c r="E83" s="2" t="s">
        <v>1347</v>
      </c>
      <c r="F83" s="2" t="s">
        <v>1348</v>
      </c>
      <c r="G83" s="2"/>
      <c r="H83" s="2" t="s">
        <v>1348</v>
      </c>
      <c r="O83"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v>
      </c>
    </row>
    <row r="84">
      <c r="A84" s="2">
        <v>2.0</v>
      </c>
      <c r="B84" s="2" t="s">
        <v>1162</v>
      </c>
      <c r="C84" s="2" t="s">
        <v>1294</v>
      </c>
      <c r="D84" s="2" t="s">
        <v>1346</v>
      </c>
      <c r="E84" s="2" t="s">
        <v>1349</v>
      </c>
      <c r="F84" s="2" t="s">
        <v>1350</v>
      </c>
      <c r="G84" s="2" t="s">
        <v>1001</v>
      </c>
      <c r="H84" s="2" t="s">
        <v>1351</v>
      </c>
      <c r="I84" s="2" t="s">
        <v>1352</v>
      </c>
      <c r="O84"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v>
      </c>
    </row>
    <row r="85">
      <c r="A85" s="2">
        <v>2.0</v>
      </c>
      <c r="B85" s="2" t="s">
        <v>1162</v>
      </c>
      <c r="C85" s="2" t="s">
        <v>1294</v>
      </c>
      <c r="D85" s="2" t="s">
        <v>1346</v>
      </c>
      <c r="E85" s="2" t="s">
        <v>1353</v>
      </c>
      <c r="F85" s="24" t="s">
        <v>1354</v>
      </c>
      <c r="G85" s="2"/>
      <c r="H85" s="6" t="s">
        <v>1354</v>
      </c>
      <c r="O85"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v>
      </c>
    </row>
    <row r="86">
      <c r="A86" s="2">
        <v>2.0</v>
      </c>
      <c r="B86" s="2" t="s">
        <v>1162</v>
      </c>
      <c r="C86" s="2" t="s">
        <v>1294</v>
      </c>
      <c r="D86" s="2" t="s">
        <v>1346</v>
      </c>
      <c r="E86" s="2" t="s">
        <v>1355</v>
      </c>
      <c r="F86" s="2" t="s">
        <v>1356</v>
      </c>
      <c r="G86" s="2" t="s">
        <v>1032</v>
      </c>
      <c r="H86" s="2" t="s">
        <v>1357</v>
      </c>
      <c r="I86" s="2" t="s">
        <v>1358</v>
      </c>
      <c r="J86" s="2" t="s">
        <v>1359</v>
      </c>
      <c r="K86" s="2" t="s">
        <v>1360</v>
      </c>
      <c r="O86"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v>
      </c>
    </row>
    <row r="87">
      <c r="A87" s="2">
        <v>2.0</v>
      </c>
      <c r="B87" s="2" t="s">
        <v>1162</v>
      </c>
      <c r="C87" s="2" t="s">
        <v>1294</v>
      </c>
      <c r="D87" s="2" t="s">
        <v>1346</v>
      </c>
      <c r="E87" s="2" t="s">
        <v>1361</v>
      </c>
      <c r="F87" s="24" t="s">
        <v>1362</v>
      </c>
      <c r="G87" s="2"/>
      <c r="H87" s="6" t="s">
        <v>1362</v>
      </c>
      <c r="O87"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v>
      </c>
    </row>
    <row r="88">
      <c r="A88" s="2">
        <v>2.0</v>
      </c>
      <c r="B88" s="2" t="s">
        <v>1162</v>
      </c>
      <c r="C88" s="2" t="s">
        <v>1294</v>
      </c>
      <c r="D88" s="2" t="s">
        <v>1346</v>
      </c>
      <c r="E88" s="2" t="s">
        <v>1363</v>
      </c>
      <c r="F88" s="24" t="s">
        <v>1364</v>
      </c>
      <c r="G88" s="2"/>
      <c r="H88" s="6" t="s">
        <v>1364</v>
      </c>
      <c r="O88"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v>
      </c>
    </row>
    <row r="89">
      <c r="A89" s="2">
        <v>2.0</v>
      </c>
      <c r="B89" s="2" t="s">
        <v>1162</v>
      </c>
      <c r="C89" s="2" t="s">
        <v>1294</v>
      </c>
      <c r="D89" s="2" t="s">
        <v>1346</v>
      </c>
      <c r="E89" s="2" t="s">
        <v>1365</v>
      </c>
      <c r="F89" s="24" t="s">
        <v>1366</v>
      </c>
      <c r="G89" s="2"/>
      <c r="H89" s="6" t="s">
        <v>1366</v>
      </c>
      <c r="O89"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v>
      </c>
    </row>
    <row r="90">
      <c r="A90" s="2">
        <v>2.0</v>
      </c>
      <c r="B90" s="2" t="s">
        <v>1162</v>
      </c>
      <c r="C90" s="2" t="s">
        <v>1294</v>
      </c>
      <c r="D90" s="2" t="s">
        <v>1346</v>
      </c>
      <c r="E90" s="2" t="s">
        <v>1367</v>
      </c>
      <c r="F90" s="2" t="s">
        <v>1368</v>
      </c>
      <c r="G90" s="2" t="s">
        <v>1001</v>
      </c>
      <c r="H90" s="2" t="s">
        <v>1369</v>
      </c>
      <c r="I90" s="2" t="s">
        <v>1370</v>
      </c>
      <c r="O90"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v>
      </c>
    </row>
    <row r="91">
      <c r="A91" s="2">
        <v>2.0</v>
      </c>
      <c r="B91" s="2" t="s">
        <v>1162</v>
      </c>
      <c r="C91" s="2" t="s">
        <v>1294</v>
      </c>
      <c r="D91" s="2" t="s">
        <v>1346</v>
      </c>
      <c r="E91" s="2" t="s">
        <v>1371</v>
      </c>
      <c r="F91" s="2" t="s">
        <v>1372</v>
      </c>
      <c r="G91" s="2"/>
      <c r="H91" s="2" t="s">
        <v>1372</v>
      </c>
      <c r="O91"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v>
      </c>
    </row>
    <row r="92">
      <c r="A92" s="2">
        <v>2.0</v>
      </c>
      <c r="B92" s="2" t="s">
        <v>1162</v>
      </c>
      <c r="C92" s="2" t="s">
        <v>1294</v>
      </c>
      <c r="D92" s="2" t="s">
        <v>1346</v>
      </c>
      <c r="E92" s="2" t="s">
        <v>1373</v>
      </c>
      <c r="F92" s="24" t="s">
        <v>1374</v>
      </c>
      <c r="G92" s="2"/>
      <c r="H92" s="6" t="s">
        <v>1374</v>
      </c>
      <c r="O92"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v>
      </c>
    </row>
    <row r="93">
      <c r="A93" s="2">
        <v>2.0</v>
      </c>
      <c r="B93" s="2" t="s">
        <v>1162</v>
      </c>
      <c r="C93" s="2" t="s">
        <v>1294</v>
      </c>
      <c r="D93" s="2" t="s">
        <v>1346</v>
      </c>
      <c r="E93" s="2" t="s">
        <v>1375</v>
      </c>
      <c r="F93" s="2" t="s">
        <v>1376</v>
      </c>
      <c r="G93" s="2"/>
      <c r="H93" s="2" t="s">
        <v>1376</v>
      </c>
      <c r="O93"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v>
      </c>
    </row>
    <row r="94">
      <c r="A94" s="2">
        <v>2.0</v>
      </c>
      <c r="B94" s="2" t="s">
        <v>1162</v>
      </c>
      <c r="C94" s="2" t="s">
        <v>1294</v>
      </c>
      <c r="D94" s="2" t="s">
        <v>1346</v>
      </c>
      <c r="E94" s="2" t="s">
        <v>1377</v>
      </c>
      <c r="F94" s="24" t="s">
        <v>1378</v>
      </c>
      <c r="G94" s="2"/>
      <c r="H94" s="6" t="s">
        <v>1378</v>
      </c>
      <c r="O94"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v>
      </c>
    </row>
    <row r="95">
      <c r="A95" s="2">
        <v>2.0</v>
      </c>
      <c r="B95" s="2" t="s">
        <v>1162</v>
      </c>
      <c r="C95" s="2" t="s">
        <v>1294</v>
      </c>
      <c r="D95" s="2" t="s">
        <v>1346</v>
      </c>
      <c r="E95" s="2" t="s">
        <v>1379</v>
      </c>
      <c r="F95" s="24" t="s">
        <v>1380</v>
      </c>
      <c r="G95" s="2"/>
      <c r="H95" s="6" t="s">
        <v>1380</v>
      </c>
      <c r="O95"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v>
      </c>
    </row>
    <row r="96">
      <c r="A96" s="2">
        <v>1.0</v>
      </c>
      <c r="B96" s="2" t="s">
        <v>1162</v>
      </c>
      <c r="C96" s="2" t="s">
        <v>1294</v>
      </c>
      <c r="D96" s="2" t="s">
        <v>1346</v>
      </c>
      <c r="E96" s="2" t="s">
        <v>1381</v>
      </c>
      <c r="F96" s="2" t="s">
        <v>1382</v>
      </c>
      <c r="G96" s="2" t="s">
        <v>1001</v>
      </c>
      <c r="H96" s="22" t="str">
        <f>VLOOKUP(E96,'Lista Infomoney'!B:H,2,FALSE)</f>
        <v>TPIS3F</v>
      </c>
      <c r="I96" s="22" t="str">
        <f>VLOOKUP(E96,'Lista Infomoney'!B:F,3,FALSE)</f>
        <v>TPIS3</v>
      </c>
      <c r="J96" s="6" t="str">
        <f>VLOOKUP(E96,'Lista Infomoney'!B:F,4,FALSE)</f>
        <v/>
      </c>
      <c r="K96" s="6" t="str">
        <f>VLOOKUP(E96,'Lista Infomoney'!B:F,5,FALSE)</f>
        <v/>
      </c>
      <c r="O96"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v>
      </c>
    </row>
    <row r="97">
      <c r="A97" s="2">
        <v>2.0</v>
      </c>
      <c r="B97" s="2" t="s">
        <v>1162</v>
      </c>
      <c r="C97" s="2" t="s">
        <v>1294</v>
      </c>
      <c r="D97" s="2" t="s">
        <v>1346</v>
      </c>
      <c r="E97" s="2" t="s">
        <v>1383</v>
      </c>
      <c r="F97" s="24" t="s">
        <v>1384</v>
      </c>
      <c r="G97" s="2"/>
      <c r="H97" s="6" t="s">
        <v>1384</v>
      </c>
      <c r="O97"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v>
      </c>
    </row>
    <row r="98">
      <c r="A98" s="2">
        <v>2.0</v>
      </c>
      <c r="B98" s="2" t="s">
        <v>1162</v>
      </c>
      <c r="C98" s="2" t="s">
        <v>1294</v>
      </c>
      <c r="D98" s="2" t="s">
        <v>1385</v>
      </c>
      <c r="E98" s="2" t="s">
        <v>1386</v>
      </c>
      <c r="F98" s="2" t="s">
        <v>1387</v>
      </c>
      <c r="G98" s="2" t="s">
        <v>1032</v>
      </c>
      <c r="H98" s="2" t="s">
        <v>1387</v>
      </c>
      <c r="O98"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v>
      </c>
    </row>
    <row r="99">
      <c r="A99" s="2">
        <v>2.0</v>
      </c>
      <c r="B99" s="2" t="s">
        <v>1162</v>
      </c>
      <c r="C99" s="2" t="s">
        <v>1294</v>
      </c>
      <c r="D99" s="2" t="s">
        <v>1385</v>
      </c>
      <c r="E99" s="2" t="s">
        <v>1388</v>
      </c>
      <c r="F99" s="2" t="s">
        <v>1389</v>
      </c>
      <c r="G99" s="2"/>
      <c r="H99" s="25" t="s">
        <v>1390</v>
      </c>
      <c r="O99"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v>
      </c>
    </row>
    <row r="100">
      <c r="A100" s="2">
        <v>2.0</v>
      </c>
      <c r="B100" s="2" t="s">
        <v>1162</v>
      </c>
      <c r="C100" s="2" t="s">
        <v>1294</v>
      </c>
      <c r="D100" s="2" t="s">
        <v>1385</v>
      </c>
      <c r="E100" s="2" t="s">
        <v>1391</v>
      </c>
      <c r="F100" s="2" t="s">
        <v>1392</v>
      </c>
      <c r="G100" s="2" t="s">
        <v>1032</v>
      </c>
      <c r="H100" s="2" t="s">
        <v>1393</v>
      </c>
      <c r="I100" s="2" t="s">
        <v>1394</v>
      </c>
      <c r="J100" s="2" t="s">
        <v>1395</v>
      </c>
      <c r="K100" s="2" t="s">
        <v>1396</v>
      </c>
      <c r="O100"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v>
      </c>
    </row>
    <row r="101">
      <c r="A101" s="2">
        <v>2.0</v>
      </c>
      <c r="B101" s="2" t="s">
        <v>1162</v>
      </c>
      <c r="C101" s="2" t="s">
        <v>1294</v>
      </c>
      <c r="D101" s="2" t="s">
        <v>1385</v>
      </c>
      <c r="E101" s="2" t="s">
        <v>1397</v>
      </c>
      <c r="F101" s="24" t="s">
        <v>1398</v>
      </c>
      <c r="G101" s="2"/>
      <c r="H101" s="6" t="s">
        <v>1398</v>
      </c>
      <c r="O101"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v>
      </c>
    </row>
    <row r="102">
      <c r="A102" s="2">
        <v>1.0</v>
      </c>
      <c r="B102" s="2" t="s">
        <v>1162</v>
      </c>
      <c r="C102" s="2" t="s">
        <v>1294</v>
      </c>
      <c r="D102" s="2" t="s">
        <v>1385</v>
      </c>
      <c r="E102" s="2" t="s">
        <v>70</v>
      </c>
      <c r="F102" s="2" t="s">
        <v>163</v>
      </c>
      <c r="G102" s="2" t="s">
        <v>1001</v>
      </c>
      <c r="H102" s="22" t="str">
        <f>VLOOKUP(E102,'Lista Infomoney'!B:H,2,FALSE)</f>
        <v>STBP3F</v>
      </c>
      <c r="I102" s="2" t="s">
        <v>163</v>
      </c>
      <c r="J102" s="6" t="str">
        <f>VLOOKUP(E102,'Lista Infomoney'!B:F,4,FALSE)</f>
        <v/>
      </c>
      <c r="K102" s="6" t="str">
        <f>VLOOKUP(E102,'Lista Infomoney'!B:F,5,FALSE)</f>
        <v/>
      </c>
      <c r="O102"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v>
      </c>
    </row>
    <row r="103">
      <c r="A103" s="2">
        <v>2.0</v>
      </c>
      <c r="B103" s="2" t="s">
        <v>1162</v>
      </c>
      <c r="C103" s="2" t="s">
        <v>1294</v>
      </c>
      <c r="D103" s="2" t="s">
        <v>1385</v>
      </c>
      <c r="E103" s="2" t="s">
        <v>1399</v>
      </c>
      <c r="F103" s="2" t="s">
        <v>1400</v>
      </c>
      <c r="G103" s="2" t="s">
        <v>1401</v>
      </c>
      <c r="H103" s="2" t="s">
        <v>1402</v>
      </c>
      <c r="I103" s="2" t="s">
        <v>1403</v>
      </c>
      <c r="O103"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v>
      </c>
    </row>
    <row r="104">
      <c r="A104" s="2">
        <v>2.0</v>
      </c>
      <c r="B104" s="2" t="s">
        <v>1162</v>
      </c>
      <c r="C104" s="2" t="s">
        <v>1197</v>
      </c>
      <c r="D104" s="2" t="s">
        <v>1197</v>
      </c>
      <c r="E104" s="2" t="s">
        <v>1404</v>
      </c>
      <c r="F104" s="2" t="s">
        <v>1405</v>
      </c>
      <c r="G104" s="2" t="s">
        <v>1001</v>
      </c>
      <c r="H104" s="2" t="s">
        <v>1406</v>
      </c>
      <c r="O104"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v>
      </c>
    </row>
    <row r="105">
      <c r="A105" s="2">
        <v>1.0</v>
      </c>
      <c r="B105" s="2" t="s">
        <v>1162</v>
      </c>
      <c r="C105" s="2" t="s">
        <v>1197</v>
      </c>
      <c r="D105" s="2" t="s">
        <v>1197</v>
      </c>
      <c r="E105" s="2" t="s">
        <v>1407</v>
      </c>
      <c r="F105" s="2" t="s">
        <v>1408</v>
      </c>
      <c r="G105" s="2" t="s">
        <v>1001</v>
      </c>
      <c r="H105" s="22" t="str">
        <f>VLOOKUP(E105,'Lista Infomoney'!B:H,2,FALSE)</f>
        <v>AMBP3</v>
      </c>
      <c r="I105" s="6" t="str">
        <f>VLOOKUP(E105,'Lista Infomoney'!B:F,3,FALSE)</f>
        <v/>
      </c>
      <c r="J105" s="6" t="str">
        <f>VLOOKUP(E105,'Lista Infomoney'!B:F,4,FALSE)</f>
        <v/>
      </c>
      <c r="K105" s="6" t="str">
        <f>VLOOKUP(E105,'Lista Infomoney'!B:F,5,FALSE)</f>
        <v/>
      </c>
      <c r="O105"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v>
      </c>
    </row>
    <row r="106">
      <c r="A106" s="2">
        <v>2.0</v>
      </c>
      <c r="B106" s="2" t="s">
        <v>1162</v>
      </c>
      <c r="C106" s="2" t="s">
        <v>1197</v>
      </c>
      <c r="D106" s="2" t="s">
        <v>1197</v>
      </c>
      <c r="E106" s="2" t="s">
        <v>1409</v>
      </c>
      <c r="F106" s="2" t="s">
        <v>1410</v>
      </c>
      <c r="G106" s="2" t="s">
        <v>1107</v>
      </c>
      <c r="H106" s="2" t="s">
        <v>1411</v>
      </c>
      <c r="O106"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v>
      </c>
    </row>
    <row r="107">
      <c r="A107" s="2">
        <v>1.0</v>
      </c>
      <c r="B107" s="2" t="s">
        <v>1162</v>
      </c>
      <c r="C107" s="2" t="s">
        <v>1197</v>
      </c>
      <c r="D107" s="2" t="s">
        <v>1197</v>
      </c>
      <c r="E107" s="2" t="s">
        <v>1412</v>
      </c>
      <c r="F107" s="2" t="s">
        <v>1413</v>
      </c>
      <c r="G107" s="2" t="s">
        <v>1001</v>
      </c>
      <c r="H107" s="22" t="str">
        <f>VLOOKUP(E107,'Lista Infomoney'!B:H,2,FALSE)</f>
        <v>CARD3F</v>
      </c>
      <c r="I107" s="22" t="str">
        <f>VLOOKUP(E107,'Lista Infomoney'!B:F,3,FALSE)</f>
        <v>CARD3</v>
      </c>
      <c r="J107" s="6" t="str">
        <f>VLOOKUP(E107,'Lista Infomoney'!B:F,4,FALSE)</f>
        <v/>
      </c>
      <c r="K107" s="6" t="str">
        <f>VLOOKUP(E107,'Lista Infomoney'!B:F,5,FALSE)</f>
        <v/>
      </c>
      <c r="O107"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v>
      </c>
    </row>
    <row r="108">
      <c r="A108" s="2">
        <v>2.0</v>
      </c>
      <c r="B108" s="2" t="s">
        <v>1162</v>
      </c>
      <c r="C108" s="2" t="s">
        <v>1197</v>
      </c>
      <c r="D108" s="2" t="s">
        <v>1197</v>
      </c>
      <c r="E108" s="2" t="s">
        <v>1414</v>
      </c>
      <c r="F108" s="2" t="s">
        <v>1415</v>
      </c>
      <c r="G108" s="2"/>
      <c r="H108" s="25" t="s">
        <v>1416</v>
      </c>
      <c r="O108"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v>
      </c>
    </row>
    <row r="109">
      <c r="A109" s="2">
        <v>1.0</v>
      </c>
      <c r="B109" s="2" t="s">
        <v>1162</v>
      </c>
      <c r="C109" s="2" t="s">
        <v>1197</v>
      </c>
      <c r="D109" s="2" t="s">
        <v>1197</v>
      </c>
      <c r="E109" s="2" t="s">
        <v>36</v>
      </c>
      <c r="F109" s="2" t="s">
        <v>1417</v>
      </c>
      <c r="G109" s="2" t="s">
        <v>1001</v>
      </c>
      <c r="H109" s="22" t="str">
        <f>VLOOKUP(E109,'Lista Infomoney'!B:H,2,FALSE)</f>
        <v>ALPK3</v>
      </c>
      <c r="I109" s="6" t="str">
        <f>VLOOKUP(E109,'Lista Infomoney'!B:F,3,FALSE)</f>
        <v/>
      </c>
      <c r="J109" s="6" t="str">
        <f>VLOOKUP(E109,'Lista Infomoney'!B:F,4,FALSE)</f>
        <v/>
      </c>
      <c r="K109" s="6" t="str">
        <f>VLOOKUP(E109,'Lista Infomoney'!B:F,5,FALSE)</f>
        <v/>
      </c>
      <c r="O109"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v>
      </c>
    </row>
    <row r="110">
      <c r="A110" s="2">
        <v>2.0</v>
      </c>
      <c r="B110" s="2" t="s">
        <v>1162</v>
      </c>
      <c r="C110" s="2" t="s">
        <v>1197</v>
      </c>
      <c r="D110" s="2" t="s">
        <v>1197</v>
      </c>
      <c r="E110" s="2" t="s">
        <v>1418</v>
      </c>
      <c r="F110" s="2" t="s">
        <v>1419</v>
      </c>
      <c r="G110" s="2" t="s">
        <v>1107</v>
      </c>
      <c r="H110" s="2" t="s">
        <v>1420</v>
      </c>
      <c r="O110"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v>
      </c>
    </row>
    <row r="111">
      <c r="A111" s="2">
        <v>2.0</v>
      </c>
      <c r="B111" s="2" t="s">
        <v>1162</v>
      </c>
      <c r="C111" s="2" t="s">
        <v>1197</v>
      </c>
      <c r="D111" s="2" t="s">
        <v>1197</v>
      </c>
      <c r="E111" s="2" t="s">
        <v>1421</v>
      </c>
      <c r="F111" s="2" t="s">
        <v>1422</v>
      </c>
      <c r="G111" s="2" t="s">
        <v>1107</v>
      </c>
      <c r="H111" s="2" t="s">
        <v>1423</v>
      </c>
      <c r="I111" s="2" t="s">
        <v>1424</v>
      </c>
      <c r="O111"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v>
      </c>
    </row>
    <row r="112">
      <c r="A112" s="2">
        <v>2.0</v>
      </c>
      <c r="B112" s="2" t="s">
        <v>1162</v>
      </c>
      <c r="C112" s="2" t="s">
        <v>1197</v>
      </c>
      <c r="D112" s="2" t="s">
        <v>1197</v>
      </c>
      <c r="E112" s="2" t="s">
        <v>1425</v>
      </c>
      <c r="F112" s="2" t="s">
        <v>1426</v>
      </c>
      <c r="G112" s="2" t="s">
        <v>1001</v>
      </c>
      <c r="H112" s="2" t="s">
        <v>1427</v>
      </c>
      <c r="O112"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v>
      </c>
    </row>
    <row r="113">
      <c r="A113" s="2">
        <v>1.0</v>
      </c>
      <c r="B113" s="2" t="s">
        <v>1162</v>
      </c>
      <c r="C113" s="2" t="s">
        <v>1197</v>
      </c>
      <c r="D113" s="2" t="s">
        <v>1197</v>
      </c>
      <c r="E113" s="2" t="s">
        <v>1428</v>
      </c>
      <c r="F113" s="2" t="s">
        <v>1429</v>
      </c>
      <c r="G113" s="2" t="s">
        <v>1001</v>
      </c>
      <c r="H113" s="22" t="str">
        <f>VLOOKUP(E113,'Lista Infomoney'!B:H,2,FALSE)</f>
        <v>VLID3F</v>
      </c>
      <c r="I113" s="22" t="str">
        <f>VLOOKUP(E113,'Lista Infomoney'!B:F,3,FALSE)</f>
        <v>VLID3</v>
      </c>
      <c r="J113" s="6" t="str">
        <f>VLOOKUP(E113,'Lista Infomoney'!B:F,4,FALSE)</f>
        <v/>
      </c>
      <c r="K113" s="6" t="str">
        <f>VLOOKUP(E113,'Lista Infomoney'!B:F,5,FALSE)</f>
        <v/>
      </c>
      <c r="O113"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v>
      </c>
    </row>
    <row r="114">
      <c r="A114" s="2">
        <v>1.0</v>
      </c>
      <c r="B114" s="2" t="s">
        <v>1162</v>
      </c>
      <c r="C114" s="2" t="s">
        <v>1430</v>
      </c>
      <c r="D114" s="2" t="s">
        <v>1202</v>
      </c>
      <c r="E114" s="2" t="s">
        <v>1431</v>
      </c>
      <c r="F114" s="2" t="s">
        <v>1432</v>
      </c>
      <c r="G114" s="2" t="s">
        <v>1433</v>
      </c>
      <c r="H114" s="22" t="str">
        <f>VLOOKUP(E114,'Lista Infomoney'!B:H,2,FALSE)</f>
        <v>BTTL3F</v>
      </c>
      <c r="I114" s="22" t="str">
        <f>VLOOKUP(E114,'Lista Infomoney'!B:F,3,FALSE)</f>
        <v>BTTL3</v>
      </c>
      <c r="J114" s="2" t="s">
        <v>1434</v>
      </c>
      <c r="K114" s="6" t="str">
        <f>VLOOKUP(E114,'Lista Infomoney'!B:F,5,FALSE)</f>
        <v/>
      </c>
      <c r="O114"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v>
      </c>
    </row>
    <row r="115">
      <c r="A115" s="2">
        <v>2.0</v>
      </c>
      <c r="B115" s="2" t="s">
        <v>1162</v>
      </c>
      <c r="C115" s="2" t="s">
        <v>1430</v>
      </c>
      <c r="D115" s="2" t="s">
        <v>1202</v>
      </c>
      <c r="E115" s="2" t="s">
        <v>1435</v>
      </c>
      <c r="F115" s="2" t="s">
        <v>1436</v>
      </c>
      <c r="G115" s="2"/>
      <c r="H115" s="2" t="s">
        <v>1437</v>
      </c>
      <c r="I115" s="2" t="s">
        <v>1438</v>
      </c>
      <c r="J115" s="2" t="s">
        <v>1439</v>
      </c>
      <c r="K115" s="2" t="s">
        <v>1440</v>
      </c>
      <c r="O115"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v>
      </c>
    </row>
    <row r="116">
      <c r="A116" s="2">
        <v>2.0</v>
      </c>
      <c r="B116" s="2" t="s">
        <v>1162</v>
      </c>
      <c r="C116" s="2" t="s">
        <v>1430</v>
      </c>
      <c r="D116" s="2" t="s">
        <v>1202</v>
      </c>
      <c r="E116" s="2" t="s">
        <v>1441</v>
      </c>
      <c r="F116" s="2" t="s">
        <v>1442</v>
      </c>
      <c r="G116" s="2"/>
      <c r="H116" s="25" t="s">
        <v>1443</v>
      </c>
      <c r="O116"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v>
      </c>
    </row>
    <row r="117">
      <c r="A117" s="2">
        <v>2.0</v>
      </c>
      <c r="B117" s="2" t="s">
        <v>1444</v>
      </c>
      <c r="C117" s="2" t="s">
        <v>1445</v>
      </c>
      <c r="D117" s="2" t="s">
        <v>1446</v>
      </c>
      <c r="E117" s="2" t="s">
        <v>1447</v>
      </c>
      <c r="F117" s="2" t="s">
        <v>1448</v>
      </c>
      <c r="G117" s="2"/>
      <c r="H117" s="25" t="s">
        <v>1449</v>
      </c>
      <c r="I117" s="26" t="s">
        <v>1450</v>
      </c>
      <c r="O117"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v>
      </c>
    </row>
    <row r="118">
      <c r="A118" s="2">
        <v>1.0</v>
      </c>
      <c r="B118" s="2" t="s">
        <v>1444</v>
      </c>
      <c r="C118" s="2" t="s">
        <v>1445</v>
      </c>
      <c r="D118" s="2" t="s">
        <v>1446</v>
      </c>
      <c r="E118" s="2" t="s">
        <v>1451</v>
      </c>
      <c r="F118" s="2" t="s">
        <v>1452</v>
      </c>
      <c r="G118" s="2" t="s">
        <v>1001</v>
      </c>
      <c r="H118" s="22" t="str">
        <f>VLOOKUP(E118,'Lista Infomoney'!B:H,2,FALSE)</f>
        <v>AGRO3F</v>
      </c>
      <c r="I118" s="22" t="str">
        <f>VLOOKUP(E118,'Lista Infomoney'!B:F,3,FALSE)</f>
        <v>AGRO3</v>
      </c>
      <c r="J118" s="6" t="str">
        <f>VLOOKUP(E118,'Lista Infomoney'!B:F,4,FALSE)</f>
        <v/>
      </c>
      <c r="K118" s="6" t="str">
        <f>VLOOKUP(E118,'Lista Infomoney'!B:F,5,FALSE)</f>
        <v/>
      </c>
      <c r="O118"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v>
      </c>
    </row>
    <row r="119">
      <c r="A119" s="2">
        <v>2.0</v>
      </c>
      <c r="B119" s="2" t="s">
        <v>1444</v>
      </c>
      <c r="C119" s="2" t="s">
        <v>1445</v>
      </c>
      <c r="D119" s="2" t="s">
        <v>1446</v>
      </c>
      <c r="E119" s="2" t="s">
        <v>1453</v>
      </c>
      <c r="F119" s="2" t="s">
        <v>1454</v>
      </c>
      <c r="G119" s="2" t="s">
        <v>1001</v>
      </c>
      <c r="H119" s="2" t="s">
        <v>1455</v>
      </c>
      <c r="I119" s="2" t="s">
        <v>1456</v>
      </c>
      <c r="J119" s="2" t="s">
        <v>1457</v>
      </c>
      <c r="O119"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v>
      </c>
    </row>
    <row r="120">
      <c r="A120" s="2">
        <v>2.0</v>
      </c>
      <c r="B120" s="2" t="s">
        <v>1444</v>
      </c>
      <c r="C120" s="2" t="s">
        <v>1445</v>
      </c>
      <c r="D120" s="2" t="s">
        <v>1446</v>
      </c>
      <c r="E120" s="2" t="s">
        <v>1458</v>
      </c>
      <c r="F120" s="2" t="s">
        <v>1459</v>
      </c>
      <c r="G120" s="2" t="s">
        <v>1001</v>
      </c>
      <c r="H120" s="2" t="s">
        <v>1460</v>
      </c>
      <c r="I120" s="2" t="s">
        <v>1461</v>
      </c>
      <c r="O120"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v>
      </c>
    </row>
    <row r="121">
      <c r="A121" s="2">
        <v>2.0</v>
      </c>
      <c r="B121" s="2" t="s">
        <v>1444</v>
      </c>
      <c r="C121" s="2" t="s">
        <v>1445</v>
      </c>
      <c r="D121" s="2" t="s">
        <v>1446</v>
      </c>
      <c r="E121" s="2" t="s">
        <v>1462</v>
      </c>
      <c r="F121" s="2" t="s">
        <v>1463</v>
      </c>
      <c r="G121" s="2" t="s">
        <v>1001</v>
      </c>
      <c r="H121" s="2" t="s">
        <v>1464</v>
      </c>
      <c r="I121" s="2" t="s">
        <v>1465</v>
      </c>
      <c r="J121" s="2" t="s">
        <v>1466</v>
      </c>
      <c r="O121"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v>
      </c>
    </row>
    <row r="122">
      <c r="A122" s="2">
        <v>1.0</v>
      </c>
      <c r="B122" s="2" t="s">
        <v>1444</v>
      </c>
      <c r="C122" s="2" t="s">
        <v>1467</v>
      </c>
      <c r="D122" s="2" t="s">
        <v>1468</v>
      </c>
      <c r="E122" s="2" t="s">
        <v>1469</v>
      </c>
      <c r="F122" s="2" t="s">
        <v>1470</v>
      </c>
      <c r="G122" s="2" t="s">
        <v>1001</v>
      </c>
      <c r="H122" s="22" t="str">
        <f>VLOOKUP(E122,'Lista Infomoney'!B:H,2,FALSE)</f>
        <v>BSEV3F</v>
      </c>
      <c r="I122" s="22" t="str">
        <f>VLOOKUP(E122,'Lista Infomoney'!B:F,3,FALSE)</f>
        <v>BSEV3</v>
      </c>
      <c r="J122" s="6" t="str">
        <f>VLOOKUP(E122,'Lista Infomoney'!B:F,4,FALSE)</f>
        <v/>
      </c>
      <c r="K122" s="6" t="str">
        <f>VLOOKUP(E122,'Lista Infomoney'!B:F,5,FALSE)</f>
        <v/>
      </c>
      <c r="O122"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v>
      </c>
    </row>
    <row r="123">
      <c r="A123" s="2">
        <v>2.0</v>
      </c>
      <c r="B123" s="2" t="s">
        <v>1444</v>
      </c>
      <c r="C123" s="2" t="s">
        <v>1467</v>
      </c>
      <c r="D123" s="2" t="s">
        <v>1468</v>
      </c>
      <c r="E123" s="2" t="s">
        <v>1471</v>
      </c>
      <c r="F123" s="24" t="s">
        <v>1472</v>
      </c>
      <c r="G123" s="2"/>
      <c r="H123" s="6" t="s">
        <v>1472</v>
      </c>
      <c r="O123"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v>
      </c>
    </row>
    <row r="124">
      <c r="A124" s="2">
        <v>1.0</v>
      </c>
      <c r="B124" s="2" t="s">
        <v>1444</v>
      </c>
      <c r="C124" s="2" t="s">
        <v>1467</v>
      </c>
      <c r="D124" s="2" t="s">
        <v>1468</v>
      </c>
      <c r="E124" s="2" t="s">
        <v>1473</v>
      </c>
      <c r="F124" s="2" t="s">
        <v>1474</v>
      </c>
      <c r="G124" s="2" t="s">
        <v>1001</v>
      </c>
      <c r="H124" s="22" t="str">
        <f>VLOOKUP(E124,'Lista Infomoney'!B:H,2,FALSE)</f>
        <v>SMTO3F</v>
      </c>
      <c r="I124" s="22" t="str">
        <f>VLOOKUP(E124,'Lista Infomoney'!B:F,3,FALSE)</f>
        <v>SMTO3</v>
      </c>
      <c r="J124" s="6" t="str">
        <f>VLOOKUP(E124,'Lista Infomoney'!B:F,4,FALSE)</f>
        <v/>
      </c>
      <c r="K124" s="6" t="str">
        <f>VLOOKUP(E124,'Lista Infomoney'!B:F,5,FALSE)</f>
        <v/>
      </c>
      <c r="O124"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v>
      </c>
    </row>
    <row r="125">
      <c r="A125" s="2">
        <v>1.0</v>
      </c>
      <c r="B125" s="2" t="s">
        <v>1444</v>
      </c>
      <c r="C125" s="2" t="s">
        <v>1467</v>
      </c>
      <c r="D125" s="2" t="s">
        <v>1475</v>
      </c>
      <c r="E125" s="2" t="s">
        <v>373</v>
      </c>
      <c r="F125" s="2" t="s">
        <v>1476</v>
      </c>
      <c r="G125" s="2" t="s">
        <v>1001</v>
      </c>
      <c r="H125" s="22" t="str">
        <f>VLOOKUP(E125,'Lista Infomoney'!B:H,2,FALSE)</f>
        <v>BRFS3</v>
      </c>
      <c r="I125" s="2" t="s">
        <v>1477</v>
      </c>
      <c r="J125" s="6" t="str">
        <f>VLOOKUP(E125,'Lista Infomoney'!B:F,4,FALSE)</f>
        <v/>
      </c>
      <c r="K125" s="6" t="str">
        <f>VLOOKUP(E125,'Lista Infomoney'!B:F,5,FALSE)</f>
        <v/>
      </c>
      <c r="O125"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v>
      </c>
    </row>
    <row r="126">
      <c r="A126" s="2">
        <v>2.0</v>
      </c>
      <c r="B126" s="2" t="s">
        <v>1444</v>
      </c>
      <c r="C126" s="2" t="s">
        <v>1467</v>
      </c>
      <c r="D126" s="2" t="s">
        <v>1475</v>
      </c>
      <c r="E126" s="2" t="s">
        <v>1478</v>
      </c>
      <c r="F126" s="2" t="s">
        <v>1479</v>
      </c>
      <c r="G126" s="2"/>
      <c r="H126" s="25" t="s">
        <v>1480</v>
      </c>
      <c r="O126"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v>
      </c>
    </row>
    <row r="127">
      <c r="A127" s="2">
        <v>1.0</v>
      </c>
      <c r="B127" s="2" t="s">
        <v>1444</v>
      </c>
      <c r="C127" s="2" t="s">
        <v>1467</v>
      </c>
      <c r="D127" s="2" t="s">
        <v>1475</v>
      </c>
      <c r="E127" s="2" t="s">
        <v>369</v>
      </c>
      <c r="F127" s="2" t="s">
        <v>1481</v>
      </c>
      <c r="G127" s="2" t="s">
        <v>1001</v>
      </c>
      <c r="H127" s="22" t="str">
        <f>VLOOKUP(E127,'Lista Infomoney'!B:H,2,FALSE)</f>
        <v>JBSS3F</v>
      </c>
      <c r="I127" s="22" t="str">
        <f>VLOOKUP(E127,'Lista Infomoney'!B:F,3,FALSE)</f>
        <v>JBSS3</v>
      </c>
      <c r="J127" s="6" t="str">
        <f>VLOOKUP(E127,'Lista Infomoney'!B:F,4,FALSE)</f>
        <v/>
      </c>
      <c r="K127" s="6" t="str">
        <f>VLOOKUP(E127,'Lista Infomoney'!B:F,5,FALSE)</f>
        <v/>
      </c>
      <c r="O127"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v>
      </c>
    </row>
    <row r="128">
      <c r="A128" s="2">
        <v>1.0</v>
      </c>
      <c r="B128" s="2" t="s">
        <v>1444</v>
      </c>
      <c r="C128" s="2" t="s">
        <v>1467</v>
      </c>
      <c r="D128" s="2" t="s">
        <v>1475</v>
      </c>
      <c r="E128" s="2" t="s">
        <v>1482</v>
      </c>
      <c r="F128" s="2" t="s">
        <v>1483</v>
      </c>
      <c r="G128" s="2" t="s">
        <v>1001</v>
      </c>
      <c r="H128" s="22" t="str">
        <f>VLOOKUP(E128,'Lista Infomoney'!B:H,2,FALSE)</f>
        <v>MRFG3F</v>
      </c>
      <c r="I128" s="22" t="str">
        <f>VLOOKUP(E128,'Lista Infomoney'!B:F,3,FALSE)</f>
        <v>MRFG3</v>
      </c>
      <c r="J128" s="6" t="str">
        <f>VLOOKUP(E128,'Lista Infomoney'!B:F,4,FALSE)</f>
        <v/>
      </c>
      <c r="K128" s="6" t="str">
        <f>VLOOKUP(E128,'Lista Infomoney'!B:F,5,FALSE)</f>
        <v/>
      </c>
      <c r="O128"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v>
      </c>
    </row>
    <row r="129">
      <c r="A129" s="2">
        <v>1.0</v>
      </c>
      <c r="B129" s="2" t="s">
        <v>1444</v>
      </c>
      <c r="C129" s="2" t="s">
        <v>1467</v>
      </c>
      <c r="D129" s="2" t="s">
        <v>1475</v>
      </c>
      <c r="E129" s="2" t="s">
        <v>1484</v>
      </c>
      <c r="F129" s="2" t="s">
        <v>1485</v>
      </c>
      <c r="G129" s="2" t="s">
        <v>1001</v>
      </c>
      <c r="H129" s="22" t="str">
        <f>VLOOKUP(E129,'Lista Infomoney'!B:H,2,FALSE)</f>
        <v>BEEF3F</v>
      </c>
      <c r="I129" s="22" t="str">
        <f>VLOOKUP(E129,'Lista Infomoney'!B:F,3,FALSE)</f>
        <v>BEEF3</v>
      </c>
      <c r="J129" s="22" t="str">
        <f>VLOOKUP(E129,'Lista Infomoney'!B:F,4,FALSE)</f>
        <v>BEEF11</v>
      </c>
      <c r="K129" s="6" t="str">
        <f>VLOOKUP(E129,'Lista Infomoney'!B:F,5,FALSE)</f>
        <v/>
      </c>
      <c r="O129"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v>
      </c>
    </row>
    <row r="130">
      <c r="A130" s="2">
        <v>2.0</v>
      </c>
      <c r="B130" s="2" t="s">
        <v>1444</v>
      </c>
      <c r="C130" s="2" t="s">
        <v>1467</v>
      </c>
      <c r="D130" s="2" t="s">
        <v>1475</v>
      </c>
      <c r="E130" s="2" t="s">
        <v>1486</v>
      </c>
      <c r="F130" s="2" t="s">
        <v>1487</v>
      </c>
      <c r="G130" s="2"/>
      <c r="H130" s="25" t="s">
        <v>1488</v>
      </c>
      <c r="O130"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v>
      </c>
    </row>
    <row r="131">
      <c r="A131" s="2">
        <v>1.0</v>
      </c>
      <c r="B131" s="2" t="s">
        <v>1444</v>
      </c>
      <c r="C131" s="2" t="s">
        <v>1467</v>
      </c>
      <c r="D131" s="2" t="s">
        <v>1489</v>
      </c>
      <c r="E131" s="2" t="s">
        <v>341</v>
      </c>
      <c r="F131" s="2" t="s">
        <v>1490</v>
      </c>
      <c r="G131" s="2" t="s">
        <v>1001</v>
      </c>
      <c r="H131" s="22" t="str">
        <f>VLOOKUP(E131,'Lista Infomoney'!B:H,2,FALSE)</f>
        <v>CAML3F</v>
      </c>
      <c r="I131" s="22" t="str">
        <f>VLOOKUP(E131,'Lista Infomoney'!B:F,3,FALSE)</f>
        <v>CAML3</v>
      </c>
      <c r="J131" s="6" t="str">
        <f>VLOOKUP(E131,'Lista Infomoney'!B:F,4,FALSE)</f>
        <v/>
      </c>
      <c r="K131" s="6" t="str">
        <f>VLOOKUP(E131,'Lista Infomoney'!B:F,5,FALSE)</f>
        <v/>
      </c>
      <c r="O131"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v>
      </c>
    </row>
    <row r="132">
      <c r="A132" s="2">
        <v>2.0</v>
      </c>
      <c r="B132" s="2" t="s">
        <v>1444</v>
      </c>
      <c r="C132" s="2" t="s">
        <v>1467</v>
      </c>
      <c r="D132" s="2" t="s">
        <v>1489</v>
      </c>
      <c r="E132" s="2" t="s">
        <v>1491</v>
      </c>
      <c r="F132" s="24" t="s">
        <v>1492</v>
      </c>
      <c r="G132" s="2"/>
      <c r="H132" s="6" t="s">
        <v>1492</v>
      </c>
      <c r="O132"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v>
      </c>
    </row>
    <row r="133">
      <c r="A133" s="2">
        <v>2.0</v>
      </c>
      <c r="B133" s="2" t="s">
        <v>1444</v>
      </c>
      <c r="C133" s="2" t="s">
        <v>1467</v>
      </c>
      <c r="D133" s="2" t="s">
        <v>1489</v>
      </c>
      <c r="E133" s="2" t="s">
        <v>1493</v>
      </c>
      <c r="F133" s="2" t="s">
        <v>1494</v>
      </c>
      <c r="G133" s="2"/>
      <c r="H133" s="25" t="s">
        <v>1495</v>
      </c>
      <c r="O133"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v>
      </c>
    </row>
    <row r="134">
      <c r="A134" s="2">
        <v>1.0</v>
      </c>
      <c r="B134" s="2" t="s">
        <v>1444</v>
      </c>
      <c r="C134" s="2" t="s">
        <v>1467</v>
      </c>
      <c r="D134" s="2" t="s">
        <v>1489</v>
      </c>
      <c r="E134" s="2" t="s">
        <v>1496</v>
      </c>
      <c r="F134" s="2" t="s">
        <v>1497</v>
      </c>
      <c r="G134" s="2" t="s">
        <v>1001</v>
      </c>
      <c r="H134" s="22" t="str">
        <f>VLOOKUP(E134,'Lista Infomoney'!B:H,2,FALSE)</f>
        <v>MDIA3F</v>
      </c>
      <c r="I134" s="22" t="str">
        <f>VLOOKUP(E134,'Lista Infomoney'!B:F,3,FALSE)</f>
        <v>MDIA3</v>
      </c>
      <c r="J134" s="6" t="str">
        <f>VLOOKUP(E134,'Lista Infomoney'!B:F,4,FALSE)</f>
        <v/>
      </c>
      <c r="K134" s="6" t="str">
        <f>VLOOKUP(E134,'Lista Infomoney'!B:F,5,FALSE)</f>
        <v/>
      </c>
      <c r="O134"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v>
      </c>
    </row>
    <row r="135">
      <c r="A135" s="2">
        <v>2.0</v>
      </c>
      <c r="B135" s="2" t="s">
        <v>1444</v>
      </c>
      <c r="C135" s="2" t="s">
        <v>1467</v>
      </c>
      <c r="D135" s="2" t="s">
        <v>1489</v>
      </c>
      <c r="E135" s="2" t="s">
        <v>1498</v>
      </c>
      <c r="F135" s="2" t="s">
        <v>1499</v>
      </c>
      <c r="G135" s="2"/>
      <c r="H135" s="25" t="s">
        <v>1500</v>
      </c>
      <c r="I135" s="2" t="s">
        <v>1501</v>
      </c>
      <c r="O135"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v>
      </c>
    </row>
    <row r="136">
      <c r="A136" s="2">
        <v>2.0</v>
      </c>
      <c r="B136" s="2" t="s">
        <v>1444</v>
      </c>
      <c r="C136" s="2" t="s">
        <v>1502</v>
      </c>
      <c r="D136" s="2" t="s">
        <v>1503</v>
      </c>
      <c r="E136" s="2" t="s">
        <v>1504</v>
      </c>
      <c r="F136" s="2" t="s">
        <v>1505</v>
      </c>
      <c r="G136" s="2"/>
      <c r="H136" s="2" t="s">
        <v>1506</v>
      </c>
      <c r="O136"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v>
      </c>
    </row>
    <row r="137">
      <c r="A137" s="2">
        <v>1.0</v>
      </c>
      <c r="B137" s="2" t="s">
        <v>1444</v>
      </c>
      <c r="C137" s="2" t="s">
        <v>1507</v>
      </c>
      <c r="D137" s="2" t="s">
        <v>1508</v>
      </c>
      <c r="E137" s="2" t="s">
        <v>363</v>
      </c>
      <c r="F137" s="2" t="s">
        <v>1509</v>
      </c>
      <c r="G137" s="2" t="s">
        <v>1001</v>
      </c>
      <c r="H137" s="22" t="str">
        <f>VLOOKUP(E137,'Lista Infomoney'!B:H,2,FALSE)</f>
        <v>NTCO3F</v>
      </c>
      <c r="I137" s="22" t="str">
        <f>VLOOKUP(E137,'Lista Infomoney'!B:F,3,FALSE)</f>
        <v>NTCO3</v>
      </c>
      <c r="J137" s="6" t="str">
        <f>VLOOKUP(E137,'Lista Infomoney'!B:F,4,FALSE)</f>
        <v/>
      </c>
      <c r="K137" s="6" t="str">
        <f>VLOOKUP(E137,'Lista Infomoney'!B:F,5,FALSE)</f>
        <v/>
      </c>
      <c r="O137"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v>
      </c>
    </row>
    <row r="138">
      <c r="A138" s="2">
        <v>2.0</v>
      </c>
      <c r="B138" s="2" t="s">
        <v>1444</v>
      </c>
      <c r="C138" s="2" t="s">
        <v>1507</v>
      </c>
      <c r="D138" s="2" t="s">
        <v>1510</v>
      </c>
      <c r="E138" s="2" t="s">
        <v>1511</v>
      </c>
      <c r="F138" s="2" t="s">
        <v>1512</v>
      </c>
      <c r="G138" s="2"/>
      <c r="H138" s="25" t="s">
        <v>1513</v>
      </c>
      <c r="O138"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v>
      </c>
    </row>
    <row r="139">
      <c r="A139" s="2">
        <v>1.0</v>
      </c>
      <c r="B139" s="2" t="s">
        <v>1444</v>
      </c>
      <c r="C139" s="2" t="s">
        <v>1514</v>
      </c>
      <c r="D139" s="2" t="s">
        <v>1515</v>
      </c>
      <c r="E139" s="2" t="s">
        <v>356</v>
      </c>
      <c r="F139" s="2" t="s">
        <v>1516</v>
      </c>
      <c r="G139" s="2" t="s">
        <v>1001</v>
      </c>
      <c r="H139" s="22" t="str">
        <f>VLOOKUP(E139,'Lista Infomoney'!B:H,2,FALSE)</f>
        <v>CRFB3F</v>
      </c>
      <c r="I139" s="22" t="str">
        <f>VLOOKUP(E139,'Lista Infomoney'!B:F,3,FALSE)</f>
        <v>CRFB3</v>
      </c>
      <c r="J139" s="6" t="str">
        <f>VLOOKUP(E139,'Lista Infomoney'!B:F,4,FALSE)</f>
        <v/>
      </c>
      <c r="K139" s="6" t="str">
        <f>VLOOKUP(E139,'Lista Infomoney'!B:F,5,FALSE)</f>
        <v/>
      </c>
      <c r="O139"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v>
      </c>
    </row>
    <row r="140">
      <c r="A140" s="2">
        <v>2.0</v>
      </c>
      <c r="B140" s="2" t="s">
        <v>1444</v>
      </c>
      <c r="C140" s="2" t="s">
        <v>1514</v>
      </c>
      <c r="D140" s="2" t="s">
        <v>1515</v>
      </c>
      <c r="E140" s="2" t="s">
        <v>1517</v>
      </c>
      <c r="F140" s="2" t="s">
        <v>1518</v>
      </c>
      <c r="G140" s="2" t="s">
        <v>1001</v>
      </c>
      <c r="H140" s="2" t="s">
        <v>1519</v>
      </c>
      <c r="O140"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v>
      </c>
    </row>
    <row r="141">
      <c r="A141" s="2">
        <v>1.0</v>
      </c>
      <c r="B141" s="2" t="s">
        <v>1444</v>
      </c>
      <c r="C141" s="2" t="s">
        <v>1514</v>
      </c>
      <c r="D141" s="2" t="s">
        <v>1515</v>
      </c>
      <c r="E141" s="2" t="s">
        <v>359</v>
      </c>
      <c r="F141" s="2" t="s">
        <v>1520</v>
      </c>
      <c r="G141" s="2" t="s">
        <v>1029</v>
      </c>
      <c r="H141" s="22" t="str">
        <f>VLOOKUP(E141,'Lista Infomoney'!B:H,2,FALSE)</f>
        <v>PCAR3F</v>
      </c>
      <c r="I141" s="22" t="str">
        <f>VLOOKUP(E141,'Lista Infomoney'!B:F,3,FALSE)</f>
        <v>PCAR4F</v>
      </c>
      <c r="J141" s="22" t="str">
        <f>VLOOKUP(E141,'Lista Infomoney'!B:F,4,FALSE)</f>
        <v>PCAR3</v>
      </c>
      <c r="K141" s="6" t="str">
        <f>VLOOKUP(E141,'Lista Infomoney'!B:F,5,FALSE)</f>
        <v/>
      </c>
      <c r="O141"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v>
      </c>
    </row>
    <row r="142">
      <c r="A142" s="2">
        <v>2.0</v>
      </c>
      <c r="B142" s="2" t="s">
        <v>165</v>
      </c>
      <c r="C142" s="2" t="s">
        <v>1521</v>
      </c>
      <c r="D142" s="2" t="s">
        <v>1522</v>
      </c>
      <c r="E142" s="2" t="s">
        <v>1523</v>
      </c>
      <c r="F142" s="2" t="s">
        <v>1524</v>
      </c>
      <c r="G142" s="2"/>
      <c r="H142" s="2" t="s">
        <v>1525</v>
      </c>
      <c r="I142" s="2" t="s">
        <v>1526</v>
      </c>
      <c r="O142"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v>
      </c>
    </row>
    <row r="143">
      <c r="A143" s="2">
        <v>2.0</v>
      </c>
      <c r="B143" s="2" t="s">
        <v>165</v>
      </c>
      <c r="C143" s="2" t="s">
        <v>1521</v>
      </c>
      <c r="D143" s="2" t="s">
        <v>1522</v>
      </c>
      <c r="E143" s="2" t="s">
        <v>1527</v>
      </c>
      <c r="F143" s="2" t="s">
        <v>1528</v>
      </c>
      <c r="G143" s="2" t="s">
        <v>1001</v>
      </c>
      <c r="H143" s="2" t="s">
        <v>1529</v>
      </c>
      <c r="I143" s="2" t="s">
        <v>1530</v>
      </c>
      <c r="O143"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v>
      </c>
    </row>
    <row r="144">
      <c r="A144" s="2">
        <v>1.0</v>
      </c>
      <c r="B144" s="2" t="s">
        <v>165</v>
      </c>
      <c r="C144" s="2" t="s">
        <v>1521</v>
      </c>
      <c r="D144" s="2" t="s">
        <v>1522</v>
      </c>
      <c r="E144" s="2" t="s">
        <v>16</v>
      </c>
      <c r="F144" s="2" t="s">
        <v>1531</v>
      </c>
      <c r="G144" s="2" t="s">
        <v>1001</v>
      </c>
      <c r="H144" s="22" t="str">
        <f>VLOOKUP(E144,'Lista Infomoney'!B:H,2,FALSE)</f>
        <v>CURY3</v>
      </c>
      <c r="I144" s="6" t="str">
        <f>VLOOKUP(E144,'Lista Infomoney'!B:F,3,FALSE)</f>
        <v/>
      </c>
      <c r="J144" s="6" t="str">
        <f>VLOOKUP(E144,'Lista Infomoney'!B:F,4,FALSE)</f>
        <v/>
      </c>
      <c r="K144" s="6" t="str">
        <f>VLOOKUP(E144,'Lista Infomoney'!B:F,5,FALSE)</f>
        <v/>
      </c>
      <c r="O144"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v>
      </c>
    </row>
    <row r="145">
      <c r="A145" s="2">
        <v>1.0</v>
      </c>
      <c r="B145" s="2" t="s">
        <v>165</v>
      </c>
      <c r="C145" s="2" t="s">
        <v>1521</v>
      </c>
      <c r="D145" s="2" t="s">
        <v>1522</v>
      </c>
      <c r="E145" s="2" t="s">
        <v>312</v>
      </c>
      <c r="F145" s="2" t="s">
        <v>1532</v>
      </c>
      <c r="G145" s="2" t="s">
        <v>1001</v>
      </c>
      <c r="H145" s="22" t="str">
        <f>VLOOKUP(E145,'Lista Infomoney'!B:H,2,FALSE)</f>
        <v>CYRE3</v>
      </c>
      <c r="I145" s="2" t="s">
        <v>1533</v>
      </c>
      <c r="J145" s="6" t="str">
        <f>VLOOKUP(E145,'Lista Infomoney'!B:F,4,FALSE)</f>
        <v/>
      </c>
      <c r="K145" s="6" t="str">
        <f>VLOOKUP(E145,'Lista Infomoney'!B:F,5,FALSE)</f>
        <v/>
      </c>
      <c r="O145"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v>
      </c>
    </row>
    <row r="146">
      <c r="A146" s="2">
        <v>1.0</v>
      </c>
      <c r="B146" s="2" t="s">
        <v>165</v>
      </c>
      <c r="C146" s="2" t="s">
        <v>1521</v>
      </c>
      <c r="D146" s="2" t="s">
        <v>1522</v>
      </c>
      <c r="E146" s="2" t="s">
        <v>1534</v>
      </c>
      <c r="F146" s="2" t="s">
        <v>1535</v>
      </c>
      <c r="G146" s="2" t="s">
        <v>1001</v>
      </c>
      <c r="H146" s="22" t="str">
        <f>VLOOKUP(E146,'Lista Infomoney'!B:H,2,FALSE)</f>
        <v>DIRR3F</v>
      </c>
      <c r="I146" s="22" t="str">
        <f>VLOOKUP(E146,'Lista Infomoney'!B:F,3,FALSE)</f>
        <v>DIRR3</v>
      </c>
      <c r="J146" s="6" t="str">
        <f>VLOOKUP(E146,'Lista Infomoney'!B:F,4,FALSE)</f>
        <v/>
      </c>
      <c r="K146" s="6" t="str">
        <f>VLOOKUP(E146,'Lista Infomoney'!B:F,5,FALSE)</f>
        <v/>
      </c>
      <c r="O146"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v>
      </c>
    </row>
    <row r="147">
      <c r="A147" s="2">
        <v>1.0</v>
      </c>
      <c r="B147" s="2" t="s">
        <v>165</v>
      </c>
      <c r="C147" s="2" t="s">
        <v>1521</v>
      </c>
      <c r="D147" s="2" t="s">
        <v>1522</v>
      </c>
      <c r="E147" s="2" t="s">
        <v>1536</v>
      </c>
      <c r="F147" s="2" t="s">
        <v>1536</v>
      </c>
      <c r="G147" s="2" t="s">
        <v>1001</v>
      </c>
      <c r="H147" s="22" t="str">
        <f>VLOOKUP(E147,'Lista Infomoney'!B:H,2,FALSE)</f>
        <v>EVEN3F</v>
      </c>
      <c r="I147" s="22" t="str">
        <f>VLOOKUP(E147,'Lista Infomoney'!B:F,3,FALSE)</f>
        <v>EVEN3</v>
      </c>
      <c r="J147" s="6" t="str">
        <f>VLOOKUP(E147,'Lista Infomoney'!B:F,4,FALSE)</f>
        <v/>
      </c>
      <c r="K147" s="6" t="str">
        <f>VLOOKUP(E147,'Lista Infomoney'!B:F,5,FALSE)</f>
        <v/>
      </c>
      <c r="O147"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v>
      </c>
    </row>
    <row r="148">
      <c r="A148" s="2">
        <v>1.0</v>
      </c>
      <c r="B148" s="2" t="s">
        <v>165</v>
      </c>
      <c r="C148" s="2" t="s">
        <v>1521</v>
      </c>
      <c r="D148" s="2" t="s">
        <v>1522</v>
      </c>
      <c r="E148" s="2" t="s">
        <v>263</v>
      </c>
      <c r="F148" s="2" t="s">
        <v>1537</v>
      </c>
      <c r="G148" s="2" t="s">
        <v>1001</v>
      </c>
      <c r="H148" s="22" t="str">
        <f>VLOOKUP(E148,'Lista Infomoney'!B:H,2,FALSE)</f>
        <v>EZTC3F</v>
      </c>
      <c r="I148" s="22" t="str">
        <f>VLOOKUP(E148,'Lista Infomoney'!B:F,3,FALSE)</f>
        <v>EZTC3</v>
      </c>
      <c r="J148" s="6" t="str">
        <f>VLOOKUP(E148,'Lista Infomoney'!B:F,4,FALSE)</f>
        <v/>
      </c>
      <c r="K148" s="6" t="str">
        <f>VLOOKUP(E148,'Lista Infomoney'!B:F,5,FALSE)</f>
        <v/>
      </c>
      <c r="O148"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v>
      </c>
    </row>
    <row r="149">
      <c r="A149" s="2">
        <v>1.0</v>
      </c>
      <c r="B149" s="2" t="s">
        <v>165</v>
      </c>
      <c r="C149" s="2" t="s">
        <v>1521</v>
      </c>
      <c r="D149" s="2" t="s">
        <v>1522</v>
      </c>
      <c r="E149" s="2" t="s">
        <v>1538</v>
      </c>
      <c r="F149" s="27" t="s">
        <v>1539</v>
      </c>
      <c r="G149" s="2" t="s">
        <v>1001</v>
      </c>
      <c r="H149" s="22" t="str">
        <f>VLOOKUP(E149,'Lista Infomoney'!B:H,2,FALSE)</f>
        <v>GFSA3</v>
      </c>
      <c r="I149" s="22" t="str">
        <f>VLOOKUP(E149,'Lista Infomoney'!B:F,3,FALSE)</f>
        <v>GFSA3F</v>
      </c>
      <c r="J149" s="6" t="str">
        <f>VLOOKUP(E149,'Lista Infomoney'!B:F,4,FALSE)</f>
        <v/>
      </c>
      <c r="K149" s="6" t="str">
        <f>VLOOKUP(E149,'Lista Infomoney'!B:F,5,FALSE)</f>
        <v/>
      </c>
      <c r="O149"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v>
      </c>
    </row>
    <row r="150">
      <c r="A150" s="2">
        <v>1.0</v>
      </c>
      <c r="B150" s="2" t="s">
        <v>165</v>
      </c>
      <c r="C150" s="2" t="s">
        <v>1521</v>
      </c>
      <c r="D150" s="2" t="s">
        <v>1522</v>
      </c>
      <c r="E150" s="2" t="s">
        <v>1540</v>
      </c>
      <c r="F150" s="2" t="s">
        <v>1541</v>
      </c>
      <c r="G150" s="2" t="s">
        <v>1001</v>
      </c>
      <c r="H150" s="22" t="str">
        <f>VLOOKUP(E150,'Lista Infomoney'!B:H,2,FALSE)</f>
        <v>HBOR3F</v>
      </c>
      <c r="I150" s="22" t="str">
        <f>VLOOKUP(E150,'Lista Infomoney'!B:F,3,FALSE)</f>
        <v>HBOR3</v>
      </c>
      <c r="J150" s="2" t="s">
        <v>1542</v>
      </c>
      <c r="K150" s="6" t="str">
        <f>VLOOKUP(E150,'Lista Infomoney'!B:F,5,FALSE)</f>
        <v/>
      </c>
      <c r="O150"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v>
      </c>
    </row>
    <row r="151">
      <c r="A151" s="2">
        <v>2.0</v>
      </c>
      <c r="B151" s="2" t="s">
        <v>165</v>
      </c>
      <c r="C151" s="2" t="s">
        <v>1521</v>
      </c>
      <c r="D151" s="2" t="s">
        <v>1522</v>
      </c>
      <c r="E151" s="2" t="s">
        <v>1543</v>
      </c>
      <c r="F151" s="2" t="s">
        <v>1544</v>
      </c>
      <c r="G151" s="2" t="s">
        <v>1107</v>
      </c>
      <c r="H151" s="2" t="s">
        <v>1545</v>
      </c>
      <c r="O151"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v>
      </c>
    </row>
    <row r="152">
      <c r="A152" s="2">
        <v>1.0</v>
      </c>
      <c r="B152" s="2" t="s">
        <v>165</v>
      </c>
      <c r="C152" s="2" t="s">
        <v>1521</v>
      </c>
      <c r="D152" s="2" t="s">
        <v>1522</v>
      </c>
      <c r="E152" s="2" t="s">
        <v>252</v>
      </c>
      <c r="F152" s="2" t="s">
        <v>252</v>
      </c>
      <c r="G152" s="2" t="s">
        <v>1001</v>
      </c>
      <c r="H152" s="22" t="str">
        <f>VLOOKUP(E152,'Lista Infomoney'!B:H,2,FALSE)</f>
        <v>JHSF3F</v>
      </c>
      <c r="I152" s="22" t="str">
        <f>VLOOKUP(E152,'Lista Infomoney'!B:F,3,FALSE)</f>
        <v>JHSF3</v>
      </c>
      <c r="J152" s="6" t="str">
        <f>VLOOKUP(E152,'Lista Infomoney'!B:F,4,FALSE)</f>
        <v/>
      </c>
      <c r="K152" s="6" t="str">
        <f>VLOOKUP(E152,'Lista Infomoney'!B:F,5,FALSE)</f>
        <v/>
      </c>
      <c r="O152"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v>
      </c>
    </row>
    <row r="153">
      <c r="A153" s="2">
        <v>2.0</v>
      </c>
      <c r="B153" s="2" t="s">
        <v>165</v>
      </c>
      <c r="C153" s="2" t="s">
        <v>1521</v>
      </c>
      <c r="D153" s="2" t="s">
        <v>1522</v>
      </c>
      <c r="E153" s="2" t="s">
        <v>1546</v>
      </c>
      <c r="F153" s="2" t="s">
        <v>1547</v>
      </c>
      <c r="G153" s="2"/>
      <c r="H153" s="2" t="s">
        <v>1548</v>
      </c>
      <c r="O153"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v>
      </c>
    </row>
    <row r="154">
      <c r="A154" s="2">
        <v>1.0</v>
      </c>
      <c r="B154" s="2" t="s">
        <v>165</v>
      </c>
      <c r="C154" s="2" t="s">
        <v>1521</v>
      </c>
      <c r="D154" s="2" t="s">
        <v>1522</v>
      </c>
      <c r="E154" s="2" t="s">
        <v>24</v>
      </c>
      <c r="F154" s="2" t="s">
        <v>1549</v>
      </c>
      <c r="G154" s="2" t="s">
        <v>1001</v>
      </c>
      <c r="H154" s="22" t="str">
        <f>VLOOKUP(E154,'Lista Infomoney'!B:H,2,FALSE)</f>
        <v>LAVV3</v>
      </c>
      <c r="I154" s="6" t="str">
        <f>VLOOKUP(E154,'Lista Infomoney'!B:F,3,FALSE)</f>
        <v/>
      </c>
      <c r="J154" s="6" t="str">
        <f>VLOOKUP(E154,'Lista Infomoney'!B:F,4,FALSE)</f>
        <v/>
      </c>
      <c r="K154" s="6" t="str">
        <f>VLOOKUP(E154,'Lista Infomoney'!B:F,5,FALSE)</f>
        <v/>
      </c>
      <c r="O154"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v>
      </c>
    </row>
    <row r="155">
      <c r="A155" s="2">
        <v>1.0</v>
      </c>
      <c r="B155" s="2" t="s">
        <v>165</v>
      </c>
      <c r="C155" s="2" t="s">
        <v>1521</v>
      </c>
      <c r="D155" s="2" t="s">
        <v>1522</v>
      </c>
      <c r="E155" s="2" t="s">
        <v>1550</v>
      </c>
      <c r="F155" s="2" t="s">
        <v>1551</v>
      </c>
      <c r="G155" s="2" t="s">
        <v>1001</v>
      </c>
      <c r="H155" s="22" t="str">
        <f>VLOOKUP(E155,'Lista Infomoney'!B:H,2,FALSE)</f>
        <v>MELK3</v>
      </c>
      <c r="I155" s="6" t="str">
        <f>VLOOKUP(E155,'Lista Infomoney'!B:F,3,FALSE)</f>
        <v/>
      </c>
      <c r="J155" s="6" t="str">
        <f>VLOOKUP(E155,'Lista Infomoney'!B:F,4,FALSE)</f>
        <v/>
      </c>
      <c r="K155" s="6" t="str">
        <f>VLOOKUP(E155,'Lista Infomoney'!B:F,5,FALSE)</f>
        <v/>
      </c>
      <c r="O155"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v>
      </c>
    </row>
    <row r="156">
      <c r="A156" s="2">
        <v>1.0</v>
      </c>
      <c r="B156" s="2" t="s">
        <v>165</v>
      </c>
      <c r="C156" s="2" t="s">
        <v>1521</v>
      </c>
      <c r="D156" s="2" t="s">
        <v>1522</v>
      </c>
      <c r="E156" s="2" t="s">
        <v>1552</v>
      </c>
      <c r="F156" s="2" t="s">
        <v>1553</v>
      </c>
      <c r="G156" s="2" t="s">
        <v>1001</v>
      </c>
      <c r="H156" s="22" t="str">
        <f>VLOOKUP(E156,'Lista Infomoney'!B:H,2,FALSE)</f>
        <v>MTRE3</v>
      </c>
      <c r="I156" s="6" t="str">
        <f>VLOOKUP(E156,'Lista Infomoney'!B:F,3,FALSE)</f>
        <v/>
      </c>
      <c r="J156" s="6" t="str">
        <f>VLOOKUP(E156,'Lista Infomoney'!B:F,4,FALSE)</f>
        <v/>
      </c>
      <c r="K156" s="6" t="str">
        <f>VLOOKUP(E156,'Lista Infomoney'!B:F,5,FALSE)</f>
        <v/>
      </c>
      <c r="O156"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v>
      </c>
    </row>
    <row r="157">
      <c r="A157" s="2">
        <v>1.0</v>
      </c>
      <c r="B157" s="2" t="s">
        <v>165</v>
      </c>
      <c r="C157" s="2" t="s">
        <v>1521</v>
      </c>
      <c r="D157" s="2" t="s">
        <v>1522</v>
      </c>
      <c r="E157" s="2" t="s">
        <v>1554</v>
      </c>
      <c r="F157" s="2" t="s">
        <v>1555</v>
      </c>
      <c r="G157" s="2" t="s">
        <v>1001</v>
      </c>
      <c r="H157" s="22" t="str">
        <f>VLOOKUP(E157,'Lista Infomoney'!B:H,2,FALSE)</f>
        <v>MDNE3</v>
      </c>
      <c r="I157" s="6" t="str">
        <f>VLOOKUP(E157,'Lista Infomoney'!B:F,3,FALSE)</f>
        <v/>
      </c>
      <c r="J157" s="6" t="str">
        <f>VLOOKUP(E157,'Lista Infomoney'!B:F,4,FALSE)</f>
        <v/>
      </c>
      <c r="K157" s="6" t="str">
        <f>VLOOKUP(E157,'Lista Infomoney'!B:F,5,FALSE)</f>
        <v/>
      </c>
      <c r="O157"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v>
      </c>
    </row>
    <row r="158">
      <c r="A158" s="2">
        <v>1.0</v>
      </c>
      <c r="B158" s="2" t="s">
        <v>165</v>
      </c>
      <c r="C158" s="2" t="s">
        <v>1521</v>
      </c>
      <c r="D158" s="2" t="s">
        <v>1522</v>
      </c>
      <c r="E158" s="2" t="s">
        <v>277</v>
      </c>
      <c r="F158" s="2" t="s">
        <v>1556</v>
      </c>
      <c r="G158" s="2" t="s">
        <v>1001</v>
      </c>
      <c r="H158" s="22" t="str">
        <f>VLOOKUP(E158,'Lista Infomoney'!B:H,2,FALSE)</f>
        <v>MRVE3F</v>
      </c>
      <c r="I158" s="22" t="str">
        <f>VLOOKUP(E158,'Lista Infomoney'!B:F,3,FALSE)</f>
        <v>MRVE3</v>
      </c>
      <c r="J158" s="6" t="str">
        <f>VLOOKUP(E158,'Lista Infomoney'!B:F,4,FALSE)</f>
        <v/>
      </c>
      <c r="K158" s="6" t="str">
        <f>VLOOKUP(E158,'Lista Infomoney'!B:F,5,FALSE)</f>
        <v/>
      </c>
      <c r="O158"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v>
      </c>
    </row>
    <row r="159">
      <c r="A159" s="2">
        <v>1.0</v>
      </c>
      <c r="B159" s="2" t="s">
        <v>165</v>
      </c>
      <c r="C159" s="2" t="s">
        <v>1521</v>
      </c>
      <c r="D159" s="2" t="s">
        <v>1522</v>
      </c>
      <c r="E159" s="2" t="s">
        <v>258</v>
      </c>
      <c r="F159" s="2" t="s">
        <v>1557</v>
      </c>
      <c r="G159" s="2" t="s">
        <v>1001</v>
      </c>
      <c r="H159" s="22" t="str">
        <f>VLOOKUP(E159,'Lista Infomoney'!B:H,2,FALSE)</f>
        <v>PDGR3F</v>
      </c>
      <c r="I159" s="22" t="str">
        <f>VLOOKUP(E159,'Lista Infomoney'!B:F,3,FALSE)</f>
        <v>PDGR3</v>
      </c>
      <c r="J159" s="2" t="s">
        <v>1558</v>
      </c>
      <c r="K159" s="6" t="str">
        <f>VLOOKUP(E159,'Lista Infomoney'!B:F,5,FALSE)</f>
        <v/>
      </c>
      <c r="O159"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v>
      </c>
    </row>
    <row r="160">
      <c r="A160" s="2">
        <v>1.0</v>
      </c>
      <c r="B160" s="2" t="s">
        <v>165</v>
      </c>
      <c r="C160" s="2" t="s">
        <v>1521</v>
      </c>
      <c r="D160" s="2" t="s">
        <v>1522</v>
      </c>
      <c r="E160" s="2" t="s">
        <v>18</v>
      </c>
      <c r="F160" s="2" t="s">
        <v>1559</v>
      </c>
      <c r="G160" s="2" t="s">
        <v>1001</v>
      </c>
      <c r="H160" s="22" t="str">
        <f>VLOOKUP(E160,'Lista Infomoney'!B:H,2,FALSE)</f>
        <v>PLPL3</v>
      </c>
      <c r="I160" s="6" t="str">
        <f>VLOOKUP(E160,'Lista Infomoney'!B:F,3,FALSE)</f>
        <v/>
      </c>
      <c r="J160" s="6" t="str">
        <f>VLOOKUP(E160,'Lista Infomoney'!B:F,4,FALSE)</f>
        <v/>
      </c>
      <c r="K160" s="6" t="str">
        <f>VLOOKUP(E160,'Lista Infomoney'!B:F,5,FALSE)</f>
        <v/>
      </c>
      <c r="O160"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v>
      </c>
    </row>
    <row r="161">
      <c r="A161" s="2">
        <v>1.0</v>
      </c>
      <c r="B161" s="2" t="s">
        <v>165</v>
      </c>
      <c r="C161" s="2" t="s">
        <v>1521</v>
      </c>
      <c r="D161" s="2" t="s">
        <v>1522</v>
      </c>
      <c r="E161" s="2" t="s">
        <v>188</v>
      </c>
      <c r="F161" s="2" t="s">
        <v>1560</v>
      </c>
      <c r="G161" s="2" t="s">
        <v>1001</v>
      </c>
      <c r="H161" s="22" t="str">
        <f>VLOOKUP(E161,'Lista Infomoney'!B:H,2,FALSE)</f>
        <v>RDNI3F</v>
      </c>
      <c r="I161" s="22" t="str">
        <f>VLOOKUP(E161,'Lista Infomoney'!B:F,3,FALSE)</f>
        <v>RDNI3</v>
      </c>
      <c r="J161" s="6" t="str">
        <f>VLOOKUP(E161,'Lista Infomoney'!B:F,4,FALSE)</f>
        <v/>
      </c>
      <c r="K161" s="6" t="str">
        <f>VLOOKUP(E161,'Lista Infomoney'!B:F,5,FALSE)</f>
        <v/>
      </c>
      <c r="O161"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v>
      </c>
    </row>
    <row r="162">
      <c r="A162" s="2">
        <v>1.0</v>
      </c>
      <c r="B162" s="2" t="s">
        <v>165</v>
      </c>
      <c r="C162" s="2" t="s">
        <v>1521</v>
      </c>
      <c r="D162" s="2" t="s">
        <v>1522</v>
      </c>
      <c r="E162" s="2" t="s">
        <v>1561</v>
      </c>
      <c r="F162" s="2" t="s">
        <v>1562</v>
      </c>
      <c r="G162" s="2" t="s">
        <v>1001</v>
      </c>
      <c r="H162" s="22" t="str">
        <f>VLOOKUP(E162,'Lista Infomoney'!B:H,2,FALSE)</f>
        <v>RSID3F</v>
      </c>
      <c r="I162" s="22" t="str">
        <f>VLOOKUP(E162,'Lista Infomoney'!B:F,3,FALSE)</f>
        <v>RSID3</v>
      </c>
      <c r="J162" s="6" t="str">
        <f>VLOOKUP(E162,'Lista Infomoney'!B:F,4,FALSE)</f>
        <v/>
      </c>
      <c r="K162" s="6" t="str">
        <f>VLOOKUP(E162,'Lista Infomoney'!B:F,5,FALSE)</f>
        <v/>
      </c>
      <c r="O162"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v>
      </c>
    </row>
    <row r="163">
      <c r="A163" s="2">
        <v>1.0</v>
      </c>
      <c r="B163" s="2" t="s">
        <v>165</v>
      </c>
      <c r="C163" s="2" t="s">
        <v>1521</v>
      </c>
      <c r="D163" s="2" t="s">
        <v>1522</v>
      </c>
      <c r="E163" s="2" t="s">
        <v>1563</v>
      </c>
      <c r="F163" s="2" t="s">
        <v>1564</v>
      </c>
      <c r="G163" s="2" t="s">
        <v>1001</v>
      </c>
      <c r="H163" s="22" t="str">
        <f>VLOOKUP(E163,'Lista Infomoney'!B:H,2,FALSE)</f>
        <v>TCSA3F</v>
      </c>
      <c r="I163" s="2" t="s">
        <v>293</v>
      </c>
      <c r="J163" s="6" t="str">
        <f>VLOOKUP(E163,'Lista Infomoney'!B:F,4,FALSE)</f>
        <v/>
      </c>
      <c r="K163" s="6" t="str">
        <f>VLOOKUP(E163,'Lista Infomoney'!B:F,5,FALSE)</f>
        <v/>
      </c>
      <c r="O163"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v>
      </c>
    </row>
    <row r="164">
      <c r="A164" s="2">
        <v>2.0</v>
      </c>
      <c r="B164" s="2" t="s">
        <v>165</v>
      </c>
      <c r="C164" s="2" t="s">
        <v>1521</v>
      </c>
      <c r="D164" s="2" t="s">
        <v>1522</v>
      </c>
      <c r="E164" s="2" t="s">
        <v>1565</v>
      </c>
      <c r="F164" s="2" t="s">
        <v>1566</v>
      </c>
      <c r="G164" s="2" t="s">
        <v>1001</v>
      </c>
      <c r="H164" s="2" t="s">
        <v>1567</v>
      </c>
      <c r="O164"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v>
      </c>
    </row>
    <row r="165">
      <c r="A165" s="2">
        <v>2.0</v>
      </c>
      <c r="B165" s="2" t="s">
        <v>165</v>
      </c>
      <c r="C165" s="2" t="s">
        <v>1521</v>
      </c>
      <c r="D165" s="2" t="s">
        <v>1522</v>
      </c>
      <c r="E165" s="2" t="s">
        <v>1568</v>
      </c>
      <c r="F165" s="2" t="s">
        <v>1569</v>
      </c>
      <c r="G165" s="2" t="s">
        <v>1001</v>
      </c>
      <c r="H165" s="2" t="s">
        <v>1570</v>
      </c>
      <c r="O165"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v>
      </c>
    </row>
    <row r="166">
      <c r="A166" s="2">
        <v>2.0</v>
      </c>
      <c r="B166" s="2" t="s">
        <v>165</v>
      </c>
      <c r="C166" s="2" t="s">
        <v>1521</v>
      </c>
      <c r="D166" s="2" t="s">
        <v>1522</v>
      </c>
      <c r="E166" s="2" t="s">
        <v>1571</v>
      </c>
      <c r="F166" s="2" t="s">
        <v>1572</v>
      </c>
      <c r="G166" s="2" t="s">
        <v>1001</v>
      </c>
      <c r="H166" s="2" t="s">
        <v>1573</v>
      </c>
      <c r="O166"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v>
      </c>
    </row>
    <row r="167">
      <c r="A167" s="2">
        <v>1.0</v>
      </c>
      <c r="B167" s="2" t="s">
        <v>165</v>
      </c>
      <c r="C167" s="2" t="s">
        <v>1574</v>
      </c>
      <c r="D167" s="2" t="s">
        <v>1575</v>
      </c>
      <c r="E167" s="2" t="s">
        <v>1576</v>
      </c>
      <c r="F167" s="2" t="s">
        <v>1577</v>
      </c>
      <c r="G167" s="2" t="s">
        <v>1029</v>
      </c>
      <c r="H167" s="22" t="str">
        <f>VLOOKUP(E167,'Lista Infomoney'!B:H,2,FALSE)</f>
        <v>CEDO4F</v>
      </c>
      <c r="I167" s="22" t="str">
        <f>VLOOKUP(E167,'Lista Infomoney'!B:F,3,FALSE)</f>
        <v>CEDO3F</v>
      </c>
      <c r="J167" s="2" t="s">
        <v>1578</v>
      </c>
      <c r="K167" s="2" t="s">
        <v>1579</v>
      </c>
      <c r="O167"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v>
      </c>
    </row>
    <row r="168">
      <c r="A168" s="2">
        <v>1.0</v>
      </c>
      <c r="B168" s="2" t="s">
        <v>165</v>
      </c>
      <c r="C168" s="2" t="s">
        <v>1574</v>
      </c>
      <c r="D168" s="2" t="s">
        <v>1575</v>
      </c>
      <c r="E168" s="2" t="s">
        <v>1580</v>
      </c>
      <c r="F168" s="2" t="s">
        <v>1581</v>
      </c>
      <c r="G168" s="2"/>
      <c r="H168" s="22" t="str">
        <f>VLOOKUP(E168,'Lista Infomoney'!B:H,2,FALSE)</f>
        <v>CTNM3F</v>
      </c>
      <c r="I168" s="22" t="str">
        <f>VLOOKUP(E168,'Lista Infomoney'!B:F,3,FALSE)</f>
        <v>CTNM4F</v>
      </c>
      <c r="J168" s="22" t="str">
        <f>VLOOKUP(E168,'Lista Infomoney'!B:F,4,FALSE)</f>
        <v>CTNM4</v>
      </c>
      <c r="K168" s="22" t="str">
        <f>VLOOKUP(E168,'Lista Infomoney'!B:F,5,FALSE)</f>
        <v>CTNM3</v>
      </c>
      <c r="O168"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v>
      </c>
    </row>
    <row r="169">
      <c r="A169" s="2">
        <v>2.0</v>
      </c>
      <c r="B169" s="2" t="s">
        <v>165</v>
      </c>
      <c r="C169" s="2" t="s">
        <v>1574</v>
      </c>
      <c r="D169" s="2" t="s">
        <v>1575</v>
      </c>
      <c r="E169" s="2" t="s">
        <v>1582</v>
      </c>
      <c r="F169" s="2" t="s">
        <v>1583</v>
      </c>
      <c r="G169" s="2"/>
      <c r="H169" s="2" t="s">
        <v>1584</v>
      </c>
      <c r="O169"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v>
      </c>
    </row>
    <row r="170">
      <c r="A170" s="2">
        <v>2.0</v>
      </c>
      <c r="B170" s="2" t="s">
        <v>165</v>
      </c>
      <c r="C170" s="2" t="s">
        <v>1574</v>
      </c>
      <c r="D170" s="2" t="s">
        <v>1575</v>
      </c>
      <c r="E170" s="2" t="s">
        <v>1585</v>
      </c>
      <c r="F170" s="2" t="s">
        <v>1586</v>
      </c>
      <c r="G170" s="2"/>
      <c r="H170" s="2" t="s">
        <v>1587</v>
      </c>
      <c r="O170"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v>
      </c>
    </row>
    <row r="171">
      <c r="A171" s="2">
        <v>2.0</v>
      </c>
      <c r="B171" s="2" t="s">
        <v>165</v>
      </c>
      <c r="C171" s="2" t="s">
        <v>1574</v>
      </c>
      <c r="D171" s="2" t="s">
        <v>1575</v>
      </c>
      <c r="E171" s="2" t="s">
        <v>1588</v>
      </c>
      <c r="F171" s="2" t="s">
        <v>1589</v>
      </c>
      <c r="G171" s="2"/>
      <c r="H171" s="2" t="s">
        <v>1590</v>
      </c>
      <c r="I171" s="2" t="s">
        <v>1591</v>
      </c>
      <c r="O171"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v>
      </c>
    </row>
    <row r="172">
      <c r="A172" s="2">
        <v>1.0</v>
      </c>
      <c r="B172" s="2" t="s">
        <v>165</v>
      </c>
      <c r="C172" s="2" t="s">
        <v>1574</v>
      </c>
      <c r="D172" s="2" t="s">
        <v>1575</v>
      </c>
      <c r="E172" s="2" t="s">
        <v>1592</v>
      </c>
      <c r="F172" s="2" t="s">
        <v>1593</v>
      </c>
      <c r="G172" s="2"/>
      <c r="H172" s="22" t="str">
        <f>VLOOKUP(E172,'Lista Infomoney'!B:H,2,FALSE)</f>
        <v>CTKA4F</v>
      </c>
      <c r="I172" s="22" t="str">
        <f>VLOOKUP(E172,'Lista Infomoney'!B:F,3,FALSE)</f>
        <v>CTKA3F</v>
      </c>
      <c r="J172" s="22" t="str">
        <f>VLOOKUP(E172,'Lista Infomoney'!B:F,4,FALSE)</f>
        <v>CTKA4</v>
      </c>
      <c r="K172" s="22" t="str">
        <f>VLOOKUP(E172,'Lista Infomoney'!B:F,5,FALSE)</f>
        <v>CTKA3</v>
      </c>
      <c r="O172"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v>
      </c>
    </row>
    <row r="173">
      <c r="A173" s="2">
        <v>2.0</v>
      </c>
      <c r="B173" s="2" t="s">
        <v>165</v>
      </c>
      <c r="C173" s="2" t="s">
        <v>1574</v>
      </c>
      <c r="D173" s="2" t="s">
        <v>1575</v>
      </c>
      <c r="E173" s="2" t="s">
        <v>1594</v>
      </c>
      <c r="F173" s="2" t="s">
        <v>1595</v>
      </c>
      <c r="G173" s="2"/>
      <c r="H173" s="2" t="s">
        <v>1596</v>
      </c>
      <c r="O173"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v>
      </c>
    </row>
    <row r="174">
      <c r="A174" s="2">
        <v>2.0</v>
      </c>
      <c r="B174" s="2" t="s">
        <v>165</v>
      </c>
      <c r="C174" s="2" t="s">
        <v>1574</v>
      </c>
      <c r="D174" s="2" t="s">
        <v>1575</v>
      </c>
      <c r="E174" s="2" t="s">
        <v>1597</v>
      </c>
      <c r="F174" s="2" t="s">
        <v>1598</v>
      </c>
      <c r="G174" s="2"/>
      <c r="H174" s="2" t="s">
        <v>1599</v>
      </c>
      <c r="O174"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v>
      </c>
    </row>
    <row r="175">
      <c r="A175" s="2">
        <v>2.0</v>
      </c>
      <c r="B175" s="2" t="s">
        <v>165</v>
      </c>
      <c r="C175" s="2" t="s">
        <v>1574</v>
      </c>
      <c r="D175" s="2" t="s">
        <v>1575</v>
      </c>
      <c r="E175" s="2" t="s">
        <v>1600</v>
      </c>
      <c r="F175" s="2" t="s">
        <v>1601</v>
      </c>
      <c r="G175" s="2" t="s">
        <v>1001</v>
      </c>
      <c r="H175" s="2" t="s">
        <v>1602</v>
      </c>
      <c r="O175"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v>
      </c>
    </row>
    <row r="176">
      <c r="A176" s="2">
        <v>2.0</v>
      </c>
      <c r="B176" s="2" t="s">
        <v>165</v>
      </c>
      <c r="C176" s="2" t="s">
        <v>1574</v>
      </c>
      <c r="D176" s="2" t="s">
        <v>1575</v>
      </c>
      <c r="E176" s="2" t="s">
        <v>1603</v>
      </c>
      <c r="F176" s="2" t="s">
        <v>1603</v>
      </c>
      <c r="G176" s="2"/>
      <c r="H176" s="2" t="s">
        <v>1604</v>
      </c>
      <c r="O176"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v>
      </c>
    </row>
    <row r="177">
      <c r="A177" s="2">
        <v>2.0</v>
      </c>
      <c r="B177" s="2" t="s">
        <v>165</v>
      </c>
      <c r="C177" s="2" t="s">
        <v>1574</v>
      </c>
      <c r="D177" s="2" t="s">
        <v>1575</v>
      </c>
      <c r="E177" s="2" t="s">
        <v>1605</v>
      </c>
      <c r="F177" s="2" t="s">
        <v>1606</v>
      </c>
      <c r="G177" s="2"/>
      <c r="H177" s="2" t="s">
        <v>1607</v>
      </c>
      <c r="O177"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v>
      </c>
    </row>
    <row r="178">
      <c r="A178" s="2">
        <v>1.0</v>
      </c>
      <c r="B178" s="2" t="s">
        <v>165</v>
      </c>
      <c r="C178" s="2" t="s">
        <v>1574</v>
      </c>
      <c r="D178" s="2" t="s">
        <v>1608</v>
      </c>
      <c r="E178" s="2" t="s">
        <v>1609</v>
      </c>
      <c r="F178" s="2" t="s">
        <v>1610</v>
      </c>
      <c r="G178" s="2" t="s">
        <v>1001</v>
      </c>
      <c r="H178" s="22" t="str">
        <f>VLOOKUP(E178,'Lista Infomoney'!B:H,2,FALSE)</f>
        <v>HGTX3F</v>
      </c>
      <c r="I178" s="2" t="s">
        <v>1611</v>
      </c>
      <c r="J178" s="6" t="str">
        <f>VLOOKUP(E178,'Lista Infomoney'!B:F,4,FALSE)</f>
        <v/>
      </c>
      <c r="K178" s="6" t="str">
        <f>VLOOKUP(E178,'Lista Infomoney'!B:F,5,FALSE)</f>
        <v/>
      </c>
      <c r="O178"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v>
      </c>
    </row>
    <row r="179">
      <c r="A179" s="2">
        <v>1.0</v>
      </c>
      <c r="B179" s="2" t="s">
        <v>165</v>
      </c>
      <c r="C179" s="2" t="s">
        <v>1574</v>
      </c>
      <c r="D179" s="2" t="s">
        <v>1612</v>
      </c>
      <c r="E179" s="2" t="s">
        <v>1613</v>
      </c>
      <c r="F179" s="2" t="s">
        <v>1614</v>
      </c>
      <c r="G179" s="2" t="s">
        <v>1029</v>
      </c>
      <c r="H179" s="22" t="str">
        <f>VLOOKUP(E179,'Lista Infomoney'!B:H,2,FALSE)</f>
        <v>ALPA3F</v>
      </c>
      <c r="I179" s="22" t="str">
        <f>VLOOKUP(E179,'Lista Infomoney'!B:F,3,FALSE)</f>
        <v>ALPA4F</v>
      </c>
      <c r="J179" s="2" t="s">
        <v>1615</v>
      </c>
      <c r="K179" s="2" t="s">
        <v>1616</v>
      </c>
      <c r="O179"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v>
      </c>
    </row>
    <row r="180">
      <c r="A180" s="2">
        <v>2.0</v>
      </c>
      <c r="B180" s="2" t="s">
        <v>165</v>
      </c>
      <c r="C180" s="2" t="s">
        <v>1574</v>
      </c>
      <c r="D180" s="2" t="s">
        <v>1612</v>
      </c>
      <c r="E180" s="2" t="s">
        <v>1617</v>
      </c>
      <c r="F180" s="2" t="s">
        <v>1618</v>
      </c>
      <c r="G180" s="2"/>
      <c r="H180" s="2" t="s">
        <v>1619</v>
      </c>
      <c r="O180"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v>
      </c>
    </row>
    <row r="181">
      <c r="A181" s="2">
        <v>1.0</v>
      </c>
      <c r="B181" s="2" t="s">
        <v>165</v>
      </c>
      <c r="C181" s="2" t="s">
        <v>1574</v>
      </c>
      <c r="D181" s="2" t="s">
        <v>1612</v>
      </c>
      <c r="E181" s="2" t="s">
        <v>1620</v>
      </c>
      <c r="F181" s="2" t="s">
        <v>1621</v>
      </c>
      <c r="G181" s="2" t="s">
        <v>1001</v>
      </c>
      <c r="H181" s="22" t="str">
        <f>VLOOKUP(E181,'Lista Infomoney'!B:H,2,FALSE)</f>
        <v>GRND3F</v>
      </c>
      <c r="I181" s="22" t="str">
        <f>VLOOKUP(E181,'Lista Infomoney'!B:F,3,FALSE)</f>
        <v>GRND3</v>
      </c>
      <c r="J181" s="6" t="str">
        <f>VLOOKUP(E181,'Lista Infomoney'!B:F,4,FALSE)</f>
        <v/>
      </c>
      <c r="K181" s="6" t="str">
        <f>VLOOKUP(E181,'Lista Infomoney'!B:F,5,FALSE)</f>
        <v/>
      </c>
      <c r="O181"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v>
      </c>
    </row>
    <row r="182">
      <c r="A182" s="2">
        <v>2.0</v>
      </c>
      <c r="B182" s="2" t="s">
        <v>165</v>
      </c>
      <c r="C182" s="2" t="s">
        <v>1574</v>
      </c>
      <c r="D182" s="2" t="s">
        <v>1612</v>
      </c>
      <c r="E182" s="2" t="s">
        <v>1622</v>
      </c>
      <c r="F182" s="2" t="s">
        <v>1623</v>
      </c>
      <c r="G182" s="2" t="s">
        <v>1001</v>
      </c>
      <c r="H182" s="2" t="s">
        <v>1624</v>
      </c>
      <c r="O182"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v>
      </c>
    </row>
    <row r="183">
      <c r="A183" s="2">
        <v>1.0</v>
      </c>
      <c r="B183" s="2" t="s">
        <v>165</v>
      </c>
      <c r="C183" s="2" t="s">
        <v>1574</v>
      </c>
      <c r="D183" s="2" t="s">
        <v>1625</v>
      </c>
      <c r="E183" s="2" t="s">
        <v>1626</v>
      </c>
      <c r="F183" s="2" t="s">
        <v>1627</v>
      </c>
      <c r="G183" s="2"/>
      <c r="H183" s="22" t="str">
        <f>VLOOKUP(E183,'Lista Infomoney'!B:H,2,FALSE)</f>
        <v>MNDL3F</v>
      </c>
      <c r="I183" s="22" t="str">
        <f>VLOOKUP(E183,'Lista Infomoney'!B:F,3,FALSE)</f>
        <v>MNDL3</v>
      </c>
      <c r="J183" s="6" t="str">
        <f>VLOOKUP(E183,'Lista Infomoney'!B:F,4,FALSE)</f>
        <v/>
      </c>
      <c r="K183" s="6" t="str">
        <f>VLOOKUP(E183,'Lista Infomoney'!B:F,5,FALSE)</f>
        <v/>
      </c>
      <c r="O183"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v>
      </c>
    </row>
    <row r="184">
      <c r="A184" s="2">
        <v>2.0</v>
      </c>
      <c r="B184" s="2" t="s">
        <v>165</v>
      </c>
      <c r="C184" s="2" t="s">
        <v>1574</v>
      </c>
      <c r="D184" s="2" t="s">
        <v>1625</v>
      </c>
      <c r="E184" s="2" t="s">
        <v>1628</v>
      </c>
      <c r="F184" s="2" t="s">
        <v>1629</v>
      </c>
      <c r="G184" s="2" t="s">
        <v>1001</v>
      </c>
      <c r="H184" s="2" t="s">
        <v>1630</v>
      </c>
      <c r="O184"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v>
      </c>
    </row>
    <row r="185">
      <c r="A185" s="2">
        <v>1.0</v>
      </c>
      <c r="B185" s="2" t="s">
        <v>165</v>
      </c>
      <c r="C185" s="2" t="s">
        <v>1574</v>
      </c>
      <c r="D185" s="2" t="s">
        <v>1625</v>
      </c>
      <c r="E185" s="2" t="s">
        <v>354</v>
      </c>
      <c r="F185" s="2" t="s">
        <v>1631</v>
      </c>
      <c r="G185" s="2" t="s">
        <v>1001</v>
      </c>
      <c r="H185" s="22" t="str">
        <f>VLOOKUP(E185,'Lista Infomoney'!B:H,2,FALSE)</f>
        <v>VIVA3</v>
      </c>
      <c r="I185" s="6" t="str">
        <f>VLOOKUP(E185,'Lista Infomoney'!B:F,3,FALSE)</f>
        <v/>
      </c>
      <c r="J185" s="6" t="str">
        <f>VLOOKUP(E185,'Lista Infomoney'!B:F,4,FALSE)</f>
        <v/>
      </c>
      <c r="K185" s="6" t="str">
        <f>VLOOKUP(E185,'Lista Infomoney'!B:F,5,FALSE)</f>
        <v/>
      </c>
      <c r="O185"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v>
      </c>
    </row>
    <row r="186">
      <c r="A186" s="2">
        <v>1.0</v>
      </c>
      <c r="B186" s="2" t="s">
        <v>165</v>
      </c>
      <c r="C186" s="2" t="s">
        <v>1632</v>
      </c>
      <c r="D186" s="2" t="s">
        <v>1633</v>
      </c>
      <c r="E186" s="2" t="s">
        <v>113</v>
      </c>
      <c r="F186" s="2" t="s">
        <v>1634</v>
      </c>
      <c r="G186" s="2"/>
      <c r="H186" s="22" t="str">
        <f>VLOOKUP(E186,'Lista Infomoney'!B:H,2,FALSE)</f>
        <v>WHRL4F</v>
      </c>
      <c r="I186" s="5" t="s">
        <v>115</v>
      </c>
      <c r="J186" s="5" t="s">
        <v>289</v>
      </c>
      <c r="K186" s="2" t="s">
        <v>290</v>
      </c>
      <c r="O186"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v>
      </c>
    </row>
    <row r="187">
      <c r="A187" s="2">
        <v>2.0</v>
      </c>
      <c r="B187" s="2" t="s">
        <v>165</v>
      </c>
      <c r="C187" s="2" t="s">
        <v>1632</v>
      </c>
      <c r="D187" s="2" t="s">
        <v>1635</v>
      </c>
      <c r="E187" s="2" t="s">
        <v>1636</v>
      </c>
      <c r="F187" s="2" t="s">
        <v>1637</v>
      </c>
      <c r="G187" s="2" t="s">
        <v>1001</v>
      </c>
      <c r="H187" s="2" t="s">
        <v>1638</v>
      </c>
      <c r="O187"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v>
      </c>
    </row>
    <row r="188">
      <c r="A188" s="2">
        <v>2.0</v>
      </c>
      <c r="B188" s="2" t="s">
        <v>165</v>
      </c>
      <c r="C188" s="2" t="s">
        <v>1632</v>
      </c>
      <c r="D188" s="2" t="s">
        <v>1639</v>
      </c>
      <c r="E188" s="2" t="s">
        <v>1640</v>
      </c>
      <c r="F188" s="2" t="s">
        <v>1641</v>
      </c>
      <c r="G188" s="2"/>
      <c r="H188" s="2" t="s">
        <v>1642</v>
      </c>
      <c r="O188"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v>
      </c>
    </row>
    <row r="189">
      <c r="A189" s="2">
        <v>1.0</v>
      </c>
      <c r="B189" s="2" t="s">
        <v>165</v>
      </c>
      <c r="C189" s="2" t="s">
        <v>1643</v>
      </c>
      <c r="D189" s="2" t="s">
        <v>1643</v>
      </c>
      <c r="E189" s="2" t="s">
        <v>209</v>
      </c>
      <c r="F189" s="2" t="s">
        <v>1644</v>
      </c>
      <c r="G189" s="2" t="s">
        <v>1001</v>
      </c>
      <c r="H189" s="22" t="str">
        <f>VLOOKUP(E189,'Lista Infomoney'!B:H,2,FALSE)</f>
        <v>MYPK3F</v>
      </c>
      <c r="I189" s="22" t="str">
        <f>VLOOKUP(E189,'Lista Infomoney'!B:F,3,FALSE)</f>
        <v>MYPK3</v>
      </c>
      <c r="J189" s="2" t="s">
        <v>1645</v>
      </c>
      <c r="K189" s="2" t="s">
        <v>1646</v>
      </c>
      <c r="O189"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v>
      </c>
    </row>
    <row r="190">
      <c r="A190" s="2">
        <v>1.0</v>
      </c>
      <c r="B190" s="2" t="s">
        <v>165</v>
      </c>
      <c r="C190" s="2" t="s">
        <v>1643</v>
      </c>
      <c r="D190" s="2" t="s">
        <v>1643</v>
      </c>
      <c r="E190" s="2" t="s">
        <v>1647</v>
      </c>
      <c r="F190" s="2" t="s">
        <v>1648</v>
      </c>
      <c r="G190" s="2" t="s">
        <v>1001</v>
      </c>
      <c r="H190" s="22" t="str">
        <f>VLOOKUP(E190,'Lista Infomoney'!B:H,2,FALSE)</f>
        <v>LEVE3F</v>
      </c>
      <c r="I190" s="22" t="str">
        <f>VLOOKUP(E190,'Lista Infomoney'!B:F,3,FALSE)</f>
        <v>LEVE3</v>
      </c>
      <c r="J190" s="6" t="str">
        <f>VLOOKUP(E190,'Lista Infomoney'!B:F,4,FALSE)</f>
        <v/>
      </c>
      <c r="K190" s="6" t="str">
        <f>VLOOKUP(E190,'Lista Infomoney'!B:F,5,FALSE)</f>
        <v/>
      </c>
      <c r="O190"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v>
      </c>
    </row>
    <row r="191">
      <c r="A191" s="2">
        <v>2.0</v>
      </c>
      <c r="B191" s="2" t="s">
        <v>165</v>
      </c>
      <c r="C191" s="2" t="s">
        <v>1643</v>
      </c>
      <c r="D191" s="2" t="s">
        <v>1643</v>
      </c>
      <c r="E191" s="2" t="s">
        <v>1649</v>
      </c>
      <c r="F191" s="2" t="s">
        <v>1650</v>
      </c>
      <c r="G191" s="2"/>
      <c r="H191" s="2" t="s">
        <v>1651</v>
      </c>
      <c r="I191" s="2" t="s">
        <v>1652</v>
      </c>
      <c r="O191"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v>
      </c>
    </row>
    <row r="192">
      <c r="A192" s="2">
        <v>1.0</v>
      </c>
      <c r="B192" s="2" t="s">
        <v>165</v>
      </c>
      <c r="C192" s="2" t="s">
        <v>1653</v>
      </c>
      <c r="D192" s="2" t="s">
        <v>1654</v>
      </c>
      <c r="E192" s="2" t="s">
        <v>1655</v>
      </c>
      <c r="F192" s="2" t="s">
        <v>1656</v>
      </c>
      <c r="G192" s="2"/>
      <c r="H192" s="22" t="str">
        <f>VLOOKUP(E192,'Lista Infomoney'!B:H,2,FALSE)</f>
        <v>HOOT4</v>
      </c>
      <c r="I192" s="2" t="s">
        <v>1657</v>
      </c>
      <c r="J192" s="2" t="s">
        <v>1658</v>
      </c>
      <c r="K192" s="2" t="s">
        <v>1659</v>
      </c>
      <c r="O192"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v>
      </c>
    </row>
    <row r="193">
      <c r="A193" s="2">
        <v>2.0</v>
      </c>
      <c r="B193" s="2" t="s">
        <v>165</v>
      </c>
      <c r="C193" s="2" t="s">
        <v>1653</v>
      </c>
      <c r="D193" s="2" t="s">
        <v>1660</v>
      </c>
      <c r="E193" s="2" t="s">
        <v>1661</v>
      </c>
      <c r="F193" s="2" t="s">
        <v>1662</v>
      </c>
      <c r="G193" s="2" t="s">
        <v>1001</v>
      </c>
      <c r="H193" s="2" t="s">
        <v>1663</v>
      </c>
      <c r="O193"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v>
      </c>
    </row>
    <row r="194">
      <c r="A194" s="2">
        <v>2.0</v>
      </c>
      <c r="B194" s="2" t="s">
        <v>165</v>
      </c>
      <c r="C194" s="2" t="s">
        <v>1653</v>
      </c>
      <c r="D194" s="2" t="s">
        <v>1660</v>
      </c>
      <c r="E194" s="2" t="s">
        <v>1664</v>
      </c>
      <c r="F194" s="2" t="s">
        <v>1665</v>
      </c>
      <c r="G194" s="2" t="s">
        <v>1001</v>
      </c>
      <c r="H194" s="2" t="s">
        <v>1666</v>
      </c>
      <c r="O194"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v>
      </c>
    </row>
    <row r="195">
      <c r="A195" s="2">
        <v>2.0</v>
      </c>
      <c r="B195" s="2" t="s">
        <v>165</v>
      </c>
      <c r="C195" s="2" t="s">
        <v>1667</v>
      </c>
      <c r="D195" s="2" t="s">
        <v>1668</v>
      </c>
      <c r="E195" s="2" t="s">
        <v>1669</v>
      </c>
      <c r="F195" s="2" t="s">
        <v>1670</v>
      </c>
      <c r="G195" s="2"/>
      <c r="H195" s="2" t="s">
        <v>1671</v>
      </c>
      <c r="O195"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v>
      </c>
    </row>
    <row r="196">
      <c r="A196" s="2">
        <v>1.0</v>
      </c>
      <c r="B196" s="2" t="s">
        <v>165</v>
      </c>
      <c r="C196" s="2" t="s">
        <v>1667</v>
      </c>
      <c r="D196" s="2" t="s">
        <v>1672</v>
      </c>
      <c r="E196" s="2" t="s">
        <v>1673</v>
      </c>
      <c r="F196" s="2" t="s">
        <v>1674</v>
      </c>
      <c r="G196" s="2"/>
      <c r="H196" s="22" t="str">
        <f>VLOOKUP(E196,'Lista Infomoney'!B:H,2,FALSE)</f>
        <v>ESTR4F</v>
      </c>
      <c r="I196" s="22" t="str">
        <f>VLOOKUP(E196,'Lista Infomoney'!B:F,3,FALSE)</f>
        <v>ESTR3F</v>
      </c>
      <c r="J196" s="22" t="str">
        <f>VLOOKUP(E196,'Lista Infomoney'!B:F,4,FALSE)</f>
        <v>ESTR4</v>
      </c>
      <c r="K196" s="22" t="str">
        <f>VLOOKUP(E196,'Lista Infomoney'!B:F,5,FALSE)</f>
        <v>ESTR3</v>
      </c>
      <c r="O196"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v>
      </c>
    </row>
    <row r="197">
      <c r="A197" s="2">
        <v>2.0</v>
      </c>
      <c r="B197" s="2" t="s">
        <v>165</v>
      </c>
      <c r="C197" s="2" t="s">
        <v>1667</v>
      </c>
      <c r="D197" s="2" t="s">
        <v>1675</v>
      </c>
      <c r="E197" s="2" t="s">
        <v>1676</v>
      </c>
      <c r="F197" s="2" t="s">
        <v>1677</v>
      </c>
      <c r="G197" s="2"/>
      <c r="H197" s="2" t="s">
        <v>1678</v>
      </c>
      <c r="O197"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v>
      </c>
    </row>
    <row r="198">
      <c r="A198" s="2">
        <v>2.0</v>
      </c>
      <c r="B198" s="2" t="s">
        <v>165</v>
      </c>
      <c r="C198" s="2" t="s">
        <v>1667</v>
      </c>
      <c r="D198" s="2" t="s">
        <v>1675</v>
      </c>
      <c r="E198" s="2" t="s">
        <v>1679</v>
      </c>
      <c r="F198" s="2" t="s">
        <v>1680</v>
      </c>
      <c r="G198" s="2" t="s">
        <v>1001</v>
      </c>
      <c r="H198" s="2" t="s">
        <v>1681</v>
      </c>
      <c r="O198"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v>
      </c>
    </row>
    <row r="199">
      <c r="A199" s="2">
        <v>1.0</v>
      </c>
      <c r="B199" s="2" t="s">
        <v>165</v>
      </c>
      <c r="C199" s="2" t="s">
        <v>1667</v>
      </c>
      <c r="D199" s="2" t="s">
        <v>1682</v>
      </c>
      <c r="E199" s="2" t="s">
        <v>314</v>
      </c>
      <c r="F199" s="2" t="s">
        <v>1683</v>
      </c>
      <c r="G199" s="2" t="s">
        <v>1001</v>
      </c>
      <c r="H199" s="22" t="str">
        <f>VLOOKUP(E199,'Lista Infomoney'!B:H,2,FALSE)</f>
        <v>CVCB3</v>
      </c>
      <c r="I199" s="2" t="s">
        <v>1684</v>
      </c>
      <c r="J199" s="2" t="s">
        <v>1685</v>
      </c>
      <c r="K199" s="6" t="str">
        <f>VLOOKUP(E199,'Lista Infomoney'!B:F,5,FALSE)</f>
        <v/>
      </c>
      <c r="O199"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v>
      </c>
    </row>
    <row r="200">
      <c r="A200" s="2">
        <v>2.0</v>
      </c>
      <c r="B200" s="2" t="s">
        <v>165</v>
      </c>
      <c r="C200" s="2" t="s">
        <v>1667</v>
      </c>
      <c r="D200" s="2" t="s">
        <v>1686</v>
      </c>
      <c r="E200" s="2" t="s">
        <v>1687</v>
      </c>
      <c r="F200" s="2" t="s">
        <v>1688</v>
      </c>
      <c r="G200" s="2" t="s">
        <v>1274</v>
      </c>
      <c r="H200" s="2" t="s">
        <v>1689</v>
      </c>
      <c r="O200"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v>
      </c>
    </row>
    <row r="201">
      <c r="A201" s="2">
        <v>1.0</v>
      </c>
      <c r="B201" s="2" t="s">
        <v>165</v>
      </c>
      <c r="C201" s="2" t="s">
        <v>1690</v>
      </c>
      <c r="D201" s="2" t="s">
        <v>1691</v>
      </c>
      <c r="E201" s="2" t="s">
        <v>1692</v>
      </c>
      <c r="F201" s="2" t="s">
        <v>1693</v>
      </c>
      <c r="G201" s="2" t="s">
        <v>1001</v>
      </c>
      <c r="H201" s="22" t="str">
        <f>VLOOKUP(E201,'Lista Infomoney'!B:H,2,FALSE)</f>
        <v>ANIM3F</v>
      </c>
      <c r="I201" s="2" t="s">
        <v>1694</v>
      </c>
      <c r="J201" s="6" t="str">
        <f>VLOOKUP(E201,'Lista Infomoney'!B:F,4,FALSE)</f>
        <v/>
      </c>
      <c r="K201" s="6" t="str">
        <f>VLOOKUP(E201,'Lista Infomoney'!B:F,5,FALSE)</f>
        <v/>
      </c>
      <c r="O201"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v>
      </c>
    </row>
    <row r="202">
      <c r="A202" s="2">
        <v>2.0</v>
      </c>
      <c r="B202" s="2" t="s">
        <v>165</v>
      </c>
      <c r="C202" s="2" t="s">
        <v>1690</v>
      </c>
      <c r="D202" s="2" t="s">
        <v>1691</v>
      </c>
      <c r="E202" s="2" t="s">
        <v>1695</v>
      </c>
      <c r="F202" s="2" t="s">
        <v>1696</v>
      </c>
      <c r="G202" s="2" t="s">
        <v>1107</v>
      </c>
      <c r="H202" s="2" t="s">
        <v>1697</v>
      </c>
      <c r="O202"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v>
      </c>
    </row>
    <row r="203">
      <c r="A203" s="2">
        <v>1.0</v>
      </c>
      <c r="B203" s="2" t="s">
        <v>165</v>
      </c>
      <c r="C203" s="2" t="s">
        <v>1690</v>
      </c>
      <c r="D203" s="2" t="s">
        <v>1691</v>
      </c>
      <c r="E203" s="2" t="s">
        <v>1698</v>
      </c>
      <c r="F203" s="2" t="s">
        <v>1699</v>
      </c>
      <c r="G203" s="2" t="s">
        <v>1001</v>
      </c>
      <c r="H203" s="22" t="str">
        <f>VLOOKUP(E203,'Lista Infomoney'!B:H,2,FALSE)</f>
        <v>COGN3F</v>
      </c>
      <c r="I203" s="22" t="str">
        <f>VLOOKUP(E203,'Lista Infomoney'!B:F,3,FALSE)</f>
        <v>COGN3</v>
      </c>
      <c r="J203" s="6" t="str">
        <f>VLOOKUP(E203,'Lista Infomoney'!B:F,4,FALSE)</f>
        <v/>
      </c>
      <c r="K203" s="6" t="str">
        <f>VLOOKUP(E203,'Lista Infomoney'!B:F,5,FALSE)</f>
        <v/>
      </c>
      <c r="O203"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v>
      </c>
    </row>
    <row r="204">
      <c r="A204" s="2">
        <v>1.0</v>
      </c>
      <c r="B204" s="2" t="s">
        <v>165</v>
      </c>
      <c r="C204" s="2" t="s">
        <v>1690</v>
      </c>
      <c r="D204" s="2" t="s">
        <v>1691</v>
      </c>
      <c r="E204" s="2" t="s">
        <v>296</v>
      </c>
      <c r="F204" s="2" t="s">
        <v>1700</v>
      </c>
      <c r="G204" s="2" t="s">
        <v>1001</v>
      </c>
      <c r="H204" s="22" t="str">
        <f>VLOOKUP(E204,'Lista Infomoney'!B:H,2,FALSE)</f>
        <v>SEER3</v>
      </c>
      <c r="I204" s="2" t="s">
        <v>1701</v>
      </c>
      <c r="J204" s="6" t="str">
        <f>VLOOKUP(E204,'Lista Infomoney'!B:F,4,FALSE)</f>
        <v/>
      </c>
      <c r="K204" s="6" t="str">
        <f>VLOOKUP(E204,'Lista Infomoney'!B:F,5,FALSE)</f>
        <v/>
      </c>
      <c r="O204"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v>
      </c>
    </row>
    <row r="205">
      <c r="A205" s="2">
        <v>1.0</v>
      </c>
      <c r="B205" s="2" t="s">
        <v>165</v>
      </c>
      <c r="C205" s="2" t="s">
        <v>1690</v>
      </c>
      <c r="D205" s="2" t="s">
        <v>1691</v>
      </c>
      <c r="E205" s="2" t="s">
        <v>310</v>
      </c>
      <c r="F205" s="2" t="s">
        <v>1702</v>
      </c>
      <c r="G205" s="2" t="s">
        <v>1001</v>
      </c>
      <c r="H205" s="22" t="str">
        <f>VLOOKUP(E205,'Lista Infomoney'!B:H,2,FALSE)</f>
        <v>YDUQ3</v>
      </c>
      <c r="I205" s="6" t="str">
        <f>VLOOKUP(E205,'Lista Infomoney'!B:F,3,FALSE)</f>
        <v/>
      </c>
      <c r="J205" s="6" t="str">
        <f>VLOOKUP(E205,'Lista Infomoney'!B:F,4,FALSE)</f>
        <v/>
      </c>
      <c r="K205" s="6" t="str">
        <f>VLOOKUP(E205,'Lista Infomoney'!B:F,5,FALSE)</f>
        <v/>
      </c>
      <c r="O205"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v>
      </c>
    </row>
    <row r="206">
      <c r="A206" s="2">
        <v>1.0</v>
      </c>
      <c r="B206" s="2" t="s">
        <v>165</v>
      </c>
      <c r="C206" s="2" t="s">
        <v>1690</v>
      </c>
      <c r="D206" s="2" t="s">
        <v>1703</v>
      </c>
      <c r="E206" s="2" t="s">
        <v>1704</v>
      </c>
      <c r="F206" s="2" t="s">
        <v>1705</v>
      </c>
      <c r="G206" s="2" t="s">
        <v>1001</v>
      </c>
      <c r="H206" s="22" t="str">
        <f>VLOOKUP(E206,'Lista Infomoney'!B:H,2,FALSE)</f>
        <v>RENT3F</v>
      </c>
      <c r="I206" s="22" t="str">
        <f>VLOOKUP(E206,'Lista Infomoney'!B:F,3,FALSE)</f>
        <v>RENT3</v>
      </c>
      <c r="J206" s="6" t="str">
        <f>VLOOKUP(E206,'Lista Infomoney'!B:F,4,FALSE)</f>
        <v/>
      </c>
      <c r="K206" s="6" t="str">
        <f>VLOOKUP(E206,'Lista Infomoney'!B:F,5,FALSE)</f>
        <v/>
      </c>
      <c r="O206"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v>
      </c>
    </row>
    <row r="207">
      <c r="A207" s="2">
        <v>1.0</v>
      </c>
      <c r="B207" s="2" t="s">
        <v>165</v>
      </c>
      <c r="C207" s="2" t="s">
        <v>1690</v>
      </c>
      <c r="D207" s="2" t="s">
        <v>1703</v>
      </c>
      <c r="E207" s="2" t="s">
        <v>1706</v>
      </c>
      <c r="F207" s="2" t="s">
        <v>1707</v>
      </c>
      <c r="G207" s="2" t="s">
        <v>1001</v>
      </c>
      <c r="H207" s="22" t="str">
        <f>VLOOKUP(E207,'Lista Infomoney'!B:H,2,FALSE)</f>
        <v>LCAM3F</v>
      </c>
      <c r="I207" s="22" t="str">
        <f>VLOOKUP(E207,'Lista Infomoney'!B:F,3,FALSE)</f>
        <v>LCAM3</v>
      </c>
      <c r="J207" s="6" t="str">
        <f>VLOOKUP(E207,'Lista Infomoney'!B:F,4,FALSE)</f>
        <v/>
      </c>
      <c r="K207" s="6" t="str">
        <f>VLOOKUP(E207,'Lista Infomoney'!B:F,5,FALSE)</f>
        <v/>
      </c>
      <c r="O207"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v>
      </c>
    </row>
    <row r="208">
      <c r="A208" s="2">
        <v>2.0</v>
      </c>
      <c r="B208" s="2" t="s">
        <v>165</v>
      </c>
      <c r="C208" s="2" t="s">
        <v>1690</v>
      </c>
      <c r="D208" s="2" t="s">
        <v>1703</v>
      </c>
      <c r="E208" s="2" t="s">
        <v>1708</v>
      </c>
      <c r="F208" s="2" t="s">
        <v>1709</v>
      </c>
      <c r="G208" s="2" t="s">
        <v>1274</v>
      </c>
      <c r="H208" s="2" t="s">
        <v>1710</v>
      </c>
      <c r="O208"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v>
      </c>
    </row>
    <row r="209">
      <c r="A209" s="2">
        <v>1.0</v>
      </c>
      <c r="B209" s="2" t="s">
        <v>165</v>
      </c>
      <c r="C209" s="2" t="s">
        <v>1690</v>
      </c>
      <c r="D209" s="2" t="s">
        <v>1703</v>
      </c>
      <c r="E209" s="2" t="s">
        <v>1711</v>
      </c>
      <c r="F209" s="2" t="s">
        <v>1712</v>
      </c>
      <c r="G209" s="2" t="s">
        <v>1001</v>
      </c>
      <c r="H209" s="22" t="str">
        <f>VLOOKUP(E209,'Lista Infomoney'!B:H,2,FALSE)</f>
        <v>MOVI3F</v>
      </c>
      <c r="I209" s="22" t="str">
        <f>VLOOKUP(E209,'Lista Infomoney'!B:F,3,FALSE)</f>
        <v>MOVI3</v>
      </c>
      <c r="J209" s="6" t="str">
        <f>VLOOKUP(E209,'Lista Infomoney'!B:F,4,FALSE)</f>
        <v/>
      </c>
      <c r="K209" s="6" t="str">
        <f>VLOOKUP(E209,'Lista Infomoney'!B:F,5,FALSE)</f>
        <v/>
      </c>
      <c r="O209"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v>
      </c>
    </row>
    <row r="210">
      <c r="A210" s="2">
        <v>2.0</v>
      </c>
      <c r="B210" s="2" t="s">
        <v>165</v>
      </c>
      <c r="C210" s="2" t="s">
        <v>1690</v>
      </c>
      <c r="D210" s="2" t="s">
        <v>1703</v>
      </c>
      <c r="E210" s="2" t="s">
        <v>1713</v>
      </c>
      <c r="F210" s="24" t="s">
        <v>1714</v>
      </c>
      <c r="G210" s="2"/>
      <c r="H210" s="2" t="s">
        <v>217</v>
      </c>
      <c r="O210"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v>
      </c>
    </row>
    <row r="211">
      <c r="A211" s="2">
        <v>1.0</v>
      </c>
      <c r="B211" s="2" t="s">
        <v>165</v>
      </c>
      <c r="C211" s="2" t="s">
        <v>1690</v>
      </c>
      <c r="D211" s="2" t="s">
        <v>1715</v>
      </c>
      <c r="E211" s="2" t="s">
        <v>1716</v>
      </c>
      <c r="F211" s="2" t="s">
        <v>1717</v>
      </c>
      <c r="G211" s="2" t="s">
        <v>1001</v>
      </c>
      <c r="H211" s="22" t="str">
        <f>VLOOKUP(E211,'Lista Infomoney'!B:H,2,FALSE)</f>
        <v>SMLS3F</v>
      </c>
      <c r="I211" s="22" t="str">
        <f>VLOOKUP(E211,'Lista Infomoney'!B:F,3,FALSE)</f>
        <v>SMLS3</v>
      </c>
      <c r="J211" s="6" t="str">
        <f>VLOOKUP(E211,'Lista Infomoney'!B:F,4,FALSE)</f>
        <v/>
      </c>
      <c r="K211" s="6" t="str">
        <f>VLOOKUP(E211,'Lista Infomoney'!B:F,5,FALSE)</f>
        <v/>
      </c>
      <c r="O211"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v>
      </c>
    </row>
    <row r="212">
      <c r="A212" s="2">
        <v>1.0</v>
      </c>
      <c r="B212" s="2" t="s">
        <v>165</v>
      </c>
      <c r="C212" s="2" t="s">
        <v>1430</v>
      </c>
      <c r="D212" s="2" t="s">
        <v>1574</v>
      </c>
      <c r="E212" s="2" t="s">
        <v>261</v>
      </c>
      <c r="F212" s="2" t="s">
        <v>1718</v>
      </c>
      <c r="G212" s="2" t="s">
        <v>1001</v>
      </c>
      <c r="H212" s="22" t="str">
        <f>VLOOKUP(E212,'Lista Infomoney'!B:H,2,FALSE)</f>
        <v>ARZZ3F</v>
      </c>
      <c r="I212" s="2" t="s">
        <v>1719</v>
      </c>
      <c r="J212" s="6" t="str">
        <f>VLOOKUP(E212,'Lista Infomoney'!B:F,4,FALSE)</f>
        <v/>
      </c>
      <c r="K212" s="6" t="str">
        <f>VLOOKUP(E212,'Lista Infomoney'!B:F,5,FALSE)</f>
        <v/>
      </c>
      <c r="O212"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v>
      </c>
    </row>
    <row r="213">
      <c r="A213" s="2">
        <v>1.0</v>
      </c>
      <c r="B213" s="2" t="s">
        <v>165</v>
      </c>
      <c r="C213" s="2" t="s">
        <v>1430</v>
      </c>
      <c r="D213" s="2" t="s">
        <v>1574</v>
      </c>
      <c r="E213" s="2" t="s">
        <v>218</v>
      </c>
      <c r="F213" s="2" t="s">
        <v>1720</v>
      </c>
      <c r="G213" s="2" t="s">
        <v>1001</v>
      </c>
      <c r="H213" s="22" t="str">
        <f>VLOOKUP(E213,'Lista Infomoney'!B:H,2,FALSE)</f>
        <v>CEAB3</v>
      </c>
      <c r="I213" s="6" t="str">
        <f>VLOOKUP(E213,'Lista Infomoney'!B:F,3,FALSE)</f>
        <v/>
      </c>
      <c r="J213" s="6" t="str">
        <f>VLOOKUP(E213,'Lista Infomoney'!B:F,4,FALSE)</f>
        <v/>
      </c>
      <c r="K213" s="6" t="str">
        <f>VLOOKUP(E213,'Lista Infomoney'!B:F,5,FALSE)</f>
        <v/>
      </c>
      <c r="O213"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v>
      </c>
    </row>
    <row r="214">
      <c r="A214" s="2">
        <v>1.0</v>
      </c>
      <c r="B214" s="2" t="s">
        <v>165</v>
      </c>
      <c r="C214" s="2" t="s">
        <v>1430</v>
      </c>
      <c r="D214" s="2" t="s">
        <v>1574</v>
      </c>
      <c r="E214" s="2" t="s">
        <v>1721</v>
      </c>
      <c r="F214" s="2" t="s">
        <v>1722</v>
      </c>
      <c r="G214" s="2"/>
      <c r="H214" s="22" t="str">
        <f>VLOOKUP(E214,'Lista Infomoney'!B:H,2,FALSE)</f>
        <v>CGRA3F</v>
      </c>
      <c r="I214" s="22" t="str">
        <f>VLOOKUP(E214,'Lista Infomoney'!B:F,3,FALSE)</f>
        <v>CGRA4F</v>
      </c>
      <c r="J214" s="22" t="str">
        <f>VLOOKUP(E214,'Lista Infomoney'!B:F,4,FALSE)</f>
        <v>CGRA4</v>
      </c>
      <c r="K214" s="22" t="str">
        <f>VLOOKUP(E214,'Lista Infomoney'!B:F,5,FALSE)</f>
        <v>CGRA3</v>
      </c>
      <c r="O214"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v>
      </c>
    </row>
    <row r="215">
      <c r="A215" s="2">
        <v>1.0</v>
      </c>
      <c r="B215" s="2" t="s">
        <v>165</v>
      </c>
      <c r="C215" s="2" t="s">
        <v>1430</v>
      </c>
      <c r="D215" s="2" t="s">
        <v>1574</v>
      </c>
      <c r="E215" s="2" t="s">
        <v>1723</v>
      </c>
      <c r="F215" s="2" t="s">
        <v>1724</v>
      </c>
      <c r="G215" s="2" t="s">
        <v>1001</v>
      </c>
      <c r="H215" s="22" t="str">
        <f>VLOOKUP(E215,'Lista Infomoney'!B:H,2,FALSE)</f>
        <v>SOMA3</v>
      </c>
      <c r="I215" s="6" t="str">
        <f>VLOOKUP(E215,'Lista Infomoney'!B:F,3,FALSE)</f>
        <v/>
      </c>
      <c r="J215" s="6" t="str">
        <f>VLOOKUP(E215,'Lista Infomoney'!B:F,4,FALSE)</f>
        <v/>
      </c>
      <c r="K215" s="6" t="str">
        <f>VLOOKUP(E215,'Lista Infomoney'!B:F,5,FALSE)</f>
        <v/>
      </c>
      <c r="O215"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v>
      </c>
    </row>
    <row r="216">
      <c r="A216" s="2">
        <v>2.0</v>
      </c>
      <c r="B216" s="2" t="s">
        <v>165</v>
      </c>
      <c r="C216" s="2" t="s">
        <v>1430</v>
      </c>
      <c r="D216" s="2" t="s">
        <v>1574</v>
      </c>
      <c r="E216" s="2" t="s">
        <v>1725</v>
      </c>
      <c r="F216" s="2" t="s">
        <v>1726</v>
      </c>
      <c r="G216" s="2"/>
      <c r="H216" s="2" t="s">
        <v>1727</v>
      </c>
      <c r="O216"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v>
      </c>
    </row>
    <row r="217">
      <c r="A217" s="2">
        <v>1.0</v>
      </c>
      <c r="B217" s="2" t="s">
        <v>165</v>
      </c>
      <c r="C217" s="2" t="s">
        <v>1430</v>
      </c>
      <c r="D217" s="2" t="s">
        <v>1574</v>
      </c>
      <c r="E217" s="2" t="s">
        <v>1728</v>
      </c>
      <c r="F217" s="2" t="s">
        <v>1729</v>
      </c>
      <c r="G217" s="2" t="s">
        <v>1001</v>
      </c>
      <c r="H217" s="22" t="str">
        <f>VLOOKUP(E217,'Lista Infomoney'!B:H,2,FALSE)</f>
        <v>LLIS3F</v>
      </c>
      <c r="I217" s="22" t="str">
        <f>VLOOKUP(E217,'Lista Infomoney'!B:F,3,FALSE)</f>
        <v>LLIS3</v>
      </c>
      <c r="J217" s="6" t="str">
        <f>VLOOKUP(E217,'Lista Infomoney'!B:F,4,FALSE)</f>
        <v/>
      </c>
      <c r="K217" s="6" t="str">
        <f>VLOOKUP(E217,'Lista Infomoney'!B:F,5,FALSE)</f>
        <v/>
      </c>
      <c r="O217"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v>
      </c>
    </row>
    <row r="218">
      <c r="A218" s="2">
        <v>1.0</v>
      </c>
      <c r="B218" s="2" t="s">
        <v>165</v>
      </c>
      <c r="C218" s="2" t="s">
        <v>1430</v>
      </c>
      <c r="D218" s="2" t="s">
        <v>1574</v>
      </c>
      <c r="E218" s="2" t="s">
        <v>246</v>
      </c>
      <c r="F218" s="2" t="s">
        <v>1730</v>
      </c>
      <c r="G218" s="2" t="s">
        <v>1001</v>
      </c>
      <c r="H218" s="22" t="str">
        <f>VLOOKUP(E218,'Lista Infomoney'!B:H,2,FALSE)</f>
        <v>AMAR3F</v>
      </c>
      <c r="I218" s="22" t="str">
        <f>VLOOKUP(E218,'Lista Infomoney'!B:F,3,FALSE)</f>
        <v>AMAR3</v>
      </c>
      <c r="J218" s="6" t="str">
        <f>VLOOKUP(E218,'Lista Infomoney'!B:F,4,FALSE)</f>
        <v/>
      </c>
      <c r="K218" s="6" t="str">
        <f>VLOOKUP(E218,'Lista Infomoney'!B:F,5,FALSE)</f>
        <v/>
      </c>
      <c r="O218"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v>
      </c>
    </row>
    <row r="219">
      <c r="A219" s="2">
        <v>1.0</v>
      </c>
      <c r="B219" s="2" t="s">
        <v>165</v>
      </c>
      <c r="C219" s="2" t="s">
        <v>1430</v>
      </c>
      <c r="D219" s="2" t="s">
        <v>1574</v>
      </c>
      <c r="E219" s="2" t="s">
        <v>1731</v>
      </c>
      <c r="F219" s="2" t="s">
        <v>1732</v>
      </c>
      <c r="G219" s="2" t="s">
        <v>1001</v>
      </c>
      <c r="H219" s="22" t="str">
        <f>VLOOKUP(E219,'Lista Infomoney'!B:H,2,FALSE)</f>
        <v>LREN3F</v>
      </c>
      <c r="I219" s="22" t="str">
        <f>VLOOKUP(E219,'Lista Infomoney'!B:F,3,FALSE)</f>
        <v>LREN3</v>
      </c>
      <c r="J219" s="6" t="str">
        <f>VLOOKUP(E219,'Lista Infomoney'!B:F,4,FALSE)</f>
        <v/>
      </c>
      <c r="K219" s="6" t="str">
        <f>VLOOKUP(E219,'Lista Infomoney'!B:F,5,FALSE)</f>
        <v/>
      </c>
      <c r="O219"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v>
      </c>
    </row>
    <row r="220">
      <c r="A220" s="2">
        <v>1.0</v>
      </c>
      <c r="B220" s="2" t="s">
        <v>165</v>
      </c>
      <c r="C220" s="2" t="s">
        <v>1430</v>
      </c>
      <c r="D220" s="2" t="s">
        <v>1633</v>
      </c>
      <c r="E220" s="2" t="s">
        <v>280</v>
      </c>
      <c r="F220" s="2" t="s">
        <v>1733</v>
      </c>
      <c r="G220" s="2" t="s">
        <v>1001</v>
      </c>
      <c r="H220" s="22" t="str">
        <f>VLOOKUP(E220,'Lista Infomoney'!B:H,2,FALSE)</f>
        <v>MGLU3F</v>
      </c>
      <c r="I220" s="22" t="str">
        <f>VLOOKUP(E220,'Lista Infomoney'!B:F,3,FALSE)</f>
        <v>MGLU3</v>
      </c>
      <c r="J220" s="6" t="str">
        <f>VLOOKUP(E220,'Lista Infomoney'!B:F,4,FALSE)</f>
        <v/>
      </c>
      <c r="K220" s="6" t="str">
        <f>VLOOKUP(E220,'Lista Infomoney'!B:F,5,FALSE)</f>
        <v/>
      </c>
      <c r="O220"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v>
      </c>
    </row>
    <row r="221">
      <c r="A221" s="2">
        <v>1.0</v>
      </c>
      <c r="B221" s="2" t="s">
        <v>165</v>
      </c>
      <c r="C221" s="2" t="s">
        <v>1430</v>
      </c>
      <c r="D221" s="2" t="s">
        <v>1633</v>
      </c>
      <c r="E221" s="2" t="s">
        <v>152</v>
      </c>
      <c r="F221" s="2" t="s">
        <v>1734</v>
      </c>
      <c r="G221" s="2" t="s">
        <v>1001</v>
      </c>
      <c r="H221" s="22" t="str">
        <f>VLOOKUP(E221,'Lista Infomoney'!B:H,2,FALSE)</f>
        <v>VVAR3F</v>
      </c>
      <c r="I221" s="12" t="s">
        <v>292</v>
      </c>
      <c r="J221" s="2" t="s">
        <v>1735</v>
      </c>
      <c r="K221" s="2" t="s">
        <v>1736</v>
      </c>
      <c r="L221" s="2" t="s">
        <v>1737</v>
      </c>
      <c r="O221"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v>
      </c>
    </row>
    <row r="222">
      <c r="A222" s="2">
        <v>2.0</v>
      </c>
      <c r="B222" s="2" t="s">
        <v>165</v>
      </c>
      <c r="C222" s="2" t="s">
        <v>1430</v>
      </c>
      <c r="D222" s="2" t="s">
        <v>1738</v>
      </c>
      <c r="E222" s="2" t="s">
        <v>1739</v>
      </c>
      <c r="F222" s="2" t="s">
        <v>1740</v>
      </c>
      <c r="G222" s="2" t="s">
        <v>1001</v>
      </c>
      <c r="H222" s="2" t="s">
        <v>1741</v>
      </c>
      <c r="O222"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v>
      </c>
    </row>
    <row r="223">
      <c r="A223" s="2">
        <v>2.0</v>
      </c>
      <c r="B223" s="2" t="s">
        <v>165</v>
      </c>
      <c r="C223" s="2" t="s">
        <v>1430</v>
      </c>
      <c r="D223" s="2" t="s">
        <v>1738</v>
      </c>
      <c r="E223" s="2" t="s">
        <v>1742</v>
      </c>
      <c r="F223" s="2" t="s">
        <v>1743</v>
      </c>
      <c r="G223" s="2" t="s">
        <v>1001</v>
      </c>
      <c r="H223" s="2" t="s">
        <v>1744</v>
      </c>
      <c r="O223"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v>
      </c>
    </row>
    <row r="224">
      <c r="A224" s="2">
        <v>1.0</v>
      </c>
      <c r="B224" s="2" t="s">
        <v>165</v>
      </c>
      <c r="C224" s="2" t="s">
        <v>1430</v>
      </c>
      <c r="D224" s="2" t="s">
        <v>1738</v>
      </c>
      <c r="E224" s="2" t="s">
        <v>300</v>
      </c>
      <c r="F224" s="2" t="s">
        <v>1745</v>
      </c>
      <c r="G224" s="2" t="s">
        <v>1029</v>
      </c>
      <c r="H224" s="22" t="str">
        <f>VLOOKUP(E224,'Lista Infomoney'!B:H,2,FALSE)</f>
        <v>LAME4F</v>
      </c>
      <c r="I224" s="22" t="str">
        <f>VLOOKUP(E224,'Lista Infomoney'!B:F,3,FALSE)</f>
        <v>LAME4</v>
      </c>
      <c r="J224" s="22" t="str">
        <f>VLOOKUP(E224,'Lista Infomoney'!B:F,4,FALSE)</f>
        <v>LAME3F</v>
      </c>
      <c r="K224" s="22" t="str">
        <f>VLOOKUP(E224,'Lista Infomoney'!B:F,5,FALSE)</f>
        <v>LAME3</v>
      </c>
      <c r="O224"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v>
      </c>
    </row>
    <row r="225">
      <c r="A225" s="2">
        <v>1.0</v>
      </c>
      <c r="B225" s="2" t="s">
        <v>165</v>
      </c>
      <c r="C225" s="2" t="s">
        <v>1430</v>
      </c>
      <c r="D225" s="2" t="s">
        <v>1738</v>
      </c>
      <c r="E225" s="2" t="s">
        <v>1746</v>
      </c>
      <c r="F225" s="2" t="s">
        <v>1746</v>
      </c>
      <c r="G225" s="2" t="s">
        <v>1001</v>
      </c>
      <c r="H225" s="22" t="str">
        <f>VLOOKUP(E225,'Lista Infomoney'!B:H,2,FALSE)</f>
        <v>PETZ3</v>
      </c>
      <c r="I225" s="6" t="str">
        <f>VLOOKUP(E225,'Lista Infomoney'!B:F,3,FALSE)</f>
        <v/>
      </c>
      <c r="J225" s="6" t="str">
        <f>VLOOKUP(E225,'Lista Infomoney'!B:F,4,FALSE)</f>
        <v/>
      </c>
      <c r="K225" s="6" t="str">
        <f>VLOOKUP(E225,'Lista Infomoney'!B:F,5,FALSE)</f>
        <v/>
      </c>
      <c r="O225"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v>
      </c>
    </row>
    <row r="226">
      <c r="A226" s="2">
        <v>1.0</v>
      </c>
      <c r="B226" s="2" t="s">
        <v>165</v>
      </c>
      <c r="C226" s="2" t="s">
        <v>1430</v>
      </c>
      <c r="D226" s="2" t="s">
        <v>1738</v>
      </c>
      <c r="E226" s="2" t="s">
        <v>1747</v>
      </c>
      <c r="F226" s="2" t="s">
        <v>1748</v>
      </c>
      <c r="G226" s="2" t="s">
        <v>1001</v>
      </c>
      <c r="H226" s="22" t="str">
        <f>VLOOKUP(E226,'Lista Infomoney'!B:H,2,FALSE)</f>
        <v>LJQQ3</v>
      </c>
      <c r="I226" s="6" t="str">
        <f>VLOOKUP(E226,'Lista Infomoney'!B:F,3,FALSE)</f>
        <v/>
      </c>
      <c r="J226" s="6" t="str">
        <f>VLOOKUP(E226,'Lista Infomoney'!B:F,4,FALSE)</f>
        <v/>
      </c>
      <c r="K226" s="6" t="str">
        <f>VLOOKUP(E226,'Lista Infomoney'!B:F,5,FALSE)</f>
        <v/>
      </c>
      <c r="O226"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v>
      </c>
    </row>
    <row r="227">
      <c r="A227" s="2">
        <v>1.0</v>
      </c>
      <c r="B227" s="2" t="s">
        <v>165</v>
      </c>
      <c r="C227" s="2" t="s">
        <v>1430</v>
      </c>
      <c r="D227" s="2" t="s">
        <v>1738</v>
      </c>
      <c r="E227" s="2" t="s">
        <v>1749</v>
      </c>
      <c r="F227" s="2" t="s">
        <v>1750</v>
      </c>
      <c r="G227" s="2" t="s">
        <v>1013</v>
      </c>
      <c r="H227" s="22" t="str">
        <f>VLOOKUP(E227,'Lista Infomoney'!B:H,2,FALSE)</f>
        <v>SLED4F</v>
      </c>
      <c r="I227" s="22" t="str">
        <f>VLOOKUP(E227,'Lista Infomoney'!B:F,3,FALSE)</f>
        <v>SLED3F</v>
      </c>
      <c r="J227" s="22" t="str">
        <f>VLOOKUP(E227,'Lista Infomoney'!B:F,4,FALSE)</f>
        <v>SLED3</v>
      </c>
      <c r="K227" s="2" t="s">
        <v>1751</v>
      </c>
      <c r="L227" s="2" t="s">
        <v>1752</v>
      </c>
      <c r="M227" s="2" t="s">
        <v>299</v>
      </c>
      <c r="O227"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v>
      </c>
    </row>
    <row r="228">
      <c r="A228" s="2">
        <v>1.0</v>
      </c>
      <c r="B228" s="2" t="s">
        <v>756</v>
      </c>
      <c r="C228" s="2" t="s">
        <v>1753</v>
      </c>
      <c r="D228" s="2" t="s">
        <v>1753</v>
      </c>
      <c r="E228" s="2" t="s">
        <v>1754</v>
      </c>
      <c r="F228" s="2" t="s">
        <v>1755</v>
      </c>
      <c r="G228" s="2" t="s">
        <v>1107</v>
      </c>
      <c r="H228" s="22" t="str">
        <f>VLOOKUP(E228,'Lista Infomoney'!B:H,2,FALSE)</f>
        <v>BIOM3F</v>
      </c>
      <c r="I228" s="22" t="str">
        <f>VLOOKUP(E228,'Lista Infomoney'!B:F,3,FALSE)</f>
        <v>BIOM3</v>
      </c>
      <c r="J228" s="2" t="s">
        <v>1756</v>
      </c>
      <c r="K228" s="6" t="str">
        <f>VLOOKUP(E228,'Lista Infomoney'!B:F,5,FALSE)</f>
        <v/>
      </c>
      <c r="O228"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v>
      </c>
    </row>
    <row r="229">
      <c r="A229" s="2">
        <v>1.0</v>
      </c>
      <c r="B229" s="2" t="s">
        <v>756</v>
      </c>
      <c r="C229" s="2" t="s">
        <v>1753</v>
      </c>
      <c r="D229" s="2" t="s">
        <v>1753</v>
      </c>
      <c r="E229" s="2" t="s">
        <v>1757</v>
      </c>
      <c r="F229" s="2" t="s">
        <v>1758</v>
      </c>
      <c r="G229" s="2" t="s">
        <v>1401</v>
      </c>
      <c r="H229" s="22" t="str">
        <f>VLOOKUP(E229,'Lista Infomoney'!B:H,2,FALSE)</f>
        <v>GBIO33F</v>
      </c>
      <c r="I229" s="22" t="str">
        <f>VLOOKUP(E229,'Lista Infomoney'!B:F,3,FALSE)</f>
        <v>GBIO33</v>
      </c>
      <c r="J229" s="6" t="str">
        <f>VLOOKUP(E229,'Lista Infomoney'!B:F,4,FALSE)</f>
        <v/>
      </c>
      <c r="K229" s="6" t="str">
        <f>VLOOKUP(E229,'Lista Infomoney'!B:F,5,FALSE)</f>
        <v/>
      </c>
      <c r="O229"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v>
      </c>
    </row>
    <row r="230">
      <c r="A230" s="2">
        <v>2.0</v>
      </c>
      <c r="B230" s="2" t="s">
        <v>756</v>
      </c>
      <c r="C230" s="2" t="s">
        <v>1753</v>
      </c>
      <c r="D230" s="2" t="s">
        <v>1753</v>
      </c>
      <c r="E230" s="2" t="s">
        <v>1759</v>
      </c>
      <c r="F230" s="2" t="s">
        <v>1760</v>
      </c>
      <c r="G230" s="2" t="s">
        <v>1107</v>
      </c>
      <c r="H230" s="2" t="s">
        <v>1761</v>
      </c>
      <c r="O230"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v>
      </c>
    </row>
    <row r="231">
      <c r="A231" s="2">
        <v>1.0</v>
      </c>
      <c r="B231" s="2" t="s">
        <v>756</v>
      </c>
      <c r="C231" s="2" t="s">
        <v>1753</v>
      </c>
      <c r="D231" s="2" t="s">
        <v>1753</v>
      </c>
      <c r="E231" s="2" t="s">
        <v>1762</v>
      </c>
      <c r="F231" s="2" t="s">
        <v>1763</v>
      </c>
      <c r="G231" s="2" t="s">
        <v>1001</v>
      </c>
      <c r="H231" s="22" t="str">
        <f>VLOOKUP(E231,'Lista Infomoney'!B:H,2,FALSE)</f>
        <v>OFSA3F</v>
      </c>
      <c r="I231" s="2" t="s">
        <v>793</v>
      </c>
      <c r="J231" s="6" t="str">
        <f>VLOOKUP(E231,'Lista Infomoney'!B:F,4,FALSE)</f>
        <v/>
      </c>
      <c r="K231" s="6" t="str">
        <f>VLOOKUP(E231,'Lista Infomoney'!B:F,5,FALSE)</f>
        <v/>
      </c>
      <c r="O231"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v>
      </c>
    </row>
    <row r="232">
      <c r="A232" s="2">
        <v>2.0</v>
      </c>
      <c r="B232" s="2" t="s">
        <v>756</v>
      </c>
      <c r="C232" s="2" t="s">
        <v>1764</v>
      </c>
      <c r="D232" s="2" t="s">
        <v>1764</v>
      </c>
      <c r="E232" s="2" t="s">
        <v>1765</v>
      </c>
      <c r="F232" s="2" t="s">
        <v>1766</v>
      </c>
      <c r="G232" s="2"/>
      <c r="H232" s="2" t="s">
        <v>1767</v>
      </c>
      <c r="O232"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v>
      </c>
    </row>
    <row r="233">
      <c r="A233" s="2">
        <v>1.0</v>
      </c>
      <c r="B233" s="2" t="s">
        <v>756</v>
      </c>
      <c r="C233" s="2" t="s">
        <v>1764</v>
      </c>
      <c r="D233" s="2" t="s">
        <v>1764</v>
      </c>
      <c r="E233" s="2" t="s">
        <v>1768</v>
      </c>
      <c r="F233" s="2" t="s">
        <v>1769</v>
      </c>
      <c r="G233" s="2" t="s">
        <v>1001</v>
      </c>
      <c r="H233" s="22" t="str">
        <f>VLOOKUP(E233,'Lista Infomoney'!B:H,2,FALSE)</f>
        <v>AALR3F</v>
      </c>
      <c r="I233" s="22" t="str">
        <f>VLOOKUP(E233,'Lista Infomoney'!B:F,3,FALSE)</f>
        <v>AALR3</v>
      </c>
      <c r="J233" s="6" t="str">
        <f>VLOOKUP(E233,'Lista Infomoney'!B:F,4,FALSE)</f>
        <v/>
      </c>
      <c r="K233" s="6" t="str">
        <f>VLOOKUP(E233,'Lista Infomoney'!B:F,5,FALSE)</f>
        <v/>
      </c>
      <c r="O233"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v>
      </c>
    </row>
    <row r="234">
      <c r="A234" s="2">
        <v>2.0</v>
      </c>
      <c r="B234" s="2" t="s">
        <v>756</v>
      </c>
      <c r="C234" s="2" t="s">
        <v>1764</v>
      </c>
      <c r="D234" s="2" t="s">
        <v>1764</v>
      </c>
      <c r="E234" s="2" t="s">
        <v>1770</v>
      </c>
      <c r="F234" s="2" t="s">
        <v>1770</v>
      </c>
      <c r="G234" s="2"/>
      <c r="H234" s="2" t="s">
        <v>1771</v>
      </c>
      <c r="O234"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v>
      </c>
    </row>
    <row r="235">
      <c r="A235" s="2">
        <v>1.0</v>
      </c>
      <c r="B235" s="2" t="s">
        <v>756</v>
      </c>
      <c r="C235" s="2" t="s">
        <v>1764</v>
      </c>
      <c r="D235" s="2" t="s">
        <v>1764</v>
      </c>
      <c r="E235" s="2" t="s">
        <v>1772</v>
      </c>
      <c r="F235" s="2" t="s">
        <v>1773</v>
      </c>
      <c r="G235" s="2" t="s">
        <v>1001</v>
      </c>
      <c r="H235" s="22" t="str">
        <f>VLOOKUP(E235,'Lista Infomoney'!B:H,2,FALSE)</f>
        <v>FLRY3</v>
      </c>
      <c r="I235" s="2" t="s">
        <v>1774</v>
      </c>
      <c r="J235" s="6" t="str">
        <f>VLOOKUP(E235,'Lista Infomoney'!B:F,4,FALSE)</f>
        <v/>
      </c>
      <c r="K235" s="6" t="str">
        <f>VLOOKUP(E235,'Lista Infomoney'!B:F,5,FALSE)</f>
        <v/>
      </c>
      <c r="O235"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v>
      </c>
    </row>
    <row r="236">
      <c r="A236" s="2">
        <v>2.0</v>
      </c>
      <c r="B236" s="2" t="s">
        <v>756</v>
      </c>
      <c r="C236" s="2" t="s">
        <v>1764</v>
      </c>
      <c r="D236" s="2" t="s">
        <v>1764</v>
      </c>
      <c r="E236" s="2" t="s">
        <v>1775</v>
      </c>
      <c r="F236" s="2" t="s">
        <v>1776</v>
      </c>
      <c r="G236" s="2" t="s">
        <v>1001</v>
      </c>
      <c r="H236" s="2" t="s">
        <v>1777</v>
      </c>
      <c r="O236"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v>
      </c>
    </row>
    <row r="237">
      <c r="A237" s="2">
        <v>1.0</v>
      </c>
      <c r="B237" s="2" t="s">
        <v>756</v>
      </c>
      <c r="C237" s="2" t="s">
        <v>1764</v>
      </c>
      <c r="D237" s="2" t="s">
        <v>1764</v>
      </c>
      <c r="E237" s="2" t="s">
        <v>757</v>
      </c>
      <c r="F237" s="2" t="s">
        <v>1778</v>
      </c>
      <c r="G237" s="2" t="s">
        <v>1001</v>
      </c>
      <c r="H237" s="22" t="str">
        <f>VLOOKUP(E237,'Lista Infomoney'!B:H,2,FALSE)</f>
        <v>PARD3</v>
      </c>
      <c r="I237" s="2" t="s">
        <v>1774</v>
      </c>
      <c r="J237" s="6" t="str">
        <f>VLOOKUP(E237,'Lista Infomoney'!B:F,4,FALSE)</f>
        <v/>
      </c>
      <c r="K237" s="6" t="str">
        <f>VLOOKUP(E237,'Lista Infomoney'!B:F,5,FALSE)</f>
        <v/>
      </c>
      <c r="O237"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v>
      </c>
    </row>
    <row r="238">
      <c r="A238" s="2">
        <v>2.0</v>
      </c>
      <c r="B238" s="2" t="s">
        <v>756</v>
      </c>
      <c r="C238" s="2" t="s">
        <v>1764</v>
      </c>
      <c r="D238" s="2" t="s">
        <v>1764</v>
      </c>
      <c r="E238" s="2" t="s">
        <v>1779</v>
      </c>
      <c r="F238" s="2" t="s">
        <v>1780</v>
      </c>
      <c r="G238" s="2" t="s">
        <v>1001</v>
      </c>
      <c r="H238" s="2" t="s">
        <v>1781</v>
      </c>
      <c r="O238"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v>
      </c>
    </row>
    <row r="239">
      <c r="A239" s="2">
        <v>1.0</v>
      </c>
      <c r="B239" s="2" t="s">
        <v>756</v>
      </c>
      <c r="C239" s="2" t="s">
        <v>1764</v>
      </c>
      <c r="D239" s="2" t="s">
        <v>1764</v>
      </c>
      <c r="E239" s="2" t="s">
        <v>1782</v>
      </c>
      <c r="F239" s="2" t="s">
        <v>1783</v>
      </c>
      <c r="G239" s="2" t="s">
        <v>1001</v>
      </c>
      <c r="H239" s="22" t="str">
        <f>VLOOKUP(E239,'Lista Infomoney'!B:H,2,FALSE)</f>
        <v>ODPV3F</v>
      </c>
      <c r="I239" s="22" t="str">
        <f>VLOOKUP(E239,'Lista Infomoney'!B:F,3,FALSE)</f>
        <v>ODPV3</v>
      </c>
      <c r="J239" s="6" t="str">
        <f>VLOOKUP(E239,'Lista Infomoney'!B:F,4,FALSE)</f>
        <v/>
      </c>
      <c r="K239" s="6" t="str">
        <f>VLOOKUP(E239,'Lista Infomoney'!B:F,5,FALSE)</f>
        <v/>
      </c>
      <c r="O239"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v>
      </c>
    </row>
    <row r="240">
      <c r="A240" s="2">
        <v>1.0</v>
      </c>
      <c r="B240" s="2" t="s">
        <v>756</v>
      </c>
      <c r="C240" s="2" t="s">
        <v>1764</v>
      </c>
      <c r="D240" s="2" t="s">
        <v>1764</v>
      </c>
      <c r="E240" s="2" t="s">
        <v>1784</v>
      </c>
      <c r="F240" s="2" t="s">
        <v>1785</v>
      </c>
      <c r="G240" s="2" t="s">
        <v>1001</v>
      </c>
      <c r="H240" s="22" t="str">
        <f>VLOOKUP(E240,'Lista Infomoney'!B:H,2,FALSE)</f>
        <v>QUAL3F</v>
      </c>
      <c r="I240" s="22" t="str">
        <f>VLOOKUP(E240,'Lista Infomoney'!B:F,3,FALSE)</f>
        <v>QUAL3</v>
      </c>
      <c r="J240" s="6" t="str">
        <f>VLOOKUP(E240,'Lista Infomoney'!B:F,4,FALSE)</f>
        <v/>
      </c>
      <c r="K240" s="6" t="str">
        <f>VLOOKUP(E240,'Lista Infomoney'!B:F,5,FALSE)</f>
        <v/>
      </c>
      <c r="O240"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v>
      </c>
    </row>
    <row r="241">
      <c r="A241" s="2">
        <v>1.0</v>
      </c>
      <c r="B241" s="2" t="s">
        <v>756</v>
      </c>
      <c r="C241" s="2" t="s">
        <v>1786</v>
      </c>
      <c r="D241" s="2" t="s">
        <v>1786</v>
      </c>
      <c r="E241" s="2" t="s">
        <v>1787</v>
      </c>
      <c r="F241" s="2" t="s">
        <v>1788</v>
      </c>
      <c r="G241" s="2"/>
      <c r="H241" s="22" t="str">
        <f>VLOOKUP(E241,'Lista Infomoney'!B:H,2,FALSE)</f>
        <v>BALM3F</v>
      </c>
      <c r="I241" s="22" t="str">
        <f>VLOOKUP(E241,'Lista Infomoney'!B:F,3,FALSE)</f>
        <v>BALM4F</v>
      </c>
      <c r="J241" s="22" t="str">
        <f>VLOOKUP(E241,'Lista Infomoney'!B:F,4,FALSE)</f>
        <v>BALM4</v>
      </c>
      <c r="K241" s="22" t="str">
        <f>VLOOKUP(E241,'Lista Infomoney'!B:F,5,FALSE)</f>
        <v>BALM3</v>
      </c>
      <c r="O241"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v>
      </c>
    </row>
    <row r="242">
      <c r="A242" s="2">
        <v>2.0</v>
      </c>
      <c r="B242" s="2" t="s">
        <v>756</v>
      </c>
      <c r="C242" s="2" t="s">
        <v>1786</v>
      </c>
      <c r="D242" s="2" t="s">
        <v>1786</v>
      </c>
      <c r="E242" s="2" t="s">
        <v>1789</v>
      </c>
      <c r="F242" s="2" t="s">
        <v>1790</v>
      </c>
      <c r="G242" s="2" t="s">
        <v>1107</v>
      </c>
      <c r="H242" s="2" t="s">
        <v>1791</v>
      </c>
      <c r="O242"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v>
      </c>
    </row>
    <row r="243">
      <c r="A243" s="2">
        <v>1.0</v>
      </c>
      <c r="B243" s="2" t="s">
        <v>756</v>
      </c>
      <c r="C243" s="2" t="s">
        <v>1514</v>
      </c>
      <c r="D243" s="2" t="s">
        <v>1753</v>
      </c>
      <c r="E243" s="2" t="s">
        <v>1792</v>
      </c>
      <c r="F243" s="2" t="s">
        <v>1793</v>
      </c>
      <c r="G243" s="2"/>
      <c r="H243" s="22" t="str">
        <f>VLOOKUP(E243,'Lista Infomoney'!B:H,2,FALSE)</f>
        <v>PNVL4F</v>
      </c>
      <c r="I243" s="22" t="str">
        <f>VLOOKUP(E243,'Lista Infomoney'!B:F,3,FALSE)</f>
        <v>PNVL3F</v>
      </c>
      <c r="J243" s="22" t="str">
        <f>VLOOKUP(E243,'Lista Infomoney'!B:F,4,FALSE)</f>
        <v>PNVL4</v>
      </c>
      <c r="K243" s="22" t="str">
        <f>VLOOKUP(E243,'Lista Infomoney'!B:F,5,FALSE)</f>
        <v>PNVL3</v>
      </c>
      <c r="O243"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v>
      </c>
    </row>
    <row r="244">
      <c r="A244" s="2">
        <v>1.0</v>
      </c>
      <c r="B244" s="2" t="s">
        <v>756</v>
      </c>
      <c r="C244" s="2" t="s">
        <v>1514</v>
      </c>
      <c r="D244" s="2" t="s">
        <v>1753</v>
      </c>
      <c r="E244" s="2" t="s">
        <v>28</v>
      </c>
      <c r="F244" s="2" t="s">
        <v>1794</v>
      </c>
      <c r="G244" s="2" t="s">
        <v>1001</v>
      </c>
      <c r="H244" s="22" t="str">
        <f>VLOOKUP(E244,'Lista Infomoney'!B:H,2,FALSE)</f>
        <v>DMVF3</v>
      </c>
      <c r="I244" s="6" t="str">
        <f>VLOOKUP(E244,'Lista Infomoney'!B:F,3,FALSE)</f>
        <v/>
      </c>
      <c r="J244" s="6" t="str">
        <f>VLOOKUP(E244,'Lista Infomoney'!B:F,4,FALSE)</f>
        <v/>
      </c>
      <c r="K244" s="6" t="str">
        <f>VLOOKUP(E244,'Lista Infomoney'!B:F,5,FALSE)</f>
        <v/>
      </c>
      <c r="O244"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v>
      </c>
    </row>
    <row r="245">
      <c r="A245" s="2">
        <v>1.0</v>
      </c>
      <c r="B245" s="2" t="s">
        <v>756</v>
      </c>
      <c r="C245" s="2" t="s">
        <v>1514</v>
      </c>
      <c r="D245" s="2" t="s">
        <v>1753</v>
      </c>
      <c r="E245" s="2" t="s">
        <v>795</v>
      </c>
      <c r="F245" s="2" t="s">
        <v>1795</v>
      </c>
      <c r="G245" s="2" t="s">
        <v>1001</v>
      </c>
      <c r="H245" s="22" t="str">
        <f>VLOOKUP(E245,'Lista Infomoney'!B:H,2,FALSE)</f>
        <v>HYPE3</v>
      </c>
      <c r="I245" s="2" t="s">
        <v>1796</v>
      </c>
      <c r="J245" s="6" t="str">
        <f>VLOOKUP(E245,'Lista Infomoney'!B:F,4,FALSE)</f>
        <v/>
      </c>
      <c r="K245" s="6" t="str">
        <f>VLOOKUP(E245,'Lista Infomoney'!B:F,5,FALSE)</f>
        <v/>
      </c>
      <c r="O245"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v>
      </c>
    </row>
    <row r="246">
      <c r="A246" s="2">
        <v>1.0</v>
      </c>
      <c r="B246" s="2" t="s">
        <v>756</v>
      </c>
      <c r="C246" s="2" t="s">
        <v>1514</v>
      </c>
      <c r="D246" s="2" t="s">
        <v>1753</v>
      </c>
      <c r="E246" s="2" t="s">
        <v>1797</v>
      </c>
      <c r="F246" s="2" t="s">
        <v>1798</v>
      </c>
      <c r="G246" s="2" t="s">
        <v>1001</v>
      </c>
      <c r="H246" s="22" t="str">
        <f>VLOOKUP(E246,'Lista Infomoney'!B:H,2,FALSE)</f>
        <v>PGMN3</v>
      </c>
      <c r="I246" s="6" t="str">
        <f>VLOOKUP(E246,'Lista Infomoney'!B:F,3,FALSE)</f>
        <v/>
      </c>
      <c r="J246" s="6" t="str">
        <f>VLOOKUP(E246,'Lista Infomoney'!B:F,4,FALSE)</f>
        <v/>
      </c>
      <c r="K246" s="6" t="str">
        <f>VLOOKUP(E246,'Lista Infomoney'!B:F,5,FALSE)</f>
        <v/>
      </c>
      <c r="O246"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v>
      </c>
    </row>
    <row r="247">
      <c r="A247" s="2">
        <v>2.0</v>
      </c>
      <c r="B247" s="2" t="s">
        <v>756</v>
      </c>
      <c r="C247" s="2" t="s">
        <v>1514</v>
      </c>
      <c r="D247" s="2" t="s">
        <v>1753</v>
      </c>
      <c r="E247" s="2" t="s">
        <v>1799</v>
      </c>
      <c r="F247" s="2" t="s">
        <v>1800</v>
      </c>
      <c r="G247" s="2" t="s">
        <v>1001</v>
      </c>
      <c r="H247" s="2" t="s">
        <v>1801</v>
      </c>
      <c r="I247" s="2" t="s">
        <v>1802</v>
      </c>
      <c r="O247"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v>
      </c>
    </row>
    <row r="248">
      <c r="A248" s="2">
        <v>1.0</v>
      </c>
      <c r="B248" s="2" t="s">
        <v>756</v>
      </c>
      <c r="C248" s="2" t="s">
        <v>1514</v>
      </c>
      <c r="D248" s="2" t="s">
        <v>1753</v>
      </c>
      <c r="E248" s="2" t="s">
        <v>787</v>
      </c>
      <c r="F248" s="2" t="s">
        <v>1803</v>
      </c>
      <c r="G248" s="2" t="s">
        <v>1001</v>
      </c>
      <c r="H248" s="22" t="str">
        <f>VLOOKUP(E248,'Lista Infomoney'!B:H,2,FALSE)</f>
        <v>RADL3F</v>
      </c>
      <c r="I248" s="22" t="str">
        <f>VLOOKUP(E248,'Lista Infomoney'!B:F,3,FALSE)</f>
        <v>RADL3</v>
      </c>
      <c r="J248" s="6" t="str">
        <f>VLOOKUP(E248,'Lista Infomoney'!B:F,4,FALSE)</f>
        <v/>
      </c>
      <c r="K248" s="6" t="str">
        <f>VLOOKUP(E248,'Lista Infomoney'!B:F,5,FALSE)</f>
        <v/>
      </c>
      <c r="O248"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v>
      </c>
    </row>
    <row r="249">
      <c r="A249" s="2">
        <v>1.0</v>
      </c>
      <c r="B249" s="2" t="s">
        <v>800</v>
      </c>
      <c r="C249" s="2" t="s">
        <v>1804</v>
      </c>
      <c r="D249" s="2" t="s">
        <v>1804</v>
      </c>
      <c r="E249" s="2" t="s">
        <v>840</v>
      </c>
      <c r="F249" s="27" t="s">
        <v>1805</v>
      </c>
      <c r="G249" s="2" t="s">
        <v>1001</v>
      </c>
      <c r="H249" s="22" t="str">
        <f>VLOOKUP(E249,'Lista Infomoney'!B:H,2,FALSE)</f>
        <v>POSI3F</v>
      </c>
      <c r="I249" s="22" t="str">
        <f>VLOOKUP(E249,'Lista Infomoney'!B:F,3,FALSE)</f>
        <v>POSI3</v>
      </c>
      <c r="J249" s="6" t="str">
        <f>VLOOKUP(E249,'Lista Infomoney'!B:F,4,FALSE)</f>
        <v/>
      </c>
      <c r="K249" s="6" t="str">
        <f>VLOOKUP(E249,'Lista Infomoney'!B:F,5,FALSE)</f>
        <v/>
      </c>
      <c r="O249"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v>
      </c>
    </row>
    <row r="250">
      <c r="A250" s="2">
        <v>2.0</v>
      </c>
      <c r="B250" s="2" t="s">
        <v>800</v>
      </c>
      <c r="C250" s="2" t="s">
        <v>1806</v>
      </c>
      <c r="D250" s="2" t="s">
        <v>1806</v>
      </c>
      <c r="E250" s="2" t="s">
        <v>1807</v>
      </c>
      <c r="F250" s="2" t="s">
        <v>1808</v>
      </c>
      <c r="G250" s="2" t="s">
        <v>1107</v>
      </c>
      <c r="H250" s="2" t="s">
        <v>1809</v>
      </c>
      <c r="I250" s="2" t="s">
        <v>1810</v>
      </c>
      <c r="O250"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v>
      </c>
    </row>
    <row r="251">
      <c r="A251" s="2">
        <v>1.0</v>
      </c>
      <c r="B251" s="2" t="s">
        <v>800</v>
      </c>
      <c r="C251" s="2" t="s">
        <v>1806</v>
      </c>
      <c r="D251" s="2" t="s">
        <v>1806</v>
      </c>
      <c r="E251" s="2" t="s">
        <v>1811</v>
      </c>
      <c r="F251" s="2" t="s">
        <v>1811</v>
      </c>
      <c r="G251" s="2" t="s">
        <v>1001</v>
      </c>
      <c r="H251" s="22" t="str">
        <f>VLOOKUP(E251,'Lista Infomoney'!B:H,2,FALSE)</f>
        <v>LINX3F</v>
      </c>
      <c r="I251" s="22" t="str">
        <f>VLOOKUP(E251,'Lista Infomoney'!B:F,3,FALSE)</f>
        <v>LINX3</v>
      </c>
      <c r="J251" s="6" t="str">
        <f>VLOOKUP(E251,'Lista Infomoney'!B:F,4,FALSE)</f>
        <v/>
      </c>
      <c r="K251" s="6" t="str">
        <f>VLOOKUP(E251,'Lista Infomoney'!B:F,5,FALSE)</f>
        <v/>
      </c>
      <c r="O251"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v>
      </c>
    </row>
    <row r="252">
      <c r="A252" s="2">
        <v>1.0</v>
      </c>
      <c r="B252" s="2" t="s">
        <v>800</v>
      </c>
      <c r="C252" s="2" t="s">
        <v>1806</v>
      </c>
      <c r="D252" s="2" t="s">
        <v>1806</v>
      </c>
      <c r="E252" s="2" t="s">
        <v>1812</v>
      </c>
      <c r="F252" s="2" t="s">
        <v>1813</v>
      </c>
      <c r="G252" s="2" t="s">
        <v>1001</v>
      </c>
      <c r="H252" s="22" t="str">
        <f>VLOOKUP(E252,'Lista Infomoney'!B:H,2,FALSE)</f>
        <v>LWSA3</v>
      </c>
      <c r="I252" s="6" t="str">
        <f>VLOOKUP(E252,'Lista Infomoney'!B:F,3,FALSE)</f>
        <v/>
      </c>
      <c r="J252" s="6" t="str">
        <f>VLOOKUP(E252,'Lista Infomoney'!B:F,4,FALSE)</f>
        <v/>
      </c>
      <c r="K252" s="6" t="str">
        <f>VLOOKUP(E252,'Lista Infomoney'!B:F,5,FALSE)</f>
        <v/>
      </c>
      <c r="O252"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v>
      </c>
    </row>
    <row r="253">
      <c r="A253" s="2">
        <v>2.0</v>
      </c>
      <c r="B253" s="2" t="s">
        <v>800</v>
      </c>
      <c r="C253" s="2" t="s">
        <v>1806</v>
      </c>
      <c r="D253" s="2" t="s">
        <v>1806</v>
      </c>
      <c r="E253" s="2" t="s">
        <v>1814</v>
      </c>
      <c r="F253" s="2" t="s">
        <v>1815</v>
      </c>
      <c r="G253" s="2" t="s">
        <v>1107</v>
      </c>
      <c r="H253" s="2" t="s">
        <v>1816</v>
      </c>
      <c r="I253" s="2" t="s">
        <v>1817</v>
      </c>
      <c r="O253"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v>
      </c>
    </row>
    <row r="254">
      <c r="A254" s="2">
        <v>2.0</v>
      </c>
      <c r="B254" s="2" t="s">
        <v>800</v>
      </c>
      <c r="C254" s="2" t="s">
        <v>1806</v>
      </c>
      <c r="D254" s="2" t="s">
        <v>1806</v>
      </c>
      <c r="E254" s="2" t="s">
        <v>1818</v>
      </c>
      <c r="F254" s="2" t="s">
        <v>1819</v>
      </c>
      <c r="G254" s="2" t="s">
        <v>1001</v>
      </c>
      <c r="H254" s="2" t="s">
        <v>1820</v>
      </c>
      <c r="O254"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v>
      </c>
    </row>
    <row r="255">
      <c r="A255" s="2">
        <v>1.0</v>
      </c>
      <c r="B255" s="2" t="s">
        <v>800</v>
      </c>
      <c r="C255" s="2" t="s">
        <v>1806</v>
      </c>
      <c r="D255" s="2" t="s">
        <v>1806</v>
      </c>
      <c r="E255" s="2" t="s">
        <v>1821</v>
      </c>
      <c r="F255" s="2" t="s">
        <v>1822</v>
      </c>
      <c r="G255" s="2" t="s">
        <v>1001</v>
      </c>
      <c r="H255" s="22" t="str">
        <f>VLOOKUP(E255,'Lista Infomoney'!B:H,2,FALSE)</f>
        <v>TOTS3F</v>
      </c>
      <c r="I255" s="22" t="str">
        <f>VLOOKUP(E255,'Lista Infomoney'!B:F,3,FALSE)</f>
        <v>TOTS3</v>
      </c>
      <c r="J255" s="6" t="str">
        <f>VLOOKUP(E255,'Lista Infomoney'!B:F,4,FALSE)</f>
        <v/>
      </c>
      <c r="K255" s="6" t="str">
        <f>VLOOKUP(E255,'Lista Infomoney'!B:F,5,FALSE)</f>
        <v/>
      </c>
      <c r="O255"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v>
      </c>
    </row>
    <row r="256">
      <c r="A256" s="2">
        <v>2.0</v>
      </c>
      <c r="B256" s="2" t="s">
        <v>1823</v>
      </c>
      <c r="C256" s="2" t="s">
        <v>845</v>
      </c>
      <c r="D256" s="2" t="s">
        <v>845</v>
      </c>
      <c r="E256" s="2" t="s">
        <v>1824</v>
      </c>
      <c r="F256" s="2" t="s">
        <v>1825</v>
      </c>
      <c r="G256" s="2"/>
      <c r="H256" s="2" t="s">
        <v>1825</v>
      </c>
      <c r="O256"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v>
      </c>
    </row>
    <row r="257">
      <c r="A257" s="2">
        <v>1.0</v>
      </c>
      <c r="B257" s="2" t="s">
        <v>1823</v>
      </c>
      <c r="C257" s="2" t="s">
        <v>845</v>
      </c>
      <c r="D257" s="2" t="s">
        <v>845</v>
      </c>
      <c r="E257" s="2" t="s">
        <v>849</v>
      </c>
      <c r="F257" s="2" t="s">
        <v>852</v>
      </c>
      <c r="G257" s="2" t="s">
        <v>1029</v>
      </c>
      <c r="H257" s="22" t="str">
        <f>VLOOKUP(E257,'Lista Infomoney'!B:H,2,FALSE)</f>
        <v>OIBR4F</v>
      </c>
      <c r="I257" s="22" t="str">
        <f>VLOOKUP(E257,'Lista Infomoney'!B:F,3,FALSE)</f>
        <v>OIBR4</v>
      </c>
      <c r="J257" s="2" t="s">
        <v>1826</v>
      </c>
      <c r="K257" s="2" t="s">
        <v>1827</v>
      </c>
      <c r="O257"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v>
      </c>
    </row>
    <row r="258">
      <c r="A258" s="2">
        <v>1.0</v>
      </c>
      <c r="B258" s="2" t="s">
        <v>1823</v>
      </c>
      <c r="C258" s="2" t="s">
        <v>845</v>
      </c>
      <c r="D258" s="2" t="s">
        <v>845</v>
      </c>
      <c r="E258" s="2" t="s">
        <v>1828</v>
      </c>
      <c r="F258" s="2" t="s">
        <v>1829</v>
      </c>
      <c r="G258" s="2"/>
      <c r="H258" s="22" t="str">
        <f>VLOOKUP(E258,'Lista Infomoney'!B:H,2,FALSE)</f>
        <v>TELB4F</v>
      </c>
      <c r="I258" s="22" t="str">
        <f>VLOOKUP(E258,'Lista Infomoney'!B:F,3,FALSE)</f>
        <v>TELB4</v>
      </c>
      <c r="J258" s="22" t="str">
        <f>VLOOKUP(E258,'Lista Infomoney'!B:F,4,FALSE)</f>
        <v>TELB3F</v>
      </c>
      <c r="K258" s="22" t="str">
        <f>VLOOKUP(E258,'Lista Infomoney'!B:F,5,FALSE)</f>
        <v>TELB3</v>
      </c>
      <c r="O258"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v>
      </c>
    </row>
    <row r="259">
      <c r="A259" s="2">
        <v>1.0</v>
      </c>
      <c r="B259" s="2" t="s">
        <v>1823</v>
      </c>
      <c r="C259" s="2" t="s">
        <v>845</v>
      </c>
      <c r="D259" s="2" t="s">
        <v>845</v>
      </c>
      <c r="E259" s="2" t="s">
        <v>856</v>
      </c>
      <c r="F259" s="2" t="s">
        <v>1830</v>
      </c>
      <c r="G259" s="2"/>
      <c r="H259" s="22" t="str">
        <f>VLOOKUP(E259,'Lista Infomoney'!B:H,2,FALSE)</f>
        <v>VIVT4F</v>
      </c>
      <c r="I259" s="22" t="str">
        <f>VLOOKUP(E259,'Lista Infomoney'!B:F,3,FALSE)</f>
        <v>VIVT4</v>
      </c>
      <c r="J259" s="22" t="str">
        <f>VLOOKUP(E259,'Lista Infomoney'!B:F,4,FALSE)</f>
        <v>VIVT3F</v>
      </c>
      <c r="K259" s="22" t="str">
        <f>VLOOKUP(E259,'Lista Infomoney'!B:F,5,FALSE)</f>
        <v>VIVT3</v>
      </c>
      <c r="O259"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v>
      </c>
    </row>
    <row r="260">
      <c r="A260" s="2">
        <v>2.0</v>
      </c>
      <c r="B260" s="2" t="s">
        <v>1823</v>
      </c>
      <c r="C260" s="2" t="s">
        <v>845</v>
      </c>
      <c r="D260" s="2" t="s">
        <v>845</v>
      </c>
      <c r="E260" s="2" t="s">
        <v>1831</v>
      </c>
      <c r="F260" s="2" t="s">
        <v>1832</v>
      </c>
      <c r="G260" s="2" t="s">
        <v>1001</v>
      </c>
      <c r="H260" s="2" t="s">
        <v>1833</v>
      </c>
      <c r="O260"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v>
      </c>
    </row>
    <row r="261">
      <c r="A261" s="2">
        <v>1.0</v>
      </c>
      <c r="B261" s="2" t="s">
        <v>1823</v>
      </c>
      <c r="C261" s="2" t="s">
        <v>845</v>
      </c>
      <c r="D261" s="2" t="s">
        <v>845</v>
      </c>
      <c r="E261" s="2" t="s">
        <v>853</v>
      </c>
      <c r="F261" s="2" t="s">
        <v>1834</v>
      </c>
      <c r="G261" s="2" t="s">
        <v>1001</v>
      </c>
      <c r="H261" s="22" t="str">
        <f>VLOOKUP(E261,'Lista Infomoney'!B:H,2,FALSE)</f>
        <v>TIMP3F</v>
      </c>
      <c r="I261" s="22" t="str">
        <f>VLOOKUP(E261,'Lista Infomoney'!B:F,3,FALSE)</f>
        <v>TIMP3</v>
      </c>
      <c r="J261" s="6" t="str">
        <f>VLOOKUP(E261,'Lista Infomoney'!B:F,4,FALSE)</f>
        <v/>
      </c>
      <c r="K261" s="6" t="str">
        <f>VLOOKUP(E261,'Lista Infomoney'!B:F,5,FALSE)</f>
        <v/>
      </c>
      <c r="O261"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v>
      </c>
    </row>
    <row r="262">
      <c r="A262" s="2">
        <v>2.0</v>
      </c>
      <c r="B262" s="2" t="s">
        <v>1823</v>
      </c>
      <c r="C262" s="2" t="s">
        <v>1835</v>
      </c>
      <c r="D262" s="2" t="s">
        <v>1836</v>
      </c>
      <c r="E262" s="2" t="s">
        <v>1837</v>
      </c>
      <c r="F262" s="2" t="s">
        <v>1838</v>
      </c>
      <c r="G262" s="2" t="s">
        <v>1107</v>
      </c>
      <c r="H262" s="2" t="s">
        <v>1839</v>
      </c>
      <c r="I262" s="2" t="s">
        <v>1840</v>
      </c>
      <c r="O262"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v>
      </c>
    </row>
    <row r="263">
      <c r="A263" s="2">
        <v>2.0</v>
      </c>
      <c r="B263" s="2" t="s">
        <v>867</v>
      </c>
      <c r="C263" s="2" t="s">
        <v>1841</v>
      </c>
      <c r="D263" s="2" t="s">
        <v>1841</v>
      </c>
      <c r="E263" s="2" t="s">
        <v>1842</v>
      </c>
      <c r="F263" s="2" t="s">
        <v>1843</v>
      </c>
      <c r="G263" s="2"/>
      <c r="H263" s="2" t="s">
        <v>1844</v>
      </c>
      <c r="O263"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v>
      </c>
    </row>
    <row r="264">
      <c r="A264" s="2">
        <v>1.0</v>
      </c>
      <c r="B264" s="2" t="s">
        <v>867</v>
      </c>
      <c r="C264" s="2" t="s">
        <v>1841</v>
      </c>
      <c r="D264" s="2" t="s">
        <v>1841</v>
      </c>
      <c r="E264" s="2" t="s">
        <v>949</v>
      </c>
      <c r="F264" s="2" t="s">
        <v>1845</v>
      </c>
      <c r="G264" s="2" t="s">
        <v>1013</v>
      </c>
      <c r="H264" s="22" t="str">
        <f>VLOOKUP(E264,'Lista Infomoney'!B:H,2,FALSE)</f>
        <v>TIET11F</v>
      </c>
      <c r="I264" s="22" t="str">
        <f>VLOOKUP(E264,'Lista Infomoney'!B:F,3,FALSE)</f>
        <v>TIET3F</v>
      </c>
      <c r="J264" s="22" t="str">
        <f>VLOOKUP(E264,'Lista Infomoney'!B:F,4,FALSE)</f>
        <v>TIET4F</v>
      </c>
      <c r="K264" s="22" t="str">
        <f>VLOOKUP(E264,'Lista Infomoney'!B:F,5,FALSE)</f>
        <v>TIET4</v>
      </c>
      <c r="L264" s="2" t="s">
        <v>955</v>
      </c>
      <c r="M264" s="2" t="s">
        <v>954</v>
      </c>
      <c r="O264"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v>
      </c>
    </row>
    <row r="265">
      <c r="A265" s="2">
        <v>1.0</v>
      </c>
      <c r="B265" s="2" t="s">
        <v>867</v>
      </c>
      <c r="C265" s="2" t="s">
        <v>1841</v>
      </c>
      <c r="D265" s="2" t="s">
        <v>1841</v>
      </c>
      <c r="E265" s="2" t="s">
        <v>1846</v>
      </c>
      <c r="F265" s="2" t="s">
        <v>1847</v>
      </c>
      <c r="G265" s="2"/>
      <c r="H265" s="22" t="str">
        <f>VLOOKUP(E265,'Lista Infomoney'!B:H,2,FALSE)</f>
        <v>AFLT3F</v>
      </c>
      <c r="I265" s="2" t="s">
        <v>984</v>
      </c>
      <c r="J265" s="6" t="str">
        <f>VLOOKUP(E265,'Lista Infomoney'!B:F,4,FALSE)</f>
        <v/>
      </c>
      <c r="K265" s="6" t="str">
        <f>VLOOKUP(E265,'Lista Infomoney'!B:F,5,FALSE)</f>
        <v/>
      </c>
      <c r="O265"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v>
      </c>
    </row>
    <row r="266">
      <c r="A266" s="2">
        <v>1.0</v>
      </c>
      <c r="B266" s="2" t="s">
        <v>867</v>
      </c>
      <c r="C266" s="2" t="s">
        <v>1841</v>
      </c>
      <c r="D266" s="2" t="s">
        <v>1841</v>
      </c>
      <c r="E266" s="2" t="s">
        <v>917</v>
      </c>
      <c r="F266" s="2" t="s">
        <v>1848</v>
      </c>
      <c r="G266" s="2" t="s">
        <v>1013</v>
      </c>
      <c r="H266" s="22" t="str">
        <f>VLOOKUP(E266,'Lista Infomoney'!B:H,2,FALSE)</f>
        <v>ALUP4F</v>
      </c>
      <c r="I266" s="22" t="str">
        <f>VLOOKUP(E266,'Lista Infomoney'!B:F,3,FALSE)</f>
        <v>ALUP3F</v>
      </c>
      <c r="J266" s="22" t="str">
        <f>VLOOKUP(E266,'Lista Infomoney'!B:F,4,FALSE)</f>
        <v>ALUP11F</v>
      </c>
      <c r="K266" s="22" t="str">
        <f>VLOOKUP(E266,'Lista Infomoney'!B:F,5,FALSE)</f>
        <v>ALUP4</v>
      </c>
      <c r="L266" s="2" t="s">
        <v>922</v>
      </c>
      <c r="M266" s="2" t="s">
        <v>923</v>
      </c>
      <c r="O266"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v>
      </c>
    </row>
    <row r="267">
      <c r="A267" s="2">
        <v>2.0</v>
      </c>
      <c r="B267" s="2" t="s">
        <v>867</v>
      </c>
      <c r="C267" s="2" t="s">
        <v>1841</v>
      </c>
      <c r="D267" s="2" t="s">
        <v>1841</v>
      </c>
      <c r="E267" s="2" t="s">
        <v>1849</v>
      </c>
      <c r="F267" s="2" t="s">
        <v>1850</v>
      </c>
      <c r="G267" s="2"/>
      <c r="H267" s="2" t="s">
        <v>1851</v>
      </c>
      <c r="O267"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v>
      </c>
    </row>
    <row r="268">
      <c r="A268" s="2">
        <v>2.0</v>
      </c>
      <c r="B268" s="2" t="s">
        <v>867</v>
      </c>
      <c r="C268" s="2" t="s">
        <v>1841</v>
      </c>
      <c r="D268" s="2" t="s">
        <v>1841</v>
      </c>
      <c r="E268" s="2" t="s">
        <v>1852</v>
      </c>
      <c r="F268" s="24" t="s">
        <v>1853</v>
      </c>
      <c r="G268" s="2" t="s">
        <v>1032</v>
      </c>
      <c r="H268" s="6" t="s">
        <v>1853</v>
      </c>
      <c r="O268"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v>
      </c>
    </row>
    <row r="269">
      <c r="A269" s="2">
        <v>1.0</v>
      </c>
      <c r="B269" s="2" t="s">
        <v>867</v>
      </c>
      <c r="C269" s="2" t="s">
        <v>1841</v>
      </c>
      <c r="D269" s="2" t="s">
        <v>1841</v>
      </c>
      <c r="E269" s="2" t="s">
        <v>893</v>
      </c>
      <c r="F269" s="2" t="s">
        <v>1854</v>
      </c>
      <c r="G269" s="2"/>
      <c r="H269" s="22" t="str">
        <f>VLOOKUP(E269,'Lista Infomoney'!B:H,2,FALSE)</f>
        <v>CEBR3F</v>
      </c>
      <c r="I269" s="22" t="str">
        <f>VLOOKUP(E269,'Lista Infomoney'!B:F,3,FALSE)</f>
        <v>CEBR6F</v>
      </c>
      <c r="J269" s="22" t="str">
        <f>VLOOKUP(E269,'Lista Infomoney'!B:F,4,FALSE)</f>
        <v>CEBR5F</v>
      </c>
      <c r="K269" s="22" t="str">
        <f>VLOOKUP(E269,'Lista Infomoney'!B:F,5,FALSE)</f>
        <v>CEBR6</v>
      </c>
      <c r="L269" s="2" t="s">
        <v>899</v>
      </c>
      <c r="M269" s="2" t="s">
        <v>898</v>
      </c>
      <c r="O269"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v>
      </c>
    </row>
    <row r="270">
      <c r="A270" s="2">
        <v>1.0</v>
      </c>
      <c r="B270" s="2" t="s">
        <v>867</v>
      </c>
      <c r="C270" s="2" t="s">
        <v>1841</v>
      </c>
      <c r="D270" s="2" t="s">
        <v>1841</v>
      </c>
      <c r="E270" s="2" t="s">
        <v>875</v>
      </c>
      <c r="F270" s="2" t="s">
        <v>1855</v>
      </c>
      <c r="G270" s="2" t="s">
        <v>1029</v>
      </c>
      <c r="H270" s="22" t="str">
        <f>VLOOKUP(E270,'Lista Infomoney'!B:H,2,FALSE)</f>
        <v>CEED3F</v>
      </c>
      <c r="I270" s="22" t="str">
        <f>VLOOKUP(E270,'Lista Infomoney'!B:F,3,FALSE)</f>
        <v>CEED4F</v>
      </c>
      <c r="J270" s="22" t="str">
        <f>VLOOKUP(E270,'Lista Infomoney'!B:F,4,FALSE)</f>
        <v>CEED4</v>
      </c>
      <c r="K270" s="22" t="str">
        <f>VLOOKUP(E270,'Lista Infomoney'!B:F,5,FALSE)</f>
        <v>CEED3</v>
      </c>
      <c r="O270"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v>
      </c>
    </row>
    <row r="271">
      <c r="A271" s="2">
        <v>1.0</v>
      </c>
      <c r="B271" s="2" t="s">
        <v>867</v>
      </c>
      <c r="C271" s="2" t="s">
        <v>1841</v>
      </c>
      <c r="D271" s="2" t="s">
        <v>1841</v>
      </c>
      <c r="E271" s="2" t="s">
        <v>1856</v>
      </c>
      <c r="F271" s="2" t="s">
        <v>1857</v>
      </c>
      <c r="G271" s="2" t="s">
        <v>1029</v>
      </c>
      <c r="H271" s="22" t="str">
        <f>VLOOKUP(E271,'Lista Infomoney'!B:H,2,FALSE)</f>
        <v>EEEL4F</v>
      </c>
      <c r="I271" s="22" t="str">
        <f>VLOOKUP(E271,'Lista Infomoney'!B:F,3,FALSE)</f>
        <v>EEEL3F</v>
      </c>
      <c r="J271" s="22" t="str">
        <f>VLOOKUP(E271,'Lista Infomoney'!B:F,4,FALSE)</f>
        <v>EEEL4</v>
      </c>
      <c r="K271" s="22" t="str">
        <f>VLOOKUP(E271,'Lista Infomoney'!B:F,5,FALSE)</f>
        <v>EEEL3</v>
      </c>
      <c r="O271"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v>
      </c>
    </row>
    <row r="272">
      <c r="A272" s="2">
        <v>1.0</v>
      </c>
      <c r="B272" s="2" t="s">
        <v>867</v>
      </c>
      <c r="C272" s="2" t="s">
        <v>1841</v>
      </c>
      <c r="D272" s="2" t="s">
        <v>1841</v>
      </c>
      <c r="E272" s="2" t="s">
        <v>1858</v>
      </c>
      <c r="F272" s="2" t="s">
        <v>1859</v>
      </c>
      <c r="G272" s="2" t="s">
        <v>1013</v>
      </c>
      <c r="H272" s="22" t="str">
        <f>VLOOKUP(E272,'Lista Infomoney'!B:H,2,FALSE)</f>
        <v>CLSC4F</v>
      </c>
      <c r="I272" s="22" t="str">
        <f>VLOOKUP(E272,'Lista Infomoney'!B:F,3,FALSE)</f>
        <v>CLSC3F</v>
      </c>
      <c r="J272" s="22" t="str">
        <f>VLOOKUP(E272,'Lista Infomoney'!B:F,4,FALSE)</f>
        <v>CLSC4</v>
      </c>
      <c r="K272" s="22" t="str">
        <f>VLOOKUP(E272,'Lista Infomoney'!B:F,5,FALSE)</f>
        <v>CLSC3</v>
      </c>
      <c r="O272"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v>
      </c>
    </row>
    <row r="273">
      <c r="A273" s="2">
        <v>2.0</v>
      </c>
      <c r="B273" s="2" t="s">
        <v>867</v>
      </c>
      <c r="C273" s="2" t="s">
        <v>1841</v>
      </c>
      <c r="D273" s="2" t="s">
        <v>1841</v>
      </c>
      <c r="E273" s="2" t="s">
        <v>1860</v>
      </c>
      <c r="F273" s="2" t="s">
        <v>1861</v>
      </c>
      <c r="G273" s="2"/>
      <c r="H273" s="2" t="s">
        <v>1862</v>
      </c>
      <c r="O273"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v>
      </c>
    </row>
    <row r="274">
      <c r="A274" s="2">
        <v>1.0</v>
      </c>
      <c r="B274" s="2" t="s">
        <v>867</v>
      </c>
      <c r="C274" s="2" t="s">
        <v>1841</v>
      </c>
      <c r="D274" s="2" t="s">
        <v>1841</v>
      </c>
      <c r="E274" s="2" t="s">
        <v>1863</v>
      </c>
      <c r="F274" s="2" t="s">
        <v>1864</v>
      </c>
      <c r="G274" s="2" t="s">
        <v>1865</v>
      </c>
      <c r="H274" s="22" t="str">
        <f>VLOOKUP(E274,'Lista Infomoney'!B:H,2,FALSE)</f>
        <v>CEPE6F</v>
      </c>
      <c r="I274" s="22" t="str">
        <f>VLOOKUP(E274,'Lista Infomoney'!B:F,3,FALSE)</f>
        <v>CEPE5F</v>
      </c>
      <c r="J274" s="22" t="str">
        <f>VLOOKUP(E274,'Lista Infomoney'!B:F,4,FALSE)</f>
        <v>CEPE3F</v>
      </c>
      <c r="K274" s="22" t="str">
        <f>VLOOKUP(E274,'Lista Infomoney'!B:F,5,FALSE)</f>
        <v>CEPE6</v>
      </c>
      <c r="L274" s="2" t="s">
        <v>873</v>
      </c>
      <c r="M274" s="2" t="s">
        <v>874</v>
      </c>
      <c r="O274"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v>
      </c>
    </row>
    <row r="275">
      <c r="A275" s="2">
        <v>1.0</v>
      </c>
      <c r="B275" s="2" t="s">
        <v>867</v>
      </c>
      <c r="C275" s="2" t="s">
        <v>1841</v>
      </c>
      <c r="D275" s="2" t="s">
        <v>1841</v>
      </c>
      <c r="E275" s="2" t="s">
        <v>1866</v>
      </c>
      <c r="F275" s="2" t="s">
        <v>1867</v>
      </c>
      <c r="G275" s="2" t="s">
        <v>1029</v>
      </c>
      <c r="H275" s="22" t="str">
        <f>VLOOKUP(E275,'Lista Infomoney'!B:H,2,FALSE)</f>
        <v>CMIG4</v>
      </c>
      <c r="I275" s="22" t="str">
        <f>VLOOKUP(E275,'Lista Infomoney'!B:F,3,FALSE)</f>
        <v>CMIG3F</v>
      </c>
      <c r="J275" s="22" t="str">
        <f>VLOOKUP(E275,'Lista Infomoney'!B:F,4,FALSE)</f>
        <v>CMIG3</v>
      </c>
      <c r="K275" s="2" t="s">
        <v>1868</v>
      </c>
      <c r="L275" s="2" t="s">
        <v>1869</v>
      </c>
      <c r="M275" s="2" t="s">
        <v>1870</v>
      </c>
      <c r="O275"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v>
      </c>
    </row>
    <row r="276">
      <c r="A276" s="2">
        <v>2.0</v>
      </c>
      <c r="B276" s="2" t="s">
        <v>867</v>
      </c>
      <c r="C276" s="2" t="s">
        <v>1841</v>
      </c>
      <c r="D276" s="2" t="s">
        <v>1841</v>
      </c>
      <c r="E276" s="2" t="s">
        <v>1871</v>
      </c>
      <c r="F276" s="24" t="s">
        <v>1872</v>
      </c>
      <c r="G276" s="2"/>
      <c r="H276" s="6" t="s">
        <v>1872</v>
      </c>
      <c r="O276"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v>
      </c>
    </row>
    <row r="277">
      <c r="A277" s="2">
        <v>2.0</v>
      </c>
      <c r="B277" s="2" t="s">
        <v>867</v>
      </c>
      <c r="C277" s="2" t="s">
        <v>1841</v>
      </c>
      <c r="D277" s="2" t="s">
        <v>1841</v>
      </c>
      <c r="E277" s="2" t="s">
        <v>1873</v>
      </c>
      <c r="F277" s="24" t="s">
        <v>1874</v>
      </c>
      <c r="G277" s="2"/>
      <c r="H277" s="6" t="s">
        <v>1874</v>
      </c>
      <c r="O277"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v>
      </c>
    </row>
    <row r="278">
      <c r="A278" s="2">
        <v>1.0</v>
      </c>
      <c r="B278" s="2" t="s">
        <v>867</v>
      </c>
      <c r="C278" s="2" t="s">
        <v>1841</v>
      </c>
      <c r="D278" s="2" t="s">
        <v>1841</v>
      </c>
      <c r="E278" s="2" t="s">
        <v>975</v>
      </c>
      <c r="F278" s="2" t="s">
        <v>975</v>
      </c>
      <c r="G278" s="2" t="s">
        <v>1029</v>
      </c>
      <c r="H278" s="22" t="str">
        <f>VLOOKUP(E278,'Lista Infomoney'!B:H,2,FALSE)</f>
        <v>CESP6</v>
      </c>
      <c r="I278" s="22" t="str">
        <f>VLOOKUP(E278,'Lista Infomoney'!B:F,3,FALSE)</f>
        <v>CESP5</v>
      </c>
      <c r="J278" s="22" t="str">
        <f>VLOOKUP(E278,'Lista Infomoney'!B:F,4,FALSE)</f>
        <v>CESP3F</v>
      </c>
      <c r="K278" s="22" t="str">
        <f>VLOOKUP(E278,'Lista Infomoney'!B:F,5,FALSE)</f>
        <v>CESP3</v>
      </c>
      <c r="L278" s="2" t="s">
        <v>1875</v>
      </c>
      <c r="M278" s="2" t="s">
        <v>1876</v>
      </c>
      <c r="O278"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v>
      </c>
    </row>
    <row r="279">
      <c r="A279" s="2">
        <v>2.0</v>
      </c>
      <c r="B279" s="2" t="s">
        <v>867</v>
      </c>
      <c r="C279" s="2" t="s">
        <v>1841</v>
      </c>
      <c r="D279" s="2" t="s">
        <v>1841</v>
      </c>
      <c r="E279" s="2" t="s">
        <v>1877</v>
      </c>
      <c r="F279" s="2" t="s">
        <v>1878</v>
      </c>
      <c r="G279" s="2"/>
      <c r="H279" s="2" t="s">
        <v>1879</v>
      </c>
      <c r="I279" s="2" t="s">
        <v>1880</v>
      </c>
      <c r="J279" s="2" t="s">
        <v>1881</v>
      </c>
      <c r="O279"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v>
      </c>
    </row>
    <row r="280">
      <c r="A280" s="2">
        <v>1.0</v>
      </c>
      <c r="B280" s="2" t="s">
        <v>867</v>
      </c>
      <c r="C280" s="2" t="s">
        <v>1841</v>
      </c>
      <c r="D280" s="2" t="s">
        <v>1841</v>
      </c>
      <c r="E280" s="2" t="s">
        <v>1882</v>
      </c>
      <c r="F280" s="2" t="s">
        <v>1883</v>
      </c>
      <c r="G280" s="2" t="s">
        <v>1865</v>
      </c>
      <c r="H280" s="22" t="str">
        <f>VLOOKUP(E280,'Lista Infomoney'!B:H,2,FALSE)</f>
        <v>COCE6F</v>
      </c>
      <c r="I280" s="22" t="str">
        <f>VLOOKUP(E280,'Lista Infomoney'!B:F,3,FALSE)</f>
        <v>COCE5F</v>
      </c>
      <c r="J280" s="22" t="str">
        <f>VLOOKUP(E280,'Lista Infomoney'!B:F,4,FALSE)</f>
        <v>COCE3F</v>
      </c>
      <c r="K280" s="22" t="str">
        <f>VLOOKUP(E280,'Lista Infomoney'!B:F,5,FALSE)</f>
        <v>COCE6</v>
      </c>
      <c r="L280" s="2" t="s">
        <v>911</v>
      </c>
      <c r="M280" s="2" t="s">
        <v>910</v>
      </c>
      <c r="O280"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v>
      </c>
    </row>
    <row r="281">
      <c r="A281" s="2">
        <v>1.0</v>
      </c>
      <c r="B281" s="2" t="s">
        <v>867</v>
      </c>
      <c r="C281" s="2" t="s">
        <v>1841</v>
      </c>
      <c r="D281" s="2" t="s">
        <v>1841</v>
      </c>
      <c r="E281" s="2" t="s">
        <v>1884</v>
      </c>
      <c r="F281" s="2" t="s">
        <v>1885</v>
      </c>
      <c r="G281" s="2" t="s">
        <v>1029</v>
      </c>
      <c r="H281" s="22" t="str">
        <f>VLOOKUP(E281,'Lista Infomoney'!B:H,2,FALSE)</f>
        <v>CPLE5F</v>
      </c>
      <c r="I281" s="22" t="str">
        <f>VLOOKUP(E281,'Lista Infomoney'!B:F,3,FALSE)</f>
        <v>CPLE6F</v>
      </c>
      <c r="J281" s="22" t="str">
        <f>VLOOKUP(E281,'Lista Infomoney'!B:F,4,FALSE)</f>
        <v>CPLE6</v>
      </c>
      <c r="K281" s="22" t="str">
        <f>VLOOKUP(E281,'Lista Infomoney'!B:F,5,FALSE)</f>
        <v>CPLE5</v>
      </c>
      <c r="L281" s="2" t="s">
        <v>940</v>
      </c>
      <c r="M281" s="2" t="s">
        <v>939</v>
      </c>
      <c r="O281"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v>
      </c>
    </row>
    <row r="282">
      <c r="A282" s="2">
        <v>2.0</v>
      </c>
      <c r="B282" s="2" t="s">
        <v>867</v>
      </c>
      <c r="C282" s="2" t="s">
        <v>1841</v>
      </c>
      <c r="D282" s="2" t="s">
        <v>1841</v>
      </c>
      <c r="E282" s="2" t="s">
        <v>1886</v>
      </c>
      <c r="F282" s="2" t="s">
        <v>1887</v>
      </c>
      <c r="G282" s="2"/>
      <c r="H282" s="2" t="s">
        <v>1888</v>
      </c>
      <c r="I282" s="2" t="s">
        <v>1889</v>
      </c>
      <c r="J282" s="2" t="s">
        <v>1890</v>
      </c>
      <c r="O282"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v>
      </c>
    </row>
    <row r="283">
      <c r="A283" s="2">
        <v>1.0</v>
      </c>
      <c r="B283" s="2" t="s">
        <v>867</v>
      </c>
      <c r="C283" s="2" t="s">
        <v>1841</v>
      </c>
      <c r="D283" s="2" t="s">
        <v>1841</v>
      </c>
      <c r="E283" s="2" t="s">
        <v>1891</v>
      </c>
      <c r="F283" s="2" t="s">
        <v>1892</v>
      </c>
      <c r="G283" s="2" t="s">
        <v>1001</v>
      </c>
      <c r="H283" s="23" t="s">
        <v>942</v>
      </c>
      <c r="I283" s="22" t="str">
        <f>VLOOKUP(E283,'Lista Infomoney'!B:F,3,FALSE)</f>
        <v>CPFE3</v>
      </c>
      <c r="J283" s="6" t="str">
        <f>VLOOKUP(E283,'Lista Infomoney'!B:F,4,FALSE)</f>
        <v/>
      </c>
      <c r="K283" s="6" t="str">
        <f>VLOOKUP(E283,'Lista Infomoney'!B:F,5,FALSE)</f>
        <v/>
      </c>
      <c r="O283"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v>
      </c>
    </row>
    <row r="284">
      <c r="A284" s="2">
        <v>2.0</v>
      </c>
      <c r="B284" s="2" t="s">
        <v>867</v>
      </c>
      <c r="C284" s="2" t="s">
        <v>1841</v>
      </c>
      <c r="D284" s="2" t="s">
        <v>1841</v>
      </c>
      <c r="E284" s="2" t="s">
        <v>1893</v>
      </c>
      <c r="F284" s="24" t="s">
        <v>1894</v>
      </c>
      <c r="G284" s="2"/>
      <c r="H284" s="6" t="s">
        <v>1894</v>
      </c>
      <c r="O284"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v>
      </c>
    </row>
    <row r="285">
      <c r="A285" s="2">
        <v>2.0</v>
      </c>
      <c r="B285" s="2" t="s">
        <v>867</v>
      </c>
      <c r="C285" s="2" t="s">
        <v>1841</v>
      </c>
      <c r="D285" s="2" t="s">
        <v>1841</v>
      </c>
      <c r="E285" s="2" t="s">
        <v>1895</v>
      </c>
      <c r="F285" s="24" t="s">
        <v>1896</v>
      </c>
      <c r="G285" s="2"/>
      <c r="H285" s="6" t="s">
        <v>1896</v>
      </c>
      <c r="O285"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v>
      </c>
    </row>
    <row r="286">
      <c r="A286" s="2">
        <v>1.0</v>
      </c>
      <c r="B286" s="2" t="s">
        <v>867</v>
      </c>
      <c r="C286" s="2" t="s">
        <v>1841</v>
      </c>
      <c r="D286" s="2" t="s">
        <v>1841</v>
      </c>
      <c r="E286" s="2" t="s">
        <v>1897</v>
      </c>
      <c r="F286" s="2" t="s">
        <v>1898</v>
      </c>
      <c r="G286" s="2"/>
      <c r="H286" s="22" t="str">
        <f>VLOOKUP(E286,'Lista Infomoney'!B:H,2,FALSE)</f>
        <v>CPRE3F</v>
      </c>
      <c r="I286" s="22" t="str">
        <f>VLOOKUP(E286,'Lista Infomoney'!B:F,3,FALSE)</f>
        <v>CPRE3</v>
      </c>
      <c r="J286" s="6" t="str">
        <f>VLOOKUP(E286,'Lista Infomoney'!B:F,4,FALSE)</f>
        <v/>
      </c>
      <c r="K286" s="6" t="str">
        <f>VLOOKUP(E286,'Lista Infomoney'!B:F,5,FALSE)</f>
        <v/>
      </c>
      <c r="O286"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v>
      </c>
    </row>
    <row r="287">
      <c r="A287" s="2">
        <v>2.0</v>
      </c>
      <c r="B287" s="2" t="s">
        <v>867</v>
      </c>
      <c r="C287" s="2" t="s">
        <v>1841</v>
      </c>
      <c r="D287" s="2" t="s">
        <v>1841</v>
      </c>
      <c r="E287" s="2" t="s">
        <v>1899</v>
      </c>
      <c r="F287" s="24" t="s">
        <v>1900</v>
      </c>
      <c r="G287" s="2"/>
      <c r="H287" s="6" t="s">
        <v>1900</v>
      </c>
      <c r="O287"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v>
      </c>
    </row>
    <row r="288">
      <c r="A288" s="2">
        <v>2.0</v>
      </c>
      <c r="B288" s="2" t="s">
        <v>867</v>
      </c>
      <c r="C288" s="2" t="s">
        <v>1841</v>
      </c>
      <c r="D288" s="2" t="s">
        <v>1841</v>
      </c>
      <c r="E288" s="2" t="s">
        <v>1901</v>
      </c>
      <c r="F288" s="2" t="s">
        <v>1902</v>
      </c>
      <c r="G288" s="2"/>
      <c r="H288" s="2" t="s">
        <v>1903</v>
      </c>
      <c r="I288" s="2" t="s">
        <v>1904</v>
      </c>
      <c r="O288"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v>
      </c>
    </row>
    <row r="289">
      <c r="A289" s="2">
        <v>2.0</v>
      </c>
      <c r="B289" s="2" t="s">
        <v>867</v>
      </c>
      <c r="C289" s="2" t="s">
        <v>1841</v>
      </c>
      <c r="D289" s="2" t="s">
        <v>1841</v>
      </c>
      <c r="E289" s="2" t="s">
        <v>1905</v>
      </c>
      <c r="F289" s="2" t="s">
        <v>1906</v>
      </c>
      <c r="G289" s="2" t="s">
        <v>1029</v>
      </c>
      <c r="H289" s="2" t="s">
        <v>1907</v>
      </c>
      <c r="I289" s="2" t="s">
        <v>1908</v>
      </c>
      <c r="J289" s="2" t="s">
        <v>1909</v>
      </c>
      <c r="K289" s="2" t="s">
        <v>1910</v>
      </c>
      <c r="L289" s="2" t="s">
        <v>1911</v>
      </c>
      <c r="M289" s="2" t="s">
        <v>1912</v>
      </c>
      <c r="O289"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v>
      </c>
    </row>
    <row r="290">
      <c r="A290" s="2">
        <v>2.0</v>
      </c>
      <c r="B290" s="2" t="s">
        <v>867</v>
      </c>
      <c r="C290" s="2" t="s">
        <v>1841</v>
      </c>
      <c r="D290" s="2" t="s">
        <v>1841</v>
      </c>
      <c r="E290" s="2" t="s">
        <v>1913</v>
      </c>
      <c r="F290" s="2" t="s">
        <v>1914</v>
      </c>
      <c r="G290" s="2"/>
      <c r="H290" s="2" t="s">
        <v>1915</v>
      </c>
      <c r="O290"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v>
      </c>
    </row>
    <row r="291">
      <c r="A291" s="2">
        <v>2.0</v>
      </c>
      <c r="B291" s="2" t="s">
        <v>867</v>
      </c>
      <c r="C291" s="2" t="s">
        <v>1841</v>
      </c>
      <c r="D291" s="2" t="s">
        <v>1841</v>
      </c>
      <c r="E291" s="2" t="s">
        <v>1916</v>
      </c>
      <c r="F291" s="2" t="s">
        <v>1916</v>
      </c>
      <c r="G291" s="2"/>
      <c r="H291" s="2" t="s">
        <v>1917</v>
      </c>
      <c r="O291"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v>
      </c>
    </row>
    <row r="292">
      <c r="A292" s="2">
        <v>2.0</v>
      </c>
      <c r="B292" s="2" t="s">
        <v>867</v>
      </c>
      <c r="C292" s="2" t="s">
        <v>1841</v>
      </c>
      <c r="D292" s="2" t="s">
        <v>1841</v>
      </c>
      <c r="E292" s="2" t="s">
        <v>1918</v>
      </c>
      <c r="F292" s="2" t="s">
        <v>1919</v>
      </c>
      <c r="G292" s="2" t="s">
        <v>1001</v>
      </c>
      <c r="H292" s="2" t="s">
        <v>1920</v>
      </c>
      <c r="I292" s="2" t="s">
        <v>1921</v>
      </c>
      <c r="O292"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v>
      </c>
    </row>
    <row r="293">
      <c r="A293" s="2">
        <v>2.0</v>
      </c>
      <c r="B293" s="2" t="s">
        <v>867</v>
      </c>
      <c r="C293" s="2" t="s">
        <v>1841</v>
      </c>
      <c r="D293" s="2" t="s">
        <v>1841</v>
      </c>
      <c r="E293" s="2" t="s">
        <v>1922</v>
      </c>
      <c r="F293" s="2" t="s">
        <v>1923</v>
      </c>
      <c r="G293" s="2" t="s">
        <v>1013</v>
      </c>
      <c r="H293" s="2" t="s">
        <v>1924</v>
      </c>
      <c r="I293" s="2" t="s">
        <v>1925</v>
      </c>
      <c r="J293" s="2" t="s">
        <v>1926</v>
      </c>
      <c r="O293"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v>
      </c>
    </row>
    <row r="294">
      <c r="A294" s="2">
        <v>2.0</v>
      </c>
      <c r="B294" s="2" t="s">
        <v>867</v>
      </c>
      <c r="C294" s="2" t="s">
        <v>1841</v>
      </c>
      <c r="D294" s="2" t="s">
        <v>1841</v>
      </c>
      <c r="E294" s="2" t="s">
        <v>1927</v>
      </c>
      <c r="F294" s="2" t="s">
        <v>1928</v>
      </c>
      <c r="G294" s="2" t="s">
        <v>1929</v>
      </c>
      <c r="H294" s="2" t="s">
        <v>1930</v>
      </c>
      <c r="O294"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v>
      </c>
    </row>
    <row r="295">
      <c r="A295" s="2">
        <v>2.0</v>
      </c>
      <c r="B295" s="2" t="s">
        <v>867</v>
      </c>
      <c r="C295" s="2" t="s">
        <v>1841</v>
      </c>
      <c r="D295" s="2" t="s">
        <v>1841</v>
      </c>
      <c r="E295" s="2" t="s">
        <v>1931</v>
      </c>
      <c r="F295" s="24" t="s">
        <v>1932</v>
      </c>
      <c r="G295" s="2"/>
      <c r="H295" s="6" t="s">
        <v>1932</v>
      </c>
      <c r="O295"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v>
      </c>
    </row>
    <row r="296">
      <c r="A296" s="2">
        <v>1.0</v>
      </c>
      <c r="B296" s="2" t="s">
        <v>867</v>
      </c>
      <c r="C296" s="2" t="s">
        <v>1841</v>
      </c>
      <c r="D296" s="2" t="s">
        <v>1841</v>
      </c>
      <c r="E296" s="2" t="s">
        <v>1933</v>
      </c>
      <c r="F296" s="2" t="s">
        <v>1934</v>
      </c>
      <c r="G296" s="2" t="s">
        <v>1001</v>
      </c>
      <c r="H296" s="22" t="str">
        <f>VLOOKUP(E296,'Lista Infomoney'!B:H,2,FALSE)</f>
        <v>ENEV3F</v>
      </c>
      <c r="I296" s="22" t="str">
        <f>VLOOKUP(E296,'Lista Infomoney'!B:F,3,FALSE)</f>
        <v>ENEV3</v>
      </c>
      <c r="J296" s="6" t="str">
        <f>VLOOKUP(E296,'Lista Infomoney'!B:F,4,FALSE)</f>
        <v/>
      </c>
      <c r="K296" s="6" t="str">
        <f>VLOOKUP(E296,'Lista Infomoney'!B:F,5,FALSE)</f>
        <v/>
      </c>
      <c r="O296"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v>
      </c>
    </row>
    <row r="297">
      <c r="A297" s="2">
        <v>1.0</v>
      </c>
      <c r="B297" s="2" t="s">
        <v>867</v>
      </c>
      <c r="C297" s="2" t="s">
        <v>1841</v>
      </c>
      <c r="D297" s="2" t="s">
        <v>1841</v>
      </c>
      <c r="E297" s="2" t="s">
        <v>77</v>
      </c>
      <c r="F297" s="2" t="s">
        <v>1935</v>
      </c>
      <c r="G297" s="2" t="s">
        <v>1001</v>
      </c>
      <c r="H297" s="22" t="str">
        <f>VLOOKUP(E297,'Lista Infomoney'!B:H,2,FALSE)</f>
        <v>EGIE3F</v>
      </c>
      <c r="I297" s="2" t="s">
        <v>78</v>
      </c>
      <c r="J297" s="6" t="str">
        <f>VLOOKUP(E297,'Lista Infomoney'!B:F,4,FALSE)</f>
        <v/>
      </c>
      <c r="K297" s="6" t="str">
        <f>VLOOKUP(E297,'Lista Infomoney'!B:F,5,FALSE)</f>
        <v/>
      </c>
      <c r="O297"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v>
      </c>
    </row>
    <row r="298">
      <c r="A298" s="2">
        <v>2.0</v>
      </c>
      <c r="B298" s="2" t="s">
        <v>867</v>
      </c>
      <c r="C298" s="2" t="s">
        <v>1841</v>
      </c>
      <c r="D298" s="2" t="s">
        <v>1841</v>
      </c>
      <c r="E298" s="2" t="s">
        <v>1936</v>
      </c>
      <c r="F298" s="2" t="s">
        <v>1937</v>
      </c>
      <c r="G298" s="2" t="s">
        <v>1938</v>
      </c>
      <c r="H298" s="2" t="s">
        <v>1939</v>
      </c>
      <c r="I298" s="2" t="s">
        <v>1940</v>
      </c>
      <c r="J298" s="2" t="s">
        <v>1941</v>
      </c>
      <c r="O298"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v>
      </c>
    </row>
    <row r="299">
      <c r="A299" s="2">
        <v>2.0</v>
      </c>
      <c r="B299" s="2" t="s">
        <v>867</v>
      </c>
      <c r="C299" s="2" t="s">
        <v>1841</v>
      </c>
      <c r="D299" s="2" t="s">
        <v>1841</v>
      </c>
      <c r="E299" s="2" t="s">
        <v>1942</v>
      </c>
      <c r="F299" s="2" t="s">
        <v>1943</v>
      </c>
      <c r="G299" s="2" t="s">
        <v>1032</v>
      </c>
      <c r="H299" s="2" t="s">
        <v>1944</v>
      </c>
      <c r="I299" s="2" t="s">
        <v>1945</v>
      </c>
      <c r="J299" s="2" t="s">
        <v>1946</v>
      </c>
      <c r="O299"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v>
      </c>
    </row>
    <row r="300">
      <c r="A300" s="2">
        <v>2.0</v>
      </c>
      <c r="B300" s="2" t="s">
        <v>867</v>
      </c>
      <c r="C300" s="2" t="s">
        <v>1841</v>
      </c>
      <c r="D300" s="2" t="s">
        <v>1841</v>
      </c>
      <c r="E300" s="2" t="s">
        <v>1947</v>
      </c>
      <c r="F300" s="2" t="s">
        <v>1948</v>
      </c>
      <c r="G300" s="2" t="s">
        <v>1001</v>
      </c>
      <c r="H300" s="2" t="s">
        <v>1949</v>
      </c>
      <c r="I300" s="2" t="s">
        <v>1950</v>
      </c>
      <c r="O300"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v>
      </c>
    </row>
    <row r="301">
      <c r="A301" s="2">
        <v>2.0</v>
      </c>
      <c r="B301" s="2" t="s">
        <v>867</v>
      </c>
      <c r="C301" s="2" t="s">
        <v>1841</v>
      </c>
      <c r="D301" s="2" t="s">
        <v>1841</v>
      </c>
      <c r="E301" s="2" t="s">
        <v>1951</v>
      </c>
      <c r="F301" s="24" t="s">
        <v>1952</v>
      </c>
      <c r="G301" s="2"/>
      <c r="H301" s="6" t="s">
        <v>1952</v>
      </c>
      <c r="O301"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v>
      </c>
    </row>
    <row r="302">
      <c r="A302" s="2">
        <v>2.0</v>
      </c>
      <c r="B302" s="2" t="s">
        <v>867</v>
      </c>
      <c r="C302" s="2" t="s">
        <v>1841</v>
      </c>
      <c r="D302" s="2" t="s">
        <v>1841</v>
      </c>
      <c r="E302" s="2" t="s">
        <v>1953</v>
      </c>
      <c r="F302" s="24" t="s">
        <v>1954</v>
      </c>
      <c r="G302" s="2"/>
      <c r="H302" s="6" t="s">
        <v>1954</v>
      </c>
      <c r="O302"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v>
      </c>
    </row>
    <row r="303">
      <c r="A303" s="2">
        <v>1.0</v>
      </c>
      <c r="B303" s="2" t="s">
        <v>867</v>
      </c>
      <c r="C303" s="2" t="s">
        <v>1841</v>
      </c>
      <c r="D303" s="2" t="s">
        <v>1841</v>
      </c>
      <c r="E303" s="2" t="s">
        <v>90</v>
      </c>
      <c r="F303" s="2" t="s">
        <v>1955</v>
      </c>
      <c r="G303" s="2" t="s">
        <v>1956</v>
      </c>
      <c r="H303" s="22" t="str">
        <f>VLOOKUP(E303,'Lista Infomoney'!B:H,2,FALSE)</f>
        <v>GEPA4F</v>
      </c>
      <c r="I303" s="22" t="str">
        <f>VLOOKUP(E303,'Lista Infomoney'!B:F,3,FALSE)</f>
        <v>GEPA3F</v>
      </c>
      <c r="J303" s="2" t="s">
        <v>973</v>
      </c>
      <c r="K303" s="2" t="s">
        <v>974</v>
      </c>
      <c r="O303"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v>
      </c>
    </row>
    <row r="304">
      <c r="A304" s="2">
        <v>2.0</v>
      </c>
      <c r="B304" s="2" t="s">
        <v>867</v>
      </c>
      <c r="C304" s="2" t="s">
        <v>1841</v>
      </c>
      <c r="D304" s="2" t="s">
        <v>1841</v>
      </c>
      <c r="E304" s="2" t="s">
        <v>1957</v>
      </c>
      <c r="F304" s="24" t="s">
        <v>1958</v>
      </c>
      <c r="G304" s="2"/>
      <c r="H304" s="6" t="s">
        <v>1958</v>
      </c>
      <c r="O304"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v>
      </c>
    </row>
    <row r="305">
      <c r="A305" s="2">
        <v>2.0</v>
      </c>
      <c r="B305" s="2" t="s">
        <v>867</v>
      </c>
      <c r="C305" s="2" t="s">
        <v>1841</v>
      </c>
      <c r="D305" s="2" t="s">
        <v>1841</v>
      </c>
      <c r="E305" s="2" t="s">
        <v>1959</v>
      </c>
      <c r="F305" s="2" t="s">
        <v>1960</v>
      </c>
      <c r="G305" s="2" t="s">
        <v>1001</v>
      </c>
      <c r="H305" s="2" t="s">
        <v>1961</v>
      </c>
      <c r="I305" s="2" t="s">
        <v>1962</v>
      </c>
      <c r="O305"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v>
      </c>
    </row>
    <row r="306">
      <c r="A306" s="2">
        <v>1.0</v>
      </c>
      <c r="B306" s="2" t="s">
        <v>867</v>
      </c>
      <c r="C306" s="2" t="s">
        <v>1841</v>
      </c>
      <c r="D306" s="2" t="s">
        <v>1841</v>
      </c>
      <c r="E306" s="2" t="s">
        <v>1963</v>
      </c>
      <c r="F306" s="2" t="s">
        <v>1964</v>
      </c>
      <c r="G306" s="2" t="s">
        <v>1001</v>
      </c>
      <c r="H306" s="22" t="str">
        <f>VLOOKUP(E306,'Lista Infomoney'!B:H,2,FALSE)</f>
        <v>NEOE3</v>
      </c>
      <c r="I306" s="2" t="s">
        <v>1965</v>
      </c>
      <c r="J306" s="6" t="str">
        <f>VLOOKUP(E306,'Lista Infomoney'!B:F,4,FALSE)</f>
        <v/>
      </c>
      <c r="K306" s="6" t="str">
        <f>VLOOKUP(E306,'Lista Infomoney'!B:F,5,FALSE)</f>
        <v/>
      </c>
      <c r="O306"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v>
      </c>
    </row>
    <row r="307">
      <c r="A307" s="2">
        <v>2.0</v>
      </c>
      <c r="B307" s="2" t="s">
        <v>867</v>
      </c>
      <c r="C307" s="2" t="s">
        <v>1841</v>
      </c>
      <c r="D307" s="2" t="s">
        <v>1841</v>
      </c>
      <c r="E307" s="2" t="s">
        <v>1966</v>
      </c>
      <c r="F307" s="2" t="s">
        <v>1967</v>
      </c>
      <c r="G307" s="2" t="s">
        <v>1001</v>
      </c>
      <c r="H307" s="2" t="s">
        <v>1968</v>
      </c>
      <c r="I307" s="2" t="s">
        <v>1969</v>
      </c>
      <c r="O307"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v>
      </c>
    </row>
    <row r="308">
      <c r="A308" s="2">
        <v>2.0</v>
      </c>
      <c r="B308" s="2" t="s">
        <v>867</v>
      </c>
      <c r="C308" s="2" t="s">
        <v>1841</v>
      </c>
      <c r="D308" s="2" t="s">
        <v>1841</v>
      </c>
      <c r="E308" s="2" t="s">
        <v>1970</v>
      </c>
      <c r="F308" s="24" t="s">
        <v>1971</v>
      </c>
      <c r="G308" s="2"/>
      <c r="H308" s="6" t="s">
        <v>1971</v>
      </c>
      <c r="O308"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v>
      </c>
    </row>
    <row r="309">
      <c r="A309" s="2">
        <v>2.0</v>
      </c>
      <c r="B309" s="2" t="s">
        <v>867</v>
      </c>
      <c r="C309" s="2" t="s">
        <v>1841</v>
      </c>
      <c r="D309" s="2" t="s">
        <v>1841</v>
      </c>
      <c r="E309" s="2" t="s">
        <v>1972</v>
      </c>
      <c r="F309" s="2" t="s">
        <v>1973</v>
      </c>
      <c r="G309" s="2" t="s">
        <v>1032</v>
      </c>
      <c r="H309" s="2" t="s">
        <v>1974</v>
      </c>
      <c r="I309" s="2" t="s">
        <v>1975</v>
      </c>
      <c r="O309"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v>
      </c>
    </row>
    <row r="310">
      <c r="A310" s="2">
        <v>2.0</v>
      </c>
      <c r="B310" s="2" t="s">
        <v>867</v>
      </c>
      <c r="C310" s="2" t="s">
        <v>1841</v>
      </c>
      <c r="D310" s="2" t="s">
        <v>1841</v>
      </c>
      <c r="E310" s="2" t="s">
        <v>1976</v>
      </c>
      <c r="F310" s="2" t="s">
        <v>1977</v>
      </c>
      <c r="G310" s="2"/>
      <c r="H310" s="2" t="s">
        <v>1978</v>
      </c>
      <c r="I310" s="2" t="s">
        <v>1979</v>
      </c>
      <c r="O310"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v>
      </c>
    </row>
    <row r="311">
      <c r="A311" s="2">
        <v>1.0</v>
      </c>
      <c r="B311" s="2" t="s">
        <v>867</v>
      </c>
      <c r="C311" s="2" t="s">
        <v>1841</v>
      </c>
      <c r="D311" s="2" t="s">
        <v>1841</v>
      </c>
      <c r="E311" s="2" t="s">
        <v>1980</v>
      </c>
      <c r="F311" s="2" t="s">
        <v>1981</v>
      </c>
      <c r="G311" s="2" t="s">
        <v>1013</v>
      </c>
      <c r="H311" s="22" t="str">
        <f>VLOOKUP(E311,'Lista Infomoney'!B:H,2,FALSE)</f>
        <v>RNEW11F</v>
      </c>
      <c r="I311" s="2" t="s">
        <v>972</v>
      </c>
      <c r="J311" s="22" t="str">
        <f>VLOOKUP(E311,'Lista Infomoney'!B:F,4,FALSE)</f>
        <v>RNEW4F</v>
      </c>
      <c r="K311" s="22" t="str">
        <f>VLOOKUP(E311,'Lista Infomoney'!B:F,5,FALSE)</f>
        <v>RNEW4</v>
      </c>
      <c r="L311" s="2" t="s">
        <v>904</v>
      </c>
      <c r="M311" s="2" t="s">
        <v>1982</v>
      </c>
      <c r="O311"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v>
      </c>
    </row>
    <row r="312">
      <c r="A312" s="2">
        <v>2.0</v>
      </c>
      <c r="B312" s="2" t="s">
        <v>867</v>
      </c>
      <c r="C312" s="2" t="s">
        <v>1841</v>
      </c>
      <c r="D312" s="2" t="s">
        <v>1841</v>
      </c>
      <c r="E312" s="2" t="s">
        <v>1983</v>
      </c>
      <c r="F312" s="2" t="s">
        <v>1984</v>
      </c>
      <c r="G312" s="2"/>
      <c r="H312" s="2" t="s">
        <v>1985</v>
      </c>
      <c r="I312" s="2" t="s">
        <v>1986</v>
      </c>
      <c r="O312"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v>
      </c>
    </row>
    <row r="313">
      <c r="A313" s="2">
        <v>2.0</v>
      </c>
      <c r="B313" s="2" t="s">
        <v>867</v>
      </c>
      <c r="C313" s="2" t="s">
        <v>1841</v>
      </c>
      <c r="D313" s="2" t="s">
        <v>1841</v>
      </c>
      <c r="E313" s="2" t="s">
        <v>1987</v>
      </c>
      <c r="F313" s="24" t="s">
        <v>1988</v>
      </c>
      <c r="G313" s="2"/>
      <c r="H313" s="6" t="s">
        <v>1988</v>
      </c>
      <c r="O313"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v>
      </c>
    </row>
    <row r="314">
      <c r="A314" s="2">
        <v>1.0</v>
      </c>
      <c r="B314" s="2" t="s">
        <v>867</v>
      </c>
      <c r="C314" s="2" t="s">
        <v>1841</v>
      </c>
      <c r="D314" s="2" t="s">
        <v>1841</v>
      </c>
      <c r="E314" s="2" t="s">
        <v>1989</v>
      </c>
      <c r="F314" s="2" t="s">
        <v>1990</v>
      </c>
      <c r="G314" s="2" t="s">
        <v>1013</v>
      </c>
      <c r="H314" s="22" t="str">
        <f>VLOOKUP(E314,'Lista Infomoney'!B:H,2,FALSE)</f>
        <v>TAEE4</v>
      </c>
      <c r="I314" s="22" t="str">
        <f>VLOOKUP(E314,'Lista Infomoney'!B:F,3,FALSE)</f>
        <v>TAEE3</v>
      </c>
      <c r="J314" s="22" t="str">
        <f>VLOOKUP(E314,'Lista Infomoney'!B:F,4,FALSE)</f>
        <v>TAEE11</v>
      </c>
      <c r="K314" s="2" t="s">
        <v>1991</v>
      </c>
      <c r="L314" s="2" t="s">
        <v>1992</v>
      </c>
      <c r="M314" s="2" t="s">
        <v>1993</v>
      </c>
      <c r="O314"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v>
      </c>
    </row>
    <row r="315">
      <c r="A315" s="2">
        <v>2.0</v>
      </c>
      <c r="B315" s="2" t="s">
        <v>867</v>
      </c>
      <c r="C315" s="2" t="s">
        <v>1841</v>
      </c>
      <c r="D315" s="2" t="s">
        <v>1841</v>
      </c>
      <c r="E315" s="2" t="s">
        <v>1994</v>
      </c>
      <c r="F315" s="24" t="s">
        <v>1995</v>
      </c>
      <c r="G315" s="2"/>
      <c r="H315" s="6" t="s">
        <v>1995</v>
      </c>
      <c r="O315"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v>
      </c>
    </row>
    <row r="316">
      <c r="A316" s="2">
        <v>2.0</v>
      </c>
      <c r="B316" s="2" t="s">
        <v>867</v>
      </c>
      <c r="C316" s="2" t="s">
        <v>1841</v>
      </c>
      <c r="D316" s="2" t="s">
        <v>1841</v>
      </c>
      <c r="E316" s="2" t="s">
        <v>1996</v>
      </c>
      <c r="F316" s="24" t="s">
        <v>1997</v>
      </c>
      <c r="G316" s="2"/>
      <c r="H316" s="6" t="s">
        <v>1997</v>
      </c>
      <c r="O316"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v>
      </c>
    </row>
    <row r="317">
      <c r="A317" s="2">
        <v>1.0</v>
      </c>
      <c r="B317" s="2" t="s">
        <v>867</v>
      </c>
      <c r="C317" s="2" t="s">
        <v>1841</v>
      </c>
      <c r="D317" s="2" t="s">
        <v>1841</v>
      </c>
      <c r="E317" s="2" t="s">
        <v>958</v>
      </c>
      <c r="F317" s="2" t="s">
        <v>1998</v>
      </c>
      <c r="G317" s="2" t="s">
        <v>1029</v>
      </c>
      <c r="H317" s="22" t="str">
        <f>VLOOKUP(E317,'Lista Infomoney'!B:H,2,FALSE)</f>
        <v>TRPL4F</v>
      </c>
      <c r="I317" s="22" t="str">
        <f>VLOOKUP(E317,'Lista Infomoney'!B:F,3,FALSE)</f>
        <v>TRPL4</v>
      </c>
      <c r="J317" s="22" t="str">
        <f>VLOOKUP(E317,'Lista Infomoney'!B:F,4,FALSE)</f>
        <v>TRPL3F</v>
      </c>
      <c r="K317" s="22" t="str">
        <f>VLOOKUP(E317,'Lista Infomoney'!B:F,5,FALSE)</f>
        <v>TRPL3</v>
      </c>
      <c r="O317"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v>
      </c>
    </row>
    <row r="318">
      <c r="A318" s="2">
        <v>2.0</v>
      </c>
      <c r="B318" s="2" t="s">
        <v>867</v>
      </c>
      <c r="C318" s="2" t="s">
        <v>1841</v>
      </c>
      <c r="D318" s="2" t="s">
        <v>1841</v>
      </c>
      <c r="E318" s="2" t="s">
        <v>1999</v>
      </c>
      <c r="F318" s="2" t="s">
        <v>2000</v>
      </c>
      <c r="G318" s="2" t="s">
        <v>1032</v>
      </c>
      <c r="H318" s="2" t="s">
        <v>2001</v>
      </c>
      <c r="I318" s="2" t="s">
        <v>2002</v>
      </c>
      <c r="O318"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v>
      </c>
    </row>
    <row r="319">
      <c r="A319" s="2">
        <v>1.0</v>
      </c>
      <c r="B319" s="2" t="s">
        <v>867</v>
      </c>
      <c r="C319" s="2" t="s">
        <v>2003</v>
      </c>
      <c r="D319" s="2" t="s">
        <v>2003</v>
      </c>
      <c r="E319" s="2" t="s">
        <v>2004</v>
      </c>
      <c r="F319" s="2" t="s">
        <v>2005</v>
      </c>
      <c r="G319" s="2" t="s">
        <v>1433</v>
      </c>
      <c r="H319" s="22" t="str">
        <f>VLOOKUP(E319,'Lista Infomoney'!B:H,2,FALSE)</f>
        <v>CASN4F</v>
      </c>
      <c r="I319" s="22" t="str">
        <f>VLOOKUP(E319,'Lista Infomoney'!B:F,3,FALSE)</f>
        <v>CASN3F</v>
      </c>
      <c r="J319" s="22" t="str">
        <f>VLOOKUP(E319,'Lista Infomoney'!B:F,4,FALSE)</f>
        <v>CASN4</v>
      </c>
      <c r="K319" s="22" t="str">
        <f>VLOOKUP(E319,'Lista Infomoney'!B:F,5,FALSE)</f>
        <v>CASN3</v>
      </c>
      <c r="O319"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v>
      </c>
    </row>
    <row r="320">
      <c r="A320" s="2">
        <v>2.0</v>
      </c>
      <c r="B320" s="2" t="s">
        <v>867</v>
      </c>
      <c r="C320" s="2" t="s">
        <v>2003</v>
      </c>
      <c r="D320" s="2" t="s">
        <v>2003</v>
      </c>
      <c r="E320" s="2" t="s">
        <v>2006</v>
      </c>
      <c r="F320" s="2" t="s">
        <v>2007</v>
      </c>
      <c r="G320" s="2" t="s">
        <v>1001</v>
      </c>
      <c r="H320" s="2" t="s">
        <v>2008</v>
      </c>
      <c r="I320" s="2" t="s">
        <v>2009</v>
      </c>
      <c r="O320"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v>
      </c>
    </row>
    <row r="321">
      <c r="A321" s="2">
        <v>2.0</v>
      </c>
      <c r="B321" s="2" t="s">
        <v>867</v>
      </c>
      <c r="C321" s="2" t="s">
        <v>2003</v>
      </c>
      <c r="D321" s="2" t="s">
        <v>2003</v>
      </c>
      <c r="E321" s="2" t="s">
        <v>2010</v>
      </c>
      <c r="F321" s="2" t="s">
        <v>2011</v>
      </c>
      <c r="G321" s="2" t="s">
        <v>1107</v>
      </c>
      <c r="H321" s="2" t="s">
        <v>2012</v>
      </c>
      <c r="I321" s="2" t="s">
        <v>2013</v>
      </c>
      <c r="O321"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v>
      </c>
    </row>
    <row r="322">
      <c r="A322" s="2">
        <v>1.0</v>
      </c>
      <c r="B322" s="2" t="s">
        <v>867</v>
      </c>
      <c r="C322" s="2" t="s">
        <v>2003</v>
      </c>
      <c r="D322" s="2" t="s">
        <v>2003</v>
      </c>
      <c r="E322" s="2" t="s">
        <v>2014</v>
      </c>
      <c r="F322" s="2" t="s">
        <v>2015</v>
      </c>
      <c r="G322" s="2" t="s">
        <v>1001</v>
      </c>
      <c r="H322" s="22" t="str">
        <f>VLOOKUP(E322,'Lista Infomoney'!B:H,2,FALSE)</f>
        <v>SBSP3F</v>
      </c>
      <c r="I322" s="22" t="str">
        <f>VLOOKUP(E322,'Lista Infomoney'!B:F,3,FALSE)</f>
        <v>SBSP3</v>
      </c>
      <c r="J322" s="6" t="str">
        <f>VLOOKUP(E322,'Lista Infomoney'!B:F,4,FALSE)</f>
        <v/>
      </c>
      <c r="K322" s="6" t="str">
        <f>VLOOKUP(E322,'Lista Infomoney'!B:F,5,FALSE)</f>
        <v/>
      </c>
      <c r="O322"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v>
      </c>
    </row>
    <row r="323">
      <c r="A323" s="2">
        <v>1.0</v>
      </c>
      <c r="B323" s="2" t="s">
        <v>867</v>
      </c>
      <c r="C323" s="2" t="s">
        <v>2003</v>
      </c>
      <c r="D323" s="2" t="s">
        <v>2003</v>
      </c>
      <c r="E323" s="2" t="s">
        <v>2016</v>
      </c>
      <c r="F323" s="2" t="s">
        <v>2017</v>
      </c>
      <c r="G323" s="2" t="s">
        <v>1013</v>
      </c>
      <c r="H323" s="22" t="str">
        <f>VLOOKUP(E323,'Lista Infomoney'!B:H,2,FALSE)</f>
        <v>SAPR11F</v>
      </c>
      <c r="I323" s="22" t="str">
        <f>VLOOKUP(E323,'Lista Infomoney'!B:F,3,FALSE)</f>
        <v>SAPR4F</v>
      </c>
      <c r="J323" s="22" t="str">
        <f>VLOOKUP(E323,'Lista Infomoney'!B:F,4,FALSE)</f>
        <v>SAPR3F</v>
      </c>
      <c r="K323" s="22" t="str">
        <f>VLOOKUP(E323,'Lista Infomoney'!B:F,5,FALSE)</f>
        <v>SAPR4</v>
      </c>
      <c r="L323" s="2" t="s">
        <v>929</v>
      </c>
      <c r="M323" s="2" t="s">
        <v>930</v>
      </c>
      <c r="O323"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v>
      </c>
    </row>
    <row r="324">
      <c r="A324" s="2">
        <v>2.0</v>
      </c>
      <c r="B324" s="2" t="s">
        <v>867</v>
      </c>
      <c r="C324" s="2" t="s">
        <v>2003</v>
      </c>
      <c r="D324" s="2" t="s">
        <v>2003</v>
      </c>
      <c r="E324" s="2" t="s">
        <v>2018</v>
      </c>
      <c r="F324" s="24" t="s">
        <v>2019</v>
      </c>
      <c r="G324" s="2"/>
      <c r="H324" s="6" t="s">
        <v>2019</v>
      </c>
      <c r="O324"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v>
      </c>
    </row>
    <row r="325">
      <c r="A325" s="2">
        <v>1.0</v>
      </c>
      <c r="B325" s="2" t="s">
        <v>867</v>
      </c>
      <c r="C325" s="2" t="s">
        <v>2020</v>
      </c>
      <c r="D325" s="2" t="s">
        <v>2020</v>
      </c>
      <c r="E325" s="2" t="s">
        <v>890</v>
      </c>
      <c r="F325" s="2" t="s">
        <v>2021</v>
      </c>
      <c r="G325" s="2" t="s">
        <v>1433</v>
      </c>
      <c r="H325" s="22" t="str">
        <f>VLOOKUP(E325,'Lista Infomoney'!B:H,2,FALSE)</f>
        <v>CEGR3F</v>
      </c>
      <c r="I325" s="22" t="str">
        <f>VLOOKUP(E325,'Lista Infomoney'!B:F,3,FALSE)</f>
        <v>CEGR3</v>
      </c>
      <c r="J325" s="6" t="str">
        <f>VLOOKUP(E325,'Lista Infomoney'!B:F,4,FALSE)</f>
        <v/>
      </c>
      <c r="K325" s="6" t="str">
        <f>VLOOKUP(E325,'Lista Infomoney'!B:F,5,FALSE)</f>
        <v/>
      </c>
      <c r="O325"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v>
      </c>
    </row>
    <row r="326">
      <c r="A326" s="2">
        <v>1.0</v>
      </c>
      <c r="B326" s="2" t="s">
        <v>867</v>
      </c>
      <c r="C326" s="2" t="s">
        <v>2020</v>
      </c>
      <c r="D326" s="2" t="s">
        <v>2020</v>
      </c>
      <c r="E326" s="2" t="s">
        <v>2022</v>
      </c>
      <c r="F326" s="2" t="s">
        <v>2023</v>
      </c>
      <c r="G326" s="2" t="s">
        <v>1433</v>
      </c>
      <c r="H326" s="22" t="str">
        <f>VLOOKUP(E326,'Lista Infomoney'!B:H,2,FALSE)</f>
        <v>CGAS3F</v>
      </c>
      <c r="I326" s="22" t="str">
        <f>VLOOKUP(E326,'Lista Infomoney'!B:F,3,FALSE)</f>
        <v>CGAS5F</v>
      </c>
      <c r="J326" s="22" t="str">
        <f>VLOOKUP(E326,'Lista Infomoney'!B:F,4,FALSE)</f>
        <v>CGAS5</v>
      </c>
      <c r="K326" s="22" t="str">
        <f>VLOOKUP(E326,'Lista Infomoney'!B:F,5,FALSE)</f>
        <v>CGAS3</v>
      </c>
      <c r="O326"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v>
      </c>
    </row>
    <row r="327">
      <c r="A327" s="2">
        <v>2.0</v>
      </c>
      <c r="B327" s="2" t="s">
        <v>375</v>
      </c>
      <c r="C327" s="2" t="s">
        <v>2024</v>
      </c>
      <c r="D327" s="2" t="s">
        <v>2025</v>
      </c>
      <c r="E327" s="2" t="s">
        <v>2026</v>
      </c>
      <c r="F327" s="2" t="s">
        <v>2027</v>
      </c>
      <c r="G327" s="2" t="s">
        <v>1013</v>
      </c>
      <c r="H327" s="2" t="s">
        <v>2028</v>
      </c>
      <c r="I327" s="2" t="s">
        <v>2029</v>
      </c>
      <c r="J327" s="2" t="s">
        <v>2030</v>
      </c>
      <c r="O327"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v>
      </c>
    </row>
    <row r="328">
      <c r="A328" s="2">
        <v>2.0</v>
      </c>
      <c r="B328" s="2" t="s">
        <v>375</v>
      </c>
      <c r="C328" s="2" t="s">
        <v>2024</v>
      </c>
      <c r="D328" s="2" t="s">
        <v>2025</v>
      </c>
      <c r="E328" s="2" t="s">
        <v>2031</v>
      </c>
      <c r="F328" s="2" t="s">
        <v>2032</v>
      </c>
      <c r="G328" s="2"/>
      <c r="H328" s="2" t="s">
        <v>2033</v>
      </c>
      <c r="I328" s="2" t="s">
        <v>2034</v>
      </c>
      <c r="J328" s="2" t="s">
        <v>2035</v>
      </c>
      <c r="K328" s="2" t="s">
        <v>2036</v>
      </c>
      <c r="L328" s="2" t="s">
        <v>2037</v>
      </c>
      <c r="M328" s="2" t="s">
        <v>2038</v>
      </c>
      <c r="O328"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v>
      </c>
    </row>
    <row r="329">
      <c r="A329" s="2">
        <v>2.0</v>
      </c>
      <c r="B329" s="2" t="s">
        <v>375</v>
      </c>
      <c r="C329" s="2" t="s">
        <v>2024</v>
      </c>
      <c r="D329" s="2" t="s">
        <v>2025</v>
      </c>
      <c r="E329" s="2" t="s">
        <v>2039</v>
      </c>
      <c r="F329" s="2" t="s">
        <v>2040</v>
      </c>
      <c r="G329" s="2"/>
      <c r="H329" s="2" t="s">
        <v>2041</v>
      </c>
      <c r="I329" s="2" t="s">
        <v>2042</v>
      </c>
      <c r="J329" s="2" t="s">
        <v>2043</v>
      </c>
      <c r="K329" s="2" t="s">
        <v>2044</v>
      </c>
      <c r="O329"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v>
      </c>
    </row>
    <row r="330">
      <c r="A330" s="2">
        <v>2.0</v>
      </c>
      <c r="B330" s="2" t="s">
        <v>375</v>
      </c>
      <c r="C330" s="2" t="s">
        <v>2024</v>
      </c>
      <c r="D330" s="2" t="s">
        <v>2025</v>
      </c>
      <c r="E330" s="2" t="s">
        <v>2045</v>
      </c>
      <c r="F330" s="2" t="s">
        <v>2046</v>
      </c>
      <c r="G330" s="2"/>
      <c r="H330" s="2" t="s">
        <v>2047</v>
      </c>
      <c r="I330" s="2" t="s">
        <v>2048</v>
      </c>
      <c r="O330"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v>
      </c>
    </row>
    <row r="331">
      <c r="A331" s="2">
        <v>1.0</v>
      </c>
      <c r="B331" s="2" t="s">
        <v>375</v>
      </c>
      <c r="C331" s="2" t="s">
        <v>2024</v>
      </c>
      <c r="D331" s="2" t="s">
        <v>2025</v>
      </c>
      <c r="E331" s="2" t="s">
        <v>426</v>
      </c>
      <c r="F331" s="2" t="s">
        <v>2049</v>
      </c>
      <c r="G331" s="2" t="s">
        <v>1029</v>
      </c>
      <c r="H331" s="22" t="str">
        <f>VLOOKUP(E331,'Lista Infomoney'!B:H,2,FALSE)</f>
        <v>BMGB11</v>
      </c>
      <c r="I331" s="22" t="str">
        <f>VLOOKUP(E331,'Lista Infomoney'!B:F,3,FALSE)</f>
        <v>BMGB4</v>
      </c>
      <c r="J331" s="6" t="str">
        <f>VLOOKUP(E331,'Lista Infomoney'!B:F,4,FALSE)</f>
        <v/>
      </c>
      <c r="K331" s="6" t="str">
        <f>VLOOKUP(E331,'Lista Infomoney'!B:F,5,FALSE)</f>
        <v/>
      </c>
      <c r="O331"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v>
      </c>
    </row>
    <row r="332">
      <c r="A332" s="2">
        <v>1.0</v>
      </c>
      <c r="B332" s="2" t="s">
        <v>375</v>
      </c>
      <c r="C332" s="2" t="s">
        <v>2024</v>
      </c>
      <c r="D332" s="2" t="s">
        <v>2025</v>
      </c>
      <c r="E332" s="2" t="s">
        <v>2050</v>
      </c>
      <c r="F332" s="2" t="s">
        <v>2051</v>
      </c>
      <c r="G332" s="2" t="s">
        <v>1013</v>
      </c>
      <c r="H332" s="22" t="str">
        <f>VLOOKUP(E332,'Lista Infomoney'!B:H,2,FALSE)</f>
        <v>BIDI3</v>
      </c>
      <c r="I332" s="22" t="str">
        <f>VLOOKUP(E332,'Lista Infomoney'!B:F,3,FALSE)</f>
        <v>BIDI11</v>
      </c>
      <c r="J332" s="22" t="str">
        <f>VLOOKUP(E332,'Lista Infomoney'!B:F,4,FALSE)</f>
        <v>BIDI4</v>
      </c>
      <c r="K332" s="6" t="str">
        <f>VLOOKUP(E332,'Lista Infomoney'!B:F,5,FALSE)</f>
        <v/>
      </c>
      <c r="O332"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v>
      </c>
    </row>
    <row r="333">
      <c r="A333" s="2">
        <v>1.0</v>
      </c>
      <c r="B333" s="2" t="s">
        <v>375</v>
      </c>
      <c r="C333" s="2" t="s">
        <v>2024</v>
      </c>
      <c r="D333" s="2" t="s">
        <v>2025</v>
      </c>
      <c r="E333" s="2" t="s">
        <v>2052</v>
      </c>
      <c r="F333" s="2" t="s">
        <v>2053</v>
      </c>
      <c r="G333" s="2" t="s">
        <v>1029</v>
      </c>
      <c r="H333" s="22" t="str">
        <f>VLOOKUP(E333,'Lista Infomoney'!B:H,2,FALSE)</f>
        <v>BPAN4F</v>
      </c>
      <c r="I333" s="2" t="s">
        <v>500</v>
      </c>
      <c r="J333" s="2" t="s">
        <v>2054</v>
      </c>
      <c r="K333" s="6" t="str">
        <f>VLOOKUP(E333,'Lista Infomoney'!B:F,5,FALSE)</f>
        <v/>
      </c>
      <c r="O333"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v>
      </c>
    </row>
    <row r="334">
      <c r="A334" s="2">
        <v>2.0</v>
      </c>
      <c r="B334" s="2" t="s">
        <v>375</v>
      </c>
      <c r="C334" s="2" t="s">
        <v>2024</v>
      </c>
      <c r="D334" s="2" t="s">
        <v>2025</v>
      </c>
      <c r="E334" s="2" t="s">
        <v>2055</v>
      </c>
      <c r="F334" s="2" t="s">
        <v>2056</v>
      </c>
      <c r="G334" s="2"/>
      <c r="H334" s="2" t="s">
        <v>2057</v>
      </c>
      <c r="I334" s="2" t="s">
        <v>2058</v>
      </c>
      <c r="J334" s="2" t="s">
        <v>2059</v>
      </c>
      <c r="K334" s="2" t="s">
        <v>2060</v>
      </c>
      <c r="O334"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v>
      </c>
    </row>
    <row r="335">
      <c r="A335" s="2">
        <v>2.0</v>
      </c>
      <c r="B335" s="2" t="s">
        <v>375</v>
      </c>
      <c r="C335" s="2" t="s">
        <v>2024</v>
      </c>
      <c r="D335" s="2" t="s">
        <v>2025</v>
      </c>
      <c r="E335" s="2" t="s">
        <v>2061</v>
      </c>
      <c r="F335" s="2" t="s">
        <v>2062</v>
      </c>
      <c r="G335" s="2"/>
      <c r="H335" s="2" t="s">
        <v>2063</v>
      </c>
      <c r="I335" s="2" t="s">
        <v>2064</v>
      </c>
      <c r="J335" s="2" t="s">
        <v>2065</v>
      </c>
      <c r="K335" s="2" t="s">
        <v>2066</v>
      </c>
      <c r="O335"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v>
      </c>
    </row>
    <row r="336">
      <c r="A336" s="2">
        <v>1.0</v>
      </c>
      <c r="B336" s="2" t="s">
        <v>375</v>
      </c>
      <c r="C336" s="2" t="s">
        <v>2024</v>
      </c>
      <c r="D336" s="2" t="s">
        <v>2025</v>
      </c>
      <c r="E336" s="2" t="s">
        <v>2067</v>
      </c>
      <c r="F336" s="2" t="s">
        <v>2068</v>
      </c>
      <c r="G336" s="2" t="s">
        <v>1433</v>
      </c>
      <c r="H336" s="22" t="str">
        <f>VLOOKUP(E336,'Lista Infomoney'!B:H,2,FALSE)</f>
        <v>BPAR3F</v>
      </c>
      <c r="I336" s="22" t="str">
        <f>VLOOKUP(E336,'Lista Infomoney'!B:F,3,FALSE)</f>
        <v>BPAR3</v>
      </c>
      <c r="J336" s="6" t="str">
        <f>VLOOKUP(E336,'Lista Infomoney'!B:F,4,FALSE)</f>
        <v/>
      </c>
      <c r="K336" s="6" t="str">
        <f>VLOOKUP(E336,'Lista Infomoney'!B:F,5,FALSE)</f>
        <v/>
      </c>
      <c r="O336"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v>
      </c>
    </row>
    <row r="337">
      <c r="A337" s="2">
        <v>1.0</v>
      </c>
      <c r="B337" s="2" t="s">
        <v>375</v>
      </c>
      <c r="C337" s="2" t="s">
        <v>2024</v>
      </c>
      <c r="D337" s="2" t="s">
        <v>2025</v>
      </c>
      <c r="E337" s="2" t="s">
        <v>2069</v>
      </c>
      <c r="F337" s="2" t="s">
        <v>2070</v>
      </c>
      <c r="G337" s="2" t="s">
        <v>1029</v>
      </c>
      <c r="H337" s="22" t="str">
        <f>VLOOKUP(E337,'Lista Infomoney'!B:H,2,FALSE)</f>
        <v>BRSR6F</v>
      </c>
      <c r="I337" s="22" t="str">
        <f>VLOOKUP(E337,'Lista Infomoney'!B:F,3,FALSE)</f>
        <v>BRSR5F</v>
      </c>
      <c r="J337" s="22" t="str">
        <f>VLOOKUP(E337,'Lista Infomoney'!B:F,4,FALSE)</f>
        <v>BRSR3F</v>
      </c>
      <c r="K337" s="22" t="str">
        <f>VLOOKUP(E337,'Lista Infomoney'!B:F,5,FALSE)</f>
        <v>BRSR6</v>
      </c>
      <c r="L337" s="2" t="s">
        <v>452</v>
      </c>
      <c r="M337" s="2" t="s">
        <v>453</v>
      </c>
      <c r="O337"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v>
      </c>
    </row>
    <row r="338">
      <c r="A338" s="2">
        <v>1.0</v>
      </c>
      <c r="B338" s="2" t="s">
        <v>375</v>
      </c>
      <c r="C338" s="2" t="s">
        <v>2024</v>
      </c>
      <c r="D338" s="2" t="s">
        <v>2025</v>
      </c>
      <c r="E338" s="2" t="s">
        <v>2071</v>
      </c>
      <c r="F338" s="2" t="s">
        <v>2072</v>
      </c>
      <c r="G338" s="2" t="s">
        <v>1029</v>
      </c>
      <c r="H338" s="22" t="str">
        <f>VLOOKUP(E338,'Lista Infomoney'!B:H,2,FALSE)</f>
        <v>BBDC4F</v>
      </c>
      <c r="I338" s="22" t="str">
        <f>VLOOKUP(E338,'Lista Infomoney'!B:F,3,FALSE)</f>
        <v>BBDC4</v>
      </c>
      <c r="J338" s="22" t="str">
        <f>VLOOKUP(E338,'Lista Infomoney'!B:F,4,FALSE)</f>
        <v>BBDC3</v>
      </c>
      <c r="K338" s="2" t="s">
        <v>2073</v>
      </c>
      <c r="O338"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v>
      </c>
    </row>
    <row r="339">
      <c r="A339" s="2">
        <v>1.0</v>
      </c>
      <c r="B339" s="2" t="s">
        <v>375</v>
      </c>
      <c r="C339" s="2" t="s">
        <v>2024</v>
      </c>
      <c r="D339" s="2" t="s">
        <v>2025</v>
      </c>
      <c r="E339" s="2" t="s">
        <v>501</v>
      </c>
      <c r="F339" s="2" t="s">
        <v>2074</v>
      </c>
      <c r="G339" s="2" t="s">
        <v>1001</v>
      </c>
      <c r="H339" s="22" t="str">
        <f>VLOOKUP(E339,'Lista Infomoney'!B:H,2,FALSE)</f>
        <v>BBAS3F</v>
      </c>
      <c r="I339" s="22" t="str">
        <f>VLOOKUP(E339,'Lista Infomoney'!B:F,3,FALSE)</f>
        <v>BBAS3</v>
      </c>
      <c r="J339" s="22" t="str">
        <f>VLOOKUP(E339,'Lista Infomoney'!B:F,4,FALSE)</f>
        <v>BBAS12</v>
      </c>
      <c r="K339" s="22" t="str">
        <f>VLOOKUP(E339,'Lista Infomoney'!B:F,5,FALSE)</f>
        <v>BBAS11</v>
      </c>
      <c r="L339" s="2" t="s">
        <v>2075</v>
      </c>
      <c r="M339" s="2" t="s">
        <v>2076</v>
      </c>
      <c r="O339"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v>
      </c>
    </row>
    <row r="340">
      <c r="A340" s="2">
        <v>1.0</v>
      </c>
      <c r="B340" s="2" t="s">
        <v>375</v>
      </c>
      <c r="C340" s="2" t="s">
        <v>2024</v>
      </c>
      <c r="D340" s="2" t="s">
        <v>2025</v>
      </c>
      <c r="E340" s="2" t="s">
        <v>2077</v>
      </c>
      <c r="F340" s="2" t="s">
        <v>2078</v>
      </c>
      <c r="G340" s="2" t="s">
        <v>1433</v>
      </c>
      <c r="H340" s="22" t="str">
        <f>VLOOKUP(E340,'Lista Infomoney'!B:H,2,FALSE)</f>
        <v>BSLI4F</v>
      </c>
      <c r="I340" s="22" t="str">
        <f>VLOOKUP(E340,'Lista Infomoney'!B:F,3,FALSE)</f>
        <v>BSLI3F</v>
      </c>
      <c r="J340" s="22" t="str">
        <f>VLOOKUP(E340,'Lista Infomoney'!B:F,4,FALSE)</f>
        <v>BSLI4</v>
      </c>
      <c r="K340" s="22" t="str">
        <f>VLOOKUP(E340,'Lista Infomoney'!B:F,5,FALSE)</f>
        <v>BSLI3</v>
      </c>
      <c r="O340"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v>
      </c>
    </row>
    <row r="341">
      <c r="A341" s="2">
        <v>2.0</v>
      </c>
      <c r="B341" s="2" t="s">
        <v>375</v>
      </c>
      <c r="C341" s="2" t="s">
        <v>2024</v>
      </c>
      <c r="D341" s="2" t="s">
        <v>2025</v>
      </c>
      <c r="E341" s="2" t="s">
        <v>2079</v>
      </c>
      <c r="F341" s="2" t="s">
        <v>2080</v>
      </c>
      <c r="G341" s="2"/>
      <c r="H341" s="2" t="s">
        <v>2081</v>
      </c>
      <c r="I341" s="2" t="s">
        <v>2082</v>
      </c>
      <c r="J341" s="2" t="s">
        <v>2083</v>
      </c>
      <c r="K341" s="2" t="s">
        <v>2084</v>
      </c>
      <c r="L341" s="2" t="s">
        <v>2085</v>
      </c>
      <c r="M341" s="2" t="s">
        <v>2086</v>
      </c>
      <c r="O341"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v>
      </c>
    </row>
    <row r="342">
      <c r="A342" s="2">
        <v>2.0</v>
      </c>
      <c r="B342" s="2" t="s">
        <v>375</v>
      </c>
      <c r="C342" s="2" t="s">
        <v>2024</v>
      </c>
      <c r="D342" s="2" t="s">
        <v>2025</v>
      </c>
      <c r="E342" s="2" t="s">
        <v>2087</v>
      </c>
      <c r="F342" s="2" t="s">
        <v>2088</v>
      </c>
      <c r="G342" s="2" t="s">
        <v>1013</v>
      </c>
      <c r="H342" s="2" t="s">
        <v>2089</v>
      </c>
      <c r="I342" s="2" t="s">
        <v>2090</v>
      </c>
      <c r="J342" s="2" t="s">
        <v>2091</v>
      </c>
      <c r="K342" s="2" t="s">
        <v>2092</v>
      </c>
      <c r="O342"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v>
      </c>
    </row>
    <row r="343">
      <c r="A343" s="2">
        <v>1.0</v>
      </c>
      <c r="B343" s="2" t="s">
        <v>375</v>
      </c>
      <c r="C343" s="2" t="s">
        <v>2024</v>
      </c>
      <c r="D343" s="2" t="s">
        <v>2025</v>
      </c>
      <c r="E343" s="2" t="s">
        <v>2093</v>
      </c>
      <c r="F343" s="2" t="s">
        <v>2094</v>
      </c>
      <c r="G343" s="2" t="s">
        <v>1029</v>
      </c>
      <c r="H343" s="22" t="str">
        <f>VLOOKUP(E343,'Lista Infomoney'!B:H,2,FALSE)</f>
        <v>ITSA4F</v>
      </c>
      <c r="I343" s="22" t="str">
        <f>VLOOKUP(E343,'Lista Infomoney'!B:F,3,FALSE)</f>
        <v>ITSA4</v>
      </c>
      <c r="J343" s="22" t="str">
        <f>VLOOKUP(E343,'Lista Infomoney'!B:F,4,FALSE)</f>
        <v>ITSA3F</v>
      </c>
      <c r="K343" s="2" t="s">
        <v>2095</v>
      </c>
      <c r="O343"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v>
      </c>
    </row>
    <row r="344">
      <c r="A344" s="2">
        <v>1.0</v>
      </c>
      <c r="B344" s="2" t="s">
        <v>375</v>
      </c>
      <c r="C344" s="2" t="s">
        <v>2024</v>
      </c>
      <c r="D344" s="2" t="s">
        <v>2025</v>
      </c>
      <c r="E344" s="2" t="s">
        <v>468</v>
      </c>
      <c r="F344" s="2" t="s">
        <v>2096</v>
      </c>
      <c r="G344" s="2" t="s">
        <v>1029</v>
      </c>
      <c r="H344" s="22" t="str">
        <f>VLOOKUP(E344,'Lista Infomoney'!B:H,2,FALSE)</f>
        <v>ITUB3F</v>
      </c>
      <c r="I344" s="22" t="str">
        <f>VLOOKUP(E344,'Lista Infomoney'!B:F,3,FALSE)</f>
        <v>ITUB4</v>
      </c>
      <c r="J344" s="22" t="str">
        <f>VLOOKUP(E344,'Lista Infomoney'!B:F,4,FALSE)</f>
        <v>ITUB3</v>
      </c>
      <c r="K344" s="22" t="str">
        <f>VLOOKUP(E344,'Lista Infomoney'!B:F,5,FALSE)</f>
        <v>ITUB4F</v>
      </c>
      <c r="O344"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v>
      </c>
    </row>
    <row r="345">
      <c r="A345" s="2">
        <v>2.0</v>
      </c>
      <c r="B345" s="2" t="s">
        <v>375</v>
      </c>
      <c r="C345" s="2" t="s">
        <v>2024</v>
      </c>
      <c r="D345" s="2" t="s">
        <v>2025</v>
      </c>
      <c r="E345" s="2" t="s">
        <v>2097</v>
      </c>
      <c r="F345" s="2" t="s">
        <v>2098</v>
      </c>
      <c r="G345" s="2"/>
      <c r="H345" s="2" t="s">
        <v>2099</v>
      </c>
      <c r="I345" s="2" t="s">
        <v>2100</v>
      </c>
      <c r="J345" s="2" t="s">
        <v>2101</v>
      </c>
      <c r="K345" s="2" t="s">
        <v>2102</v>
      </c>
      <c r="L345" s="2" t="s">
        <v>2103</v>
      </c>
      <c r="O345"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v>
      </c>
    </row>
    <row r="346">
      <c r="A346" s="2">
        <v>1.0</v>
      </c>
      <c r="B346" s="2" t="s">
        <v>375</v>
      </c>
      <c r="C346" s="2" t="s">
        <v>2024</v>
      </c>
      <c r="D346" s="2" t="s">
        <v>2025</v>
      </c>
      <c r="E346" s="2" t="s">
        <v>475</v>
      </c>
      <c r="F346" s="2" t="s">
        <v>2104</v>
      </c>
      <c r="G346" s="2" t="s">
        <v>1433</v>
      </c>
      <c r="H346" s="22" t="str">
        <f>VLOOKUP(E346,'Lista Infomoney'!B:H,2,FALSE)</f>
        <v>BMIN3</v>
      </c>
      <c r="I346" s="2" t="s">
        <v>2105</v>
      </c>
      <c r="J346" s="2" t="s">
        <v>2106</v>
      </c>
      <c r="K346" s="2" t="s">
        <v>2107</v>
      </c>
      <c r="O346"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v>
      </c>
    </row>
    <row r="347">
      <c r="A347" s="2">
        <v>2.0</v>
      </c>
      <c r="B347" s="2" t="s">
        <v>375</v>
      </c>
      <c r="C347" s="2" t="s">
        <v>2024</v>
      </c>
      <c r="D347" s="2" t="s">
        <v>2025</v>
      </c>
      <c r="E347" s="2" t="s">
        <v>2108</v>
      </c>
      <c r="F347" s="2" t="s">
        <v>2109</v>
      </c>
      <c r="G347" s="2"/>
      <c r="H347" s="2" t="s">
        <v>2110</v>
      </c>
      <c r="I347" s="2" t="s">
        <v>2111</v>
      </c>
      <c r="O347"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v>
      </c>
    </row>
    <row r="348">
      <c r="A348" s="2">
        <v>2.0</v>
      </c>
      <c r="B348" s="2" t="s">
        <v>375</v>
      </c>
      <c r="C348" s="2" t="s">
        <v>2024</v>
      </c>
      <c r="D348" s="2" t="s">
        <v>2025</v>
      </c>
      <c r="E348" s="2" t="s">
        <v>2112</v>
      </c>
      <c r="F348" s="24" t="s">
        <v>2113</v>
      </c>
      <c r="G348" s="2"/>
      <c r="H348" s="6" t="s">
        <v>2113</v>
      </c>
      <c r="O348"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v>
      </c>
    </row>
    <row r="349">
      <c r="A349" s="2">
        <v>2.0</v>
      </c>
      <c r="B349" s="2" t="s">
        <v>375</v>
      </c>
      <c r="C349" s="2" t="s">
        <v>2024</v>
      </c>
      <c r="D349" s="2" t="s">
        <v>2025</v>
      </c>
      <c r="E349" s="2" t="s">
        <v>2114</v>
      </c>
      <c r="F349" s="2" t="s">
        <v>2114</v>
      </c>
      <c r="G349" s="2" t="s">
        <v>1013</v>
      </c>
      <c r="H349" s="2" t="s">
        <v>2115</v>
      </c>
      <c r="I349" s="2" t="s">
        <v>2116</v>
      </c>
      <c r="J349" s="2" t="s">
        <v>2117</v>
      </c>
      <c r="K349" s="2" t="s">
        <v>2118</v>
      </c>
      <c r="O349"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v>
      </c>
    </row>
    <row r="350">
      <c r="A350" s="2">
        <v>1.0</v>
      </c>
      <c r="B350" s="2" t="s">
        <v>375</v>
      </c>
      <c r="C350" s="2" t="s">
        <v>2024</v>
      </c>
      <c r="D350" s="2" t="s">
        <v>2025</v>
      </c>
      <c r="E350" s="2" t="s">
        <v>2119</v>
      </c>
      <c r="F350" s="2" t="s">
        <v>2120</v>
      </c>
      <c r="G350" s="2" t="s">
        <v>1956</v>
      </c>
      <c r="H350" s="22" t="str">
        <f>VLOOKUP(E350,'Lista Infomoney'!B:H,2,FALSE)</f>
        <v>SANB4F</v>
      </c>
      <c r="I350" s="22" t="str">
        <f>VLOOKUP(E350,'Lista Infomoney'!B:F,3,FALSE)</f>
        <v>SANB3F</v>
      </c>
      <c r="J350" s="22" t="str">
        <f>VLOOKUP(E350,'Lista Infomoney'!B:F,4,FALSE)</f>
        <v>SANB11F</v>
      </c>
      <c r="K350" s="22" t="str">
        <f>VLOOKUP(E350,'Lista Infomoney'!B:F,5,FALSE)</f>
        <v>SANB4</v>
      </c>
      <c r="L350" s="2" t="s">
        <v>463</v>
      </c>
      <c r="M350" s="2" t="s">
        <v>461</v>
      </c>
      <c r="O350"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v>
      </c>
    </row>
    <row r="351">
      <c r="A351" s="2">
        <v>2.0</v>
      </c>
      <c r="B351" s="2" t="s">
        <v>375</v>
      </c>
      <c r="C351" s="2" t="s">
        <v>2024</v>
      </c>
      <c r="D351" s="2" t="s">
        <v>2121</v>
      </c>
      <c r="E351" s="2" t="s">
        <v>2122</v>
      </c>
      <c r="F351" s="2" t="s">
        <v>2123</v>
      </c>
      <c r="G351" s="2"/>
      <c r="H351" s="2" t="s">
        <v>2124</v>
      </c>
      <c r="I351" s="2" t="s">
        <v>2125</v>
      </c>
      <c r="J351" s="2" t="s">
        <v>2126</v>
      </c>
      <c r="K351" s="2" t="s">
        <v>2127</v>
      </c>
      <c r="O351"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v>
      </c>
    </row>
    <row r="352">
      <c r="A352" s="2">
        <v>2.0</v>
      </c>
      <c r="B352" s="2" t="s">
        <v>375</v>
      </c>
      <c r="C352" s="2" t="s">
        <v>2024</v>
      </c>
      <c r="D352" s="2" t="s">
        <v>2121</v>
      </c>
      <c r="E352" s="2" t="s">
        <v>2128</v>
      </c>
      <c r="F352" s="2" t="s">
        <v>2129</v>
      </c>
      <c r="G352" s="2"/>
      <c r="H352" s="2" t="s">
        <v>2130</v>
      </c>
      <c r="I352" s="2" t="s">
        <v>2131</v>
      </c>
      <c r="O352"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v>
      </c>
    </row>
    <row r="353">
      <c r="A353" s="2">
        <v>1.0</v>
      </c>
      <c r="B353" s="2" t="s">
        <v>375</v>
      </c>
      <c r="C353" s="2" t="s">
        <v>2024</v>
      </c>
      <c r="D353" s="2" t="s">
        <v>2121</v>
      </c>
      <c r="E353" s="2" t="s">
        <v>477</v>
      </c>
      <c r="F353" s="2" t="s">
        <v>2132</v>
      </c>
      <c r="G353" s="2" t="s">
        <v>1956</v>
      </c>
      <c r="H353" s="22" t="str">
        <f>VLOOKUP(E353,'Lista Infomoney'!B:H,2,FALSE)</f>
        <v>MERC4</v>
      </c>
      <c r="I353" s="2" t="s">
        <v>2133</v>
      </c>
      <c r="J353" s="2" t="s">
        <v>2134</v>
      </c>
      <c r="K353" s="2" t="s">
        <v>2135</v>
      </c>
      <c r="O353"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v>
      </c>
    </row>
    <row r="354">
      <c r="A354" s="2">
        <v>2.0</v>
      </c>
      <c r="B354" s="2" t="s">
        <v>375</v>
      </c>
      <c r="C354" s="2" t="s">
        <v>2024</v>
      </c>
      <c r="D354" s="2" t="s">
        <v>2136</v>
      </c>
      <c r="E354" s="2" t="s">
        <v>2137</v>
      </c>
      <c r="F354" s="24" t="s">
        <v>2138</v>
      </c>
      <c r="G354" s="2"/>
      <c r="H354" s="6" t="s">
        <v>2138</v>
      </c>
      <c r="O354"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v>
      </c>
    </row>
    <row r="355">
      <c r="A355" s="2">
        <v>2.0</v>
      </c>
      <c r="B355" s="2" t="s">
        <v>375</v>
      </c>
      <c r="C355" s="2" t="s">
        <v>2024</v>
      </c>
      <c r="D355" s="2" t="s">
        <v>2136</v>
      </c>
      <c r="E355" s="2" t="s">
        <v>2139</v>
      </c>
      <c r="F355" s="24" t="s">
        <v>2140</v>
      </c>
      <c r="G355" s="2"/>
      <c r="H355" s="6" t="s">
        <v>2140</v>
      </c>
      <c r="O355"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v>
      </c>
    </row>
    <row r="356">
      <c r="A356" s="2">
        <v>2.0</v>
      </c>
      <c r="B356" s="2" t="s">
        <v>375</v>
      </c>
      <c r="C356" s="2" t="s">
        <v>2141</v>
      </c>
      <c r="D356" s="2" t="s">
        <v>2141</v>
      </c>
      <c r="E356" s="2" t="s">
        <v>2142</v>
      </c>
      <c r="F356" s="24" t="s">
        <v>2143</v>
      </c>
      <c r="G356" s="2"/>
      <c r="H356" s="6" t="s">
        <v>2143</v>
      </c>
      <c r="O356"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v>
      </c>
    </row>
    <row r="357">
      <c r="A357" s="2">
        <v>2.0</v>
      </c>
      <c r="B357" s="2" t="s">
        <v>375</v>
      </c>
      <c r="C357" s="2" t="s">
        <v>2141</v>
      </c>
      <c r="D357" s="2" t="s">
        <v>2141</v>
      </c>
      <c r="E357" s="2" t="s">
        <v>2144</v>
      </c>
      <c r="F357" s="2" t="s">
        <v>2145</v>
      </c>
      <c r="G357" s="2"/>
      <c r="H357" s="2" t="s">
        <v>2145</v>
      </c>
      <c r="I357" s="28"/>
      <c r="J357" s="28"/>
      <c r="O357"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v>
      </c>
    </row>
    <row r="358">
      <c r="A358" s="2">
        <v>2.0</v>
      </c>
      <c r="B358" s="2" t="s">
        <v>375</v>
      </c>
      <c r="C358" s="2" t="s">
        <v>2141</v>
      </c>
      <c r="D358" s="2" t="s">
        <v>2141</v>
      </c>
      <c r="E358" s="2" t="s">
        <v>2146</v>
      </c>
      <c r="F358" s="2" t="s">
        <v>2147</v>
      </c>
      <c r="G358" s="2"/>
      <c r="H358" s="2" t="s">
        <v>2147</v>
      </c>
      <c r="O358"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v>
      </c>
    </row>
    <row r="359">
      <c r="A359" s="2">
        <v>2.0</v>
      </c>
      <c r="B359" s="2" t="s">
        <v>375</v>
      </c>
      <c r="C359" s="2" t="s">
        <v>2141</v>
      </c>
      <c r="D359" s="2" t="s">
        <v>2141</v>
      </c>
      <c r="E359" s="2" t="s">
        <v>2148</v>
      </c>
      <c r="F359" s="2" t="s">
        <v>2149</v>
      </c>
      <c r="G359" s="2"/>
      <c r="H359" s="2" t="s">
        <v>2149</v>
      </c>
      <c r="O359"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v>
      </c>
    </row>
    <row r="360">
      <c r="A360" s="2">
        <v>2.0</v>
      </c>
      <c r="B360" s="2" t="s">
        <v>375</v>
      </c>
      <c r="C360" s="2" t="s">
        <v>2141</v>
      </c>
      <c r="D360" s="2" t="s">
        <v>2141</v>
      </c>
      <c r="E360" s="2" t="s">
        <v>2150</v>
      </c>
      <c r="F360" s="2" t="s">
        <v>2151</v>
      </c>
      <c r="G360" s="2" t="s">
        <v>1032</v>
      </c>
      <c r="H360" s="2" t="s">
        <v>2151</v>
      </c>
      <c r="O360"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v>
      </c>
    </row>
    <row r="361">
      <c r="A361" s="2">
        <v>2.0</v>
      </c>
      <c r="B361" s="2" t="s">
        <v>375</v>
      </c>
      <c r="C361" s="2" t="s">
        <v>2141</v>
      </c>
      <c r="D361" s="2" t="s">
        <v>2141</v>
      </c>
      <c r="E361" s="2" t="s">
        <v>2152</v>
      </c>
      <c r="F361" s="2" t="s">
        <v>2153</v>
      </c>
      <c r="G361" s="2"/>
      <c r="H361" s="2" t="s">
        <v>2153</v>
      </c>
      <c r="O361"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v>
      </c>
    </row>
    <row r="362">
      <c r="A362" s="2">
        <v>2.0</v>
      </c>
      <c r="B362" s="2" t="s">
        <v>375</v>
      </c>
      <c r="C362" s="2" t="s">
        <v>2141</v>
      </c>
      <c r="D362" s="2" t="s">
        <v>2141</v>
      </c>
      <c r="E362" s="2" t="s">
        <v>2154</v>
      </c>
      <c r="F362" s="24" t="s">
        <v>2155</v>
      </c>
      <c r="G362" s="2" t="s">
        <v>1032</v>
      </c>
      <c r="H362" s="6" t="s">
        <v>2155</v>
      </c>
      <c r="O362"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v>
      </c>
    </row>
    <row r="363">
      <c r="A363" s="2">
        <v>2.0</v>
      </c>
      <c r="B363" s="2" t="s">
        <v>375</v>
      </c>
      <c r="C363" s="2" t="s">
        <v>2141</v>
      </c>
      <c r="D363" s="2" t="s">
        <v>2141</v>
      </c>
      <c r="E363" s="2" t="s">
        <v>2156</v>
      </c>
      <c r="F363" s="2" t="s">
        <v>2157</v>
      </c>
      <c r="G363" s="2"/>
      <c r="H363" s="29" t="s">
        <v>2157</v>
      </c>
      <c r="O363"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v>
      </c>
    </row>
    <row r="364">
      <c r="A364" s="2">
        <v>2.0</v>
      </c>
      <c r="B364" s="2" t="s">
        <v>375</v>
      </c>
      <c r="C364" s="2" t="s">
        <v>2141</v>
      </c>
      <c r="D364" s="2" t="s">
        <v>2141</v>
      </c>
      <c r="E364" s="2" t="s">
        <v>2158</v>
      </c>
      <c r="F364" s="2" t="s">
        <v>2159</v>
      </c>
      <c r="G364" s="2"/>
      <c r="H364" s="2" t="s">
        <v>2159</v>
      </c>
      <c r="O364"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v>
      </c>
    </row>
    <row r="365">
      <c r="A365" s="2">
        <v>2.0</v>
      </c>
      <c r="B365" s="2" t="s">
        <v>375</v>
      </c>
      <c r="C365" s="2" t="s">
        <v>2141</v>
      </c>
      <c r="D365" s="2" t="s">
        <v>2141</v>
      </c>
      <c r="E365" s="2" t="s">
        <v>2160</v>
      </c>
      <c r="F365" s="2" t="s">
        <v>2161</v>
      </c>
      <c r="G365" s="2"/>
      <c r="H365" s="2" t="s">
        <v>2161</v>
      </c>
      <c r="O365"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v>
      </c>
    </row>
    <row r="366">
      <c r="A366" s="2">
        <v>2.0</v>
      </c>
      <c r="B366" s="2" t="s">
        <v>375</v>
      </c>
      <c r="C366" s="2" t="s">
        <v>2141</v>
      </c>
      <c r="D366" s="2" t="s">
        <v>2141</v>
      </c>
      <c r="E366" s="2" t="s">
        <v>2162</v>
      </c>
      <c r="F366" s="2" t="s">
        <v>2163</v>
      </c>
      <c r="G366" s="2" t="s">
        <v>1032</v>
      </c>
      <c r="H366" s="2" t="s">
        <v>2163</v>
      </c>
      <c r="O366"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v>
      </c>
    </row>
    <row r="367">
      <c r="A367" s="2">
        <v>2.0</v>
      </c>
      <c r="B367" s="2" t="s">
        <v>375</v>
      </c>
      <c r="C367" s="2" t="s">
        <v>2141</v>
      </c>
      <c r="D367" s="2" t="s">
        <v>2141</v>
      </c>
      <c r="E367" s="2" t="s">
        <v>2164</v>
      </c>
      <c r="F367" s="2" t="s">
        <v>2165</v>
      </c>
      <c r="G367" s="2"/>
      <c r="H367" s="2" t="s">
        <v>2165</v>
      </c>
      <c r="O367"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v>
      </c>
    </row>
    <row r="368">
      <c r="A368" s="2">
        <v>2.0</v>
      </c>
      <c r="B368" s="2" t="s">
        <v>375</v>
      </c>
      <c r="C368" s="2" t="s">
        <v>2141</v>
      </c>
      <c r="D368" s="2" t="s">
        <v>2141</v>
      </c>
      <c r="E368" s="2" t="s">
        <v>2166</v>
      </c>
      <c r="F368" s="2" t="s">
        <v>2167</v>
      </c>
      <c r="G368" s="2"/>
      <c r="H368" s="2" t="s">
        <v>2167</v>
      </c>
      <c r="O368"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v>
      </c>
    </row>
    <row r="369">
      <c r="A369" s="2">
        <v>2.0</v>
      </c>
      <c r="B369" s="2" t="s">
        <v>375</v>
      </c>
      <c r="C369" s="2" t="s">
        <v>2141</v>
      </c>
      <c r="D369" s="2" t="s">
        <v>2141</v>
      </c>
      <c r="E369" s="2" t="s">
        <v>2168</v>
      </c>
      <c r="F369" s="24" t="s">
        <v>2169</v>
      </c>
      <c r="G369" s="2"/>
      <c r="H369" s="6" t="s">
        <v>2169</v>
      </c>
      <c r="O369"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v>
      </c>
    </row>
    <row r="370">
      <c r="A370" s="2">
        <v>2.0</v>
      </c>
      <c r="B370" s="2" t="s">
        <v>375</v>
      </c>
      <c r="C370" s="2" t="s">
        <v>2170</v>
      </c>
      <c r="D370" s="2" t="s">
        <v>2171</v>
      </c>
      <c r="E370" s="2" t="s">
        <v>2172</v>
      </c>
      <c r="F370" s="24" t="s">
        <v>2173</v>
      </c>
      <c r="G370" s="2" t="s">
        <v>1032</v>
      </c>
      <c r="H370" s="6" t="s">
        <v>2173</v>
      </c>
      <c r="O370"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v>
      </c>
    </row>
    <row r="371">
      <c r="A371" s="2">
        <v>2.0</v>
      </c>
      <c r="B371" s="2" t="s">
        <v>375</v>
      </c>
      <c r="C371" s="2" t="s">
        <v>2170</v>
      </c>
      <c r="D371" s="2" t="s">
        <v>2171</v>
      </c>
      <c r="E371" s="2" t="s">
        <v>2174</v>
      </c>
      <c r="F371" s="24" t="s">
        <v>2175</v>
      </c>
      <c r="G371" s="2"/>
      <c r="H371" s="6" t="s">
        <v>2175</v>
      </c>
      <c r="O371"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v>
      </c>
    </row>
    <row r="372">
      <c r="A372" s="2">
        <v>2.0</v>
      </c>
      <c r="B372" s="2" t="s">
        <v>375</v>
      </c>
      <c r="C372" s="2" t="s">
        <v>2170</v>
      </c>
      <c r="D372" s="2" t="s">
        <v>2171</v>
      </c>
      <c r="E372" s="2" t="s">
        <v>2176</v>
      </c>
      <c r="F372" s="2" t="s">
        <v>2177</v>
      </c>
      <c r="G372" s="2" t="s">
        <v>1401</v>
      </c>
      <c r="H372" s="2" t="s">
        <v>2178</v>
      </c>
      <c r="I372" s="2" t="s">
        <v>2179</v>
      </c>
      <c r="O372"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v>
      </c>
    </row>
    <row r="373">
      <c r="A373" s="2">
        <v>2.0</v>
      </c>
      <c r="B373" s="2" t="s">
        <v>375</v>
      </c>
      <c r="C373" s="2" t="s">
        <v>2170</v>
      </c>
      <c r="D373" s="2" t="s">
        <v>2171</v>
      </c>
      <c r="E373" s="2" t="s">
        <v>2180</v>
      </c>
      <c r="F373" s="2" t="s">
        <v>2181</v>
      </c>
      <c r="G373" s="2"/>
      <c r="H373" s="2" t="s">
        <v>2182</v>
      </c>
      <c r="O373"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v>
      </c>
    </row>
    <row r="374">
      <c r="A374" s="2">
        <v>2.0</v>
      </c>
      <c r="B374" s="2" t="s">
        <v>375</v>
      </c>
      <c r="C374" s="2" t="s">
        <v>2170</v>
      </c>
      <c r="D374" s="2" t="s">
        <v>2171</v>
      </c>
      <c r="E374" s="2" t="s">
        <v>2183</v>
      </c>
      <c r="F374" s="2" t="s">
        <v>2183</v>
      </c>
      <c r="G374" s="2" t="s">
        <v>1401</v>
      </c>
      <c r="H374" s="2" t="s">
        <v>2184</v>
      </c>
      <c r="I374" s="2" t="s">
        <v>2185</v>
      </c>
      <c r="O374"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v>
      </c>
    </row>
    <row r="375">
      <c r="A375" s="2">
        <v>2.0</v>
      </c>
      <c r="B375" s="2" t="s">
        <v>375</v>
      </c>
      <c r="C375" s="2" t="s">
        <v>2170</v>
      </c>
      <c r="D375" s="2" t="s">
        <v>2170</v>
      </c>
      <c r="E375" s="2" t="s">
        <v>2186</v>
      </c>
      <c r="F375" s="2" t="s">
        <v>2187</v>
      </c>
      <c r="G375" s="2" t="s">
        <v>1001</v>
      </c>
      <c r="H375" s="2" t="s">
        <v>2188</v>
      </c>
      <c r="O375"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v>
      </c>
    </row>
    <row r="376">
      <c r="A376" s="2">
        <v>1.0</v>
      </c>
      <c r="B376" s="2" t="s">
        <v>375</v>
      </c>
      <c r="C376" s="2" t="s">
        <v>2170</v>
      </c>
      <c r="D376" s="2" t="s">
        <v>2170</v>
      </c>
      <c r="E376" s="2" t="s">
        <v>2189</v>
      </c>
      <c r="F376" s="2" t="s">
        <v>2190</v>
      </c>
      <c r="G376" s="2" t="s">
        <v>1001</v>
      </c>
      <c r="H376" s="22" t="str">
        <f>VLOOKUP(E376,'Lista Infomoney'!B:H,2,FALSE)</f>
        <v>BOAS3</v>
      </c>
      <c r="I376" s="6" t="str">
        <f>VLOOKUP(E376,'Lista Infomoney'!B:F,3,FALSE)</f>
        <v/>
      </c>
      <c r="J376" s="6" t="str">
        <f>VLOOKUP(E376,'Lista Infomoney'!B:F,4,FALSE)</f>
        <v/>
      </c>
      <c r="K376" s="6" t="str">
        <f>VLOOKUP(E376,'Lista Infomoney'!B:F,5,FALSE)</f>
        <v/>
      </c>
      <c r="O376"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v>
      </c>
    </row>
    <row r="377">
      <c r="A377" s="2">
        <v>2.0</v>
      </c>
      <c r="B377" s="2" t="s">
        <v>375</v>
      </c>
      <c r="C377" s="2" t="s">
        <v>2170</v>
      </c>
      <c r="D377" s="2" t="s">
        <v>2170</v>
      </c>
      <c r="E377" s="2" t="s">
        <v>2191</v>
      </c>
      <c r="F377" s="2" t="s">
        <v>2192</v>
      </c>
      <c r="G377" s="2" t="s">
        <v>1001</v>
      </c>
      <c r="H377" s="2" t="s">
        <v>2193</v>
      </c>
      <c r="I377" s="2" t="s">
        <v>2194</v>
      </c>
      <c r="O377"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v>
      </c>
    </row>
    <row r="378">
      <c r="A378" s="2">
        <v>2.0</v>
      </c>
      <c r="B378" s="2" t="s">
        <v>375</v>
      </c>
      <c r="C378" s="2" t="s">
        <v>2195</v>
      </c>
      <c r="D378" s="2" t="s">
        <v>2196</v>
      </c>
      <c r="E378" s="2" t="s">
        <v>2197</v>
      </c>
      <c r="F378" s="2" t="s">
        <v>2198</v>
      </c>
      <c r="G378" s="2"/>
      <c r="H378" s="2" t="s">
        <v>2199</v>
      </c>
      <c r="I378" s="2" t="s">
        <v>2200</v>
      </c>
      <c r="J378" s="2" t="s">
        <v>2201</v>
      </c>
      <c r="K378" s="2" t="s">
        <v>2202</v>
      </c>
      <c r="L378" s="2" t="s">
        <v>2203</v>
      </c>
      <c r="M378" s="2" t="s">
        <v>2204</v>
      </c>
      <c r="N378" s="2" t="s">
        <v>2205</v>
      </c>
      <c r="O378"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v>
      </c>
      <c r="P378" s="2" t="s">
        <v>2206</v>
      </c>
    </row>
    <row r="379">
      <c r="A379" s="2">
        <v>2.0</v>
      </c>
      <c r="B379" s="2" t="s">
        <v>375</v>
      </c>
      <c r="C379" s="2" t="s">
        <v>2195</v>
      </c>
      <c r="D379" s="2" t="s">
        <v>2196</v>
      </c>
      <c r="E379" s="2" t="s">
        <v>2207</v>
      </c>
      <c r="F379" s="2" t="s">
        <v>2208</v>
      </c>
      <c r="G379" s="2" t="s">
        <v>1001</v>
      </c>
      <c r="H379" s="2" t="s">
        <v>499</v>
      </c>
      <c r="I379" s="2" t="s">
        <v>2209</v>
      </c>
      <c r="O379"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v>
      </c>
    </row>
    <row r="380">
      <c r="A380" s="2">
        <v>1.0</v>
      </c>
      <c r="B380" s="2" t="s">
        <v>375</v>
      </c>
      <c r="C380" s="2" t="s">
        <v>2195</v>
      </c>
      <c r="D380" s="2" t="s">
        <v>2196</v>
      </c>
      <c r="E380" s="2" t="s">
        <v>485</v>
      </c>
      <c r="F380" s="2" t="s">
        <v>2210</v>
      </c>
      <c r="G380" s="2" t="s">
        <v>1001</v>
      </c>
      <c r="H380" s="22" t="str">
        <f>VLOOKUP(E380,'Lista Infomoney'!B:H,2,FALSE)</f>
        <v>IRBR3</v>
      </c>
      <c r="I380" s="2" t="s">
        <v>2211</v>
      </c>
      <c r="J380" s="6" t="str">
        <f>VLOOKUP(E380,'Lista Infomoney'!B:F,4,FALSE)</f>
        <v/>
      </c>
      <c r="K380" s="6" t="str">
        <f>VLOOKUP(E380,'Lista Infomoney'!B:F,5,FALSE)</f>
        <v/>
      </c>
      <c r="O380"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v>
      </c>
    </row>
    <row r="381">
      <c r="A381" s="2">
        <v>1.0</v>
      </c>
      <c r="B381" s="2" t="s">
        <v>375</v>
      </c>
      <c r="C381" s="2" t="s">
        <v>2195</v>
      </c>
      <c r="D381" s="2" t="s">
        <v>2196</v>
      </c>
      <c r="E381" s="2" t="s">
        <v>2212</v>
      </c>
      <c r="F381" s="2" t="s">
        <v>2213</v>
      </c>
      <c r="G381" s="2" t="s">
        <v>1001</v>
      </c>
      <c r="H381" s="22" t="str">
        <f>VLOOKUP(E381,'Lista Infomoney'!B:H,2,FALSE)</f>
        <v>PSSA3F</v>
      </c>
      <c r="I381" s="22" t="str">
        <f>VLOOKUP(E381,'Lista Infomoney'!B:F,3,FALSE)</f>
        <v>PSSA3</v>
      </c>
      <c r="J381" s="6" t="str">
        <f>VLOOKUP(E381,'Lista Infomoney'!B:F,4,FALSE)</f>
        <v/>
      </c>
      <c r="K381" s="6" t="str">
        <f>VLOOKUP(E381,'Lista Infomoney'!B:F,5,FALSE)</f>
        <v/>
      </c>
      <c r="O381"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v>
      </c>
    </row>
    <row r="382">
      <c r="A382" s="2">
        <v>2.0</v>
      </c>
      <c r="B382" s="2" t="s">
        <v>375</v>
      </c>
      <c r="C382" s="2" t="s">
        <v>2195</v>
      </c>
      <c r="D382" s="2" t="s">
        <v>2196</v>
      </c>
      <c r="E382" s="2" t="s">
        <v>2214</v>
      </c>
      <c r="F382" s="2" t="s">
        <v>2215</v>
      </c>
      <c r="G382" s="2"/>
      <c r="H382" s="2" t="s">
        <v>2216</v>
      </c>
      <c r="I382" s="2" t="s">
        <v>2217</v>
      </c>
      <c r="J382" s="2" t="s">
        <v>2218</v>
      </c>
      <c r="K382" s="2" t="s">
        <v>2219</v>
      </c>
      <c r="O382"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v>
      </c>
    </row>
    <row r="383">
      <c r="A383" s="2">
        <v>2.0</v>
      </c>
      <c r="B383" s="2" t="s">
        <v>375</v>
      </c>
      <c r="C383" s="2" t="s">
        <v>2195</v>
      </c>
      <c r="D383" s="2" t="s">
        <v>2196</v>
      </c>
      <c r="E383" s="2" t="s">
        <v>2220</v>
      </c>
      <c r="F383" s="2" t="s">
        <v>2221</v>
      </c>
      <c r="G383" s="2" t="s">
        <v>1013</v>
      </c>
      <c r="H383" s="2" t="s">
        <v>2222</v>
      </c>
      <c r="I383" s="2" t="s">
        <v>2223</v>
      </c>
      <c r="J383" s="2" t="s">
        <v>2224</v>
      </c>
      <c r="K383" s="2" t="s">
        <v>2225</v>
      </c>
      <c r="L383" s="2" t="s">
        <v>2226</v>
      </c>
      <c r="M383" s="2" t="s">
        <v>2227</v>
      </c>
      <c r="O383"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v>
      </c>
    </row>
    <row r="384">
      <c r="A384" s="2">
        <v>1.0</v>
      </c>
      <c r="B384" s="2" t="s">
        <v>375</v>
      </c>
      <c r="C384" s="2" t="s">
        <v>2195</v>
      </c>
      <c r="D384" s="2" t="s">
        <v>2228</v>
      </c>
      <c r="E384" s="2" t="s">
        <v>495</v>
      </c>
      <c r="F384" s="2" t="s">
        <v>2229</v>
      </c>
      <c r="G384" s="2" t="s">
        <v>1001</v>
      </c>
      <c r="H384" s="22" t="str">
        <f>VLOOKUP(E384,'Lista Infomoney'!B:H,2,FALSE)</f>
        <v>APER3F</v>
      </c>
      <c r="I384" s="22" t="str">
        <f>VLOOKUP(E384,'Lista Infomoney'!B:F,3,FALSE)</f>
        <v>APER3</v>
      </c>
      <c r="J384" s="6" t="str">
        <f>VLOOKUP(E384,'Lista Infomoney'!B:F,4,FALSE)</f>
        <v/>
      </c>
      <c r="K384" s="6" t="str">
        <f>VLOOKUP(E384,'Lista Infomoney'!B:F,5,FALSE)</f>
        <v/>
      </c>
      <c r="O384"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v>
      </c>
    </row>
    <row r="385">
      <c r="A385" s="2">
        <v>2.0</v>
      </c>
      <c r="B385" s="2" t="s">
        <v>375</v>
      </c>
      <c r="C385" s="2" t="s">
        <v>2195</v>
      </c>
      <c r="D385" s="2" t="s">
        <v>2228</v>
      </c>
      <c r="E385" s="2" t="s">
        <v>2230</v>
      </c>
      <c r="F385" s="2" t="s">
        <v>2231</v>
      </c>
      <c r="G385" s="2" t="s">
        <v>1001</v>
      </c>
      <c r="H385" s="2" t="s">
        <v>2232</v>
      </c>
      <c r="I385" s="2" t="s">
        <v>2233</v>
      </c>
      <c r="O385"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v>
      </c>
    </row>
    <row r="386">
      <c r="A386" s="2">
        <v>1.0</v>
      </c>
      <c r="B386" s="2" t="s">
        <v>375</v>
      </c>
      <c r="C386" s="2" t="s">
        <v>2234</v>
      </c>
      <c r="D386" s="2" t="s">
        <v>2234</v>
      </c>
      <c r="E386" s="2" t="s">
        <v>473</v>
      </c>
      <c r="F386" s="2" t="s">
        <v>2235</v>
      </c>
      <c r="G386" s="2" t="s">
        <v>1001</v>
      </c>
      <c r="H386" s="22" t="str">
        <f>VLOOKUP(E386,'Lista Infomoney'!B:H,2,FALSE)</f>
        <v>ALSO3</v>
      </c>
      <c r="I386" s="6" t="str">
        <f>VLOOKUP(E386,'Lista Infomoney'!B:F,3,FALSE)</f>
        <v/>
      </c>
      <c r="J386" s="6" t="str">
        <f>VLOOKUP(E386,'Lista Infomoney'!B:F,4,FALSE)</f>
        <v/>
      </c>
      <c r="K386" s="6" t="str">
        <f>VLOOKUP(E386,'Lista Infomoney'!B:F,5,FALSE)</f>
        <v/>
      </c>
      <c r="O386"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v>
      </c>
    </row>
    <row r="387">
      <c r="A387" s="2">
        <v>1.0</v>
      </c>
      <c r="B387" s="2" t="s">
        <v>375</v>
      </c>
      <c r="C387" s="2" t="s">
        <v>2234</v>
      </c>
      <c r="D387" s="2" t="s">
        <v>2234</v>
      </c>
      <c r="E387" s="2" t="s">
        <v>493</v>
      </c>
      <c r="F387" s="2" t="s">
        <v>2236</v>
      </c>
      <c r="G387" s="2" t="s">
        <v>1001</v>
      </c>
      <c r="H387" s="22" t="str">
        <f>VLOOKUP(E387,'Lista Infomoney'!B:H,2,FALSE)</f>
        <v>BRML3</v>
      </c>
      <c r="I387" s="2" t="s">
        <v>2237</v>
      </c>
      <c r="J387" s="6" t="str">
        <f>VLOOKUP(E387,'Lista Infomoney'!B:F,4,FALSE)</f>
        <v/>
      </c>
      <c r="K387" s="6" t="str">
        <f>VLOOKUP(E387,'Lista Infomoney'!B:F,5,FALSE)</f>
        <v/>
      </c>
      <c r="O387"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v>
      </c>
    </row>
    <row r="388">
      <c r="A388" s="2">
        <v>1.0</v>
      </c>
      <c r="B388" s="2" t="s">
        <v>375</v>
      </c>
      <c r="C388" s="2" t="s">
        <v>2234</v>
      </c>
      <c r="D388" s="2" t="s">
        <v>2234</v>
      </c>
      <c r="E388" s="2" t="s">
        <v>444</v>
      </c>
      <c r="F388" s="2" t="s">
        <v>2238</v>
      </c>
      <c r="G388" s="2" t="s">
        <v>1001</v>
      </c>
      <c r="H388" s="22" t="str">
        <f>VLOOKUP(E388,'Lista Infomoney'!B:H,2,FALSE)</f>
        <v>BRPR3F</v>
      </c>
      <c r="I388" s="22" t="str">
        <f>VLOOKUP(E388,'Lista Infomoney'!B:F,3,FALSE)</f>
        <v>BRPR3</v>
      </c>
      <c r="J388" s="6" t="str">
        <f>VLOOKUP(E388,'Lista Infomoney'!B:F,4,FALSE)</f>
        <v/>
      </c>
      <c r="K388" s="6" t="str">
        <f>VLOOKUP(E388,'Lista Infomoney'!B:F,5,FALSE)</f>
        <v/>
      </c>
      <c r="O388"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v>
      </c>
    </row>
    <row r="389">
      <c r="A389" s="2">
        <v>2.0</v>
      </c>
      <c r="B389" s="2" t="s">
        <v>375</v>
      </c>
      <c r="C389" s="2" t="s">
        <v>2234</v>
      </c>
      <c r="D389" s="2" t="s">
        <v>2234</v>
      </c>
      <c r="E389" s="2" t="s">
        <v>2239</v>
      </c>
      <c r="F389" s="2" t="s">
        <v>2240</v>
      </c>
      <c r="G389" s="2"/>
      <c r="H389" s="2" t="s">
        <v>2241</v>
      </c>
      <c r="I389" s="2" t="s">
        <v>2242</v>
      </c>
      <c r="J389" s="2" t="s">
        <v>2243</v>
      </c>
      <c r="K389" s="2" t="s">
        <v>2244</v>
      </c>
      <c r="O389"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v>
      </c>
    </row>
    <row r="390">
      <c r="A390" s="2">
        <v>2.0</v>
      </c>
      <c r="B390" s="2" t="s">
        <v>375</v>
      </c>
      <c r="C390" s="2" t="s">
        <v>2234</v>
      </c>
      <c r="D390" s="2" t="s">
        <v>2234</v>
      </c>
      <c r="E390" s="2" t="s">
        <v>2245</v>
      </c>
      <c r="F390" s="2" t="s">
        <v>2246</v>
      </c>
      <c r="G390" s="2" t="s">
        <v>1001</v>
      </c>
      <c r="H390" s="2" t="s">
        <v>2247</v>
      </c>
      <c r="I390" s="2" t="s">
        <v>2248</v>
      </c>
      <c r="O390"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v>
      </c>
    </row>
    <row r="391">
      <c r="A391" s="2">
        <v>1.0</v>
      </c>
      <c r="B391" s="2" t="s">
        <v>375</v>
      </c>
      <c r="C391" s="2" t="s">
        <v>2234</v>
      </c>
      <c r="D391" s="2" t="s">
        <v>2234</v>
      </c>
      <c r="E391" s="2" t="s">
        <v>432</v>
      </c>
      <c r="F391" s="2" t="s">
        <v>2249</v>
      </c>
      <c r="G391" s="2" t="s">
        <v>1001</v>
      </c>
      <c r="H391" s="22" t="str">
        <f>VLOOKUP(E391,'Lista Infomoney'!B:H,2,FALSE)</f>
        <v>GSHP3F</v>
      </c>
      <c r="I391" s="22" t="str">
        <f>VLOOKUP(E391,'Lista Infomoney'!B:F,3,FALSE)</f>
        <v>GSHP3</v>
      </c>
      <c r="J391" s="6" t="str">
        <f>VLOOKUP(E391,'Lista Infomoney'!B:F,4,FALSE)</f>
        <v/>
      </c>
      <c r="K391" s="6" t="str">
        <f>VLOOKUP(E391,'Lista Infomoney'!B:F,5,FALSE)</f>
        <v/>
      </c>
      <c r="O391"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v>
      </c>
    </row>
    <row r="392">
      <c r="A392" s="2">
        <v>2.0</v>
      </c>
      <c r="B392" s="2" t="s">
        <v>375</v>
      </c>
      <c r="C392" s="2" t="s">
        <v>2234</v>
      </c>
      <c r="D392" s="2" t="s">
        <v>2234</v>
      </c>
      <c r="E392" s="2" t="s">
        <v>2250</v>
      </c>
      <c r="F392" s="2" t="s">
        <v>2251</v>
      </c>
      <c r="G392" s="2"/>
      <c r="H392" s="2" t="s">
        <v>2252</v>
      </c>
      <c r="I392" s="2" t="s">
        <v>2253</v>
      </c>
      <c r="J392" s="2" t="s">
        <v>2254</v>
      </c>
      <c r="K392" s="2" t="s">
        <v>2255</v>
      </c>
      <c r="L392" s="2" t="s">
        <v>2256</v>
      </c>
      <c r="M392" s="2" t="s">
        <v>2257</v>
      </c>
      <c r="O392"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v>
      </c>
    </row>
    <row r="393">
      <c r="A393" s="2">
        <v>1.0</v>
      </c>
      <c r="B393" s="2" t="s">
        <v>375</v>
      </c>
      <c r="C393" s="2" t="s">
        <v>2234</v>
      </c>
      <c r="D393" s="2" t="s">
        <v>2234</v>
      </c>
      <c r="E393" s="2" t="s">
        <v>429</v>
      </c>
      <c r="F393" s="2" t="s">
        <v>2258</v>
      </c>
      <c r="G393" s="2" t="s">
        <v>1433</v>
      </c>
      <c r="H393" s="22" t="str">
        <f>VLOOKUP(E393,'Lista Infomoney'!B:H,2,FALSE)</f>
        <v>IGBR3F</v>
      </c>
      <c r="I393" s="22" t="str">
        <f>VLOOKUP(E393,'Lista Infomoney'!B:F,3,FALSE)</f>
        <v>IGBR3</v>
      </c>
      <c r="J393" s="6" t="str">
        <f>VLOOKUP(E393,'Lista Infomoney'!B:F,4,FALSE)</f>
        <v/>
      </c>
      <c r="K393" s="6" t="str">
        <f>VLOOKUP(E393,'Lista Infomoney'!B:F,5,FALSE)</f>
        <v/>
      </c>
      <c r="O393"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v>
      </c>
    </row>
    <row r="394">
      <c r="A394" s="2">
        <v>1.0</v>
      </c>
      <c r="B394" s="2" t="s">
        <v>375</v>
      </c>
      <c r="C394" s="2" t="s">
        <v>2234</v>
      </c>
      <c r="D394" s="2" t="s">
        <v>2234</v>
      </c>
      <c r="E394" s="2" t="s">
        <v>2259</v>
      </c>
      <c r="F394" s="2" t="s">
        <v>2260</v>
      </c>
      <c r="G394" s="2" t="s">
        <v>1001</v>
      </c>
      <c r="H394" s="22" t="str">
        <f>VLOOKUP(E394,'Lista Infomoney'!B:H,2,FALSE)</f>
        <v>IGTA3</v>
      </c>
      <c r="I394" s="2" t="s">
        <v>2261</v>
      </c>
      <c r="J394" s="6" t="str">
        <f>VLOOKUP(E394,'Lista Infomoney'!B:F,4,FALSE)</f>
        <v/>
      </c>
      <c r="K394" s="6" t="str">
        <f>VLOOKUP(E394,'Lista Infomoney'!B:F,5,FALSE)</f>
        <v/>
      </c>
      <c r="O394"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v>
      </c>
    </row>
    <row r="395">
      <c r="A395" s="2">
        <v>2.0</v>
      </c>
      <c r="B395" s="2" t="s">
        <v>375</v>
      </c>
      <c r="C395" s="2" t="s">
        <v>2234</v>
      </c>
      <c r="D395" s="2" t="s">
        <v>2234</v>
      </c>
      <c r="E395" s="2" t="s">
        <v>2262</v>
      </c>
      <c r="F395" s="2" t="s">
        <v>2263</v>
      </c>
      <c r="G395" s="2"/>
      <c r="H395" s="2" t="s">
        <v>2264</v>
      </c>
      <c r="O395"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v>
      </c>
    </row>
    <row r="396">
      <c r="A396" s="2">
        <v>1.0</v>
      </c>
      <c r="B396" s="2" t="s">
        <v>375</v>
      </c>
      <c r="C396" s="2" t="s">
        <v>2234</v>
      </c>
      <c r="D396" s="2" t="s">
        <v>2234</v>
      </c>
      <c r="E396" s="2" t="s">
        <v>2265</v>
      </c>
      <c r="F396" s="2" t="s">
        <v>2266</v>
      </c>
      <c r="G396" s="2" t="s">
        <v>1001</v>
      </c>
      <c r="H396" s="22" t="str">
        <f>VLOOKUP(E396,'Lista Infomoney'!B:H,2,FALSE)</f>
        <v>LOGG3</v>
      </c>
      <c r="I396" s="6" t="str">
        <f>VLOOKUP(E396,'Lista Infomoney'!B:F,3,FALSE)</f>
        <v/>
      </c>
      <c r="J396" s="6" t="str">
        <f>VLOOKUP(E396,'Lista Infomoney'!B:F,4,FALSE)</f>
        <v/>
      </c>
      <c r="K396" s="6" t="str">
        <f>VLOOKUP(E396,'Lista Infomoney'!B:F,5,FALSE)</f>
        <v/>
      </c>
      <c r="O396"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v>
      </c>
    </row>
    <row r="397">
      <c r="A397" s="2">
        <v>2.0</v>
      </c>
      <c r="B397" s="2" t="s">
        <v>375</v>
      </c>
      <c r="C397" s="2" t="s">
        <v>2234</v>
      </c>
      <c r="D397" s="2" t="s">
        <v>2234</v>
      </c>
      <c r="E397" s="2" t="s">
        <v>2267</v>
      </c>
      <c r="F397" s="2" t="s">
        <v>2268</v>
      </c>
      <c r="G397" s="2" t="s">
        <v>1032</v>
      </c>
      <c r="H397" s="2" t="s">
        <v>2269</v>
      </c>
      <c r="I397" s="2" t="s">
        <v>2270</v>
      </c>
      <c r="O397"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v>
      </c>
    </row>
    <row r="398">
      <c r="A398" s="2">
        <v>1.0</v>
      </c>
      <c r="B398" s="2" t="s">
        <v>375</v>
      </c>
      <c r="C398" s="2" t="s">
        <v>2234</v>
      </c>
      <c r="D398" s="2" t="s">
        <v>2234</v>
      </c>
      <c r="E398" s="2" t="s">
        <v>2271</v>
      </c>
      <c r="F398" s="2" t="s">
        <v>2272</v>
      </c>
      <c r="G398" s="2" t="s">
        <v>1013</v>
      </c>
      <c r="H398" s="22" t="str">
        <f>VLOOKUP(E398,'Lista Infomoney'!B:H,2,FALSE)</f>
        <v>MULT3F</v>
      </c>
      <c r="I398" s="22" t="str">
        <f>VLOOKUP(E398,'Lista Infomoney'!B:F,3,FALSE)</f>
        <v>MULT3</v>
      </c>
      <c r="J398" s="6" t="str">
        <f>VLOOKUP(E398,'Lista Infomoney'!B:F,4,FALSE)</f>
        <v/>
      </c>
      <c r="K398" s="6" t="str">
        <f>VLOOKUP(E398,'Lista Infomoney'!B:F,5,FALSE)</f>
        <v/>
      </c>
      <c r="O398"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v>
      </c>
    </row>
    <row r="399">
      <c r="A399" s="2">
        <v>1.0</v>
      </c>
      <c r="B399" s="2" t="s">
        <v>375</v>
      </c>
      <c r="C399" s="2" t="s">
        <v>2234</v>
      </c>
      <c r="D399" s="2" t="s">
        <v>2234</v>
      </c>
      <c r="E399" s="2" t="s">
        <v>2273</v>
      </c>
      <c r="F399" s="2" t="s">
        <v>2274</v>
      </c>
      <c r="G399" s="2" t="s">
        <v>1001</v>
      </c>
      <c r="H399" s="22" t="str">
        <f>VLOOKUP(E399,'Lista Infomoney'!B:H,2,FALSE)</f>
        <v>SCAR3F</v>
      </c>
      <c r="I399" s="22" t="str">
        <f>VLOOKUP(E399,'Lista Infomoney'!B:F,3,FALSE)</f>
        <v>SCAR3</v>
      </c>
      <c r="J399" s="6" t="str">
        <f>VLOOKUP(E399,'Lista Infomoney'!B:F,4,FALSE)</f>
        <v/>
      </c>
      <c r="K399" s="6" t="str">
        <f>VLOOKUP(E399,'Lista Infomoney'!B:F,5,FALSE)</f>
        <v/>
      </c>
      <c r="O399"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v>
      </c>
    </row>
    <row r="400">
      <c r="A400" s="2">
        <v>1.0</v>
      </c>
      <c r="B400" s="2" t="s">
        <v>375</v>
      </c>
      <c r="C400" s="2" t="s">
        <v>2234</v>
      </c>
      <c r="D400" s="2" t="s">
        <v>2275</v>
      </c>
      <c r="E400" s="2" t="s">
        <v>441</v>
      </c>
      <c r="F400" s="2" t="s">
        <v>2276</v>
      </c>
      <c r="G400" s="2" t="s">
        <v>1001</v>
      </c>
      <c r="H400" s="22" t="str">
        <f>VLOOKUP(E400,'Lista Infomoney'!B:H,2,FALSE)</f>
        <v>BBRK3F</v>
      </c>
      <c r="I400" s="22" t="str">
        <f>VLOOKUP(E400,'Lista Infomoney'!B:F,3,FALSE)</f>
        <v>BBRK3</v>
      </c>
      <c r="J400" s="6" t="str">
        <f>VLOOKUP(E400,'Lista Infomoney'!B:F,4,FALSE)</f>
        <v/>
      </c>
      <c r="K400" s="6" t="str">
        <f>VLOOKUP(E400,'Lista Infomoney'!B:F,5,FALSE)</f>
        <v/>
      </c>
      <c r="O400"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v>
      </c>
    </row>
    <row r="401">
      <c r="A401" s="2">
        <v>1.0</v>
      </c>
      <c r="B401" s="2" t="s">
        <v>375</v>
      </c>
      <c r="C401" s="2" t="s">
        <v>2234</v>
      </c>
      <c r="D401" s="2" t="s">
        <v>2275</v>
      </c>
      <c r="E401" s="2" t="s">
        <v>423</v>
      </c>
      <c r="F401" s="2" t="s">
        <v>2277</v>
      </c>
      <c r="G401" s="2" t="s">
        <v>1001</v>
      </c>
      <c r="H401" s="22" t="str">
        <f>VLOOKUP(E401,'Lista Infomoney'!B:H,2,FALSE)</f>
        <v>LPSB3F</v>
      </c>
      <c r="I401" s="22" t="str">
        <f>VLOOKUP(E401,'Lista Infomoney'!B:F,3,FALSE)</f>
        <v>LPSB3</v>
      </c>
      <c r="J401" s="6" t="str">
        <f>VLOOKUP(E401,'Lista Infomoney'!B:F,4,FALSE)</f>
        <v/>
      </c>
      <c r="K401" s="6" t="str">
        <f>VLOOKUP(E401,'Lista Infomoney'!B:F,5,FALSE)</f>
        <v/>
      </c>
      <c r="O401"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v>
      </c>
    </row>
    <row r="402">
      <c r="A402" s="2">
        <v>2.0</v>
      </c>
      <c r="B402" s="2" t="s">
        <v>375</v>
      </c>
      <c r="C402" s="2" t="s">
        <v>2278</v>
      </c>
      <c r="D402" s="2" t="s">
        <v>2278</v>
      </c>
      <c r="E402" s="2" t="s">
        <v>2279</v>
      </c>
      <c r="F402" s="2" t="s">
        <v>2280</v>
      </c>
      <c r="G402" s="2"/>
      <c r="H402" s="2" t="s">
        <v>2281</v>
      </c>
      <c r="I402" s="2" t="s">
        <v>2282</v>
      </c>
      <c r="O402"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v>
      </c>
    </row>
    <row r="403">
      <c r="A403" s="2">
        <v>2.0</v>
      </c>
      <c r="B403" s="2" t="s">
        <v>375</v>
      </c>
      <c r="C403" s="2" t="s">
        <v>2278</v>
      </c>
      <c r="D403" s="2" t="s">
        <v>2278</v>
      </c>
      <c r="E403" s="2" t="s">
        <v>2283</v>
      </c>
      <c r="F403" s="2" t="s">
        <v>2284</v>
      </c>
      <c r="G403" s="2"/>
      <c r="H403" s="2" t="s">
        <v>2285</v>
      </c>
      <c r="I403" s="2" t="s">
        <v>2286</v>
      </c>
      <c r="J403" s="2" t="s">
        <v>2287</v>
      </c>
      <c r="K403" s="2" t="s">
        <v>2288</v>
      </c>
      <c r="O403"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v>
      </c>
    </row>
    <row r="404">
      <c r="A404" s="2">
        <v>1.0</v>
      </c>
      <c r="B404" s="2" t="s">
        <v>375</v>
      </c>
      <c r="C404" s="2" t="s">
        <v>2278</v>
      </c>
      <c r="D404" s="2" t="s">
        <v>2278</v>
      </c>
      <c r="E404" s="2" t="s">
        <v>2289</v>
      </c>
      <c r="F404" s="2" t="s">
        <v>2290</v>
      </c>
      <c r="G404" s="2" t="s">
        <v>1001</v>
      </c>
      <c r="H404" s="22" t="str">
        <f>VLOOKUP(E404,'Lista Infomoney'!B:H,2,FALSE)</f>
        <v>SIMH3F</v>
      </c>
      <c r="I404" s="22" t="str">
        <f>VLOOKUP(E404,'Lista Infomoney'!B:F,3,FALSE)</f>
        <v>SIMH3</v>
      </c>
      <c r="J404" s="6" t="str">
        <f>VLOOKUP(E404,'Lista Infomoney'!B:F,4,FALSE)</f>
        <v/>
      </c>
      <c r="K404" s="6" t="str">
        <f>VLOOKUP(E404,'Lista Infomoney'!B:F,5,FALSE)</f>
        <v/>
      </c>
      <c r="O404"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v>
      </c>
    </row>
    <row r="405">
      <c r="A405" s="2">
        <v>2.0</v>
      </c>
      <c r="B405" s="2" t="s">
        <v>375</v>
      </c>
      <c r="C405" s="2" t="s">
        <v>2291</v>
      </c>
      <c r="D405" s="2" t="s">
        <v>2291</v>
      </c>
      <c r="E405" s="2" t="s">
        <v>2292</v>
      </c>
      <c r="F405" s="24" t="s">
        <v>2293</v>
      </c>
      <c r="G405" s="2" t="s">
        <v>1032</v>
      </c>
      <c r="H405" s="6" t="s">
        <v>2293</v>
      </c>
      <c r="O405"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v>
      </c>
    </row>
    <row r="406">
      <c r="A406" s="2">
        <v>2.0</v>
      </c>
      <c r="B406" s="2" t="s">
        <v>375</v>
      </c>
      <c r="C406" s="2" t="s">
        <v>2291</v>
      </c>
      <c r="D406" s="2" t="s">
        <v>2291</v>
      </c>
      <c r="E406" s="2" t="s">
        <v>2294</v>
      </c>
      <c r="F406" s="24" t="s">
        <v>2295</v>
      </c>
      <c r="G406" s="2" t="s">
        <v>1032</v>
      </c>
      <c r="H406" s="6" t="s">
        <v>2295</v>
      </c>
      <c r="O406"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v>
      </c>
    </row>
    <row r="407">
      <c r="A407" s="2">
        <v>2.0</v>
      </c>
      <c r="B407" s="2" t="s">
        <v>375</v>
      </c>
      <c r="C407" s="2" t="s">
        <v>2291</v>
      </c>
      <c r="D407" s="2" t="s">
        <v>2291</v>
      </c>
      <c r="E407" s="2" t="s">
        <v>2296</v>
      </c>
      <c r="F407" s="24" t="s">
        <v>2297</v>
      </c>
      <c r="G407" s="2" t="s">
        <v>1032</v>
      </c>
      <c r="H407" s="6" t="s">
        <v>2297</v>
      </c>
      <c r="O407"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v>
      </c>
    </row>
    <row r="408">
      <c r="A408" s="2">
        <v>2.0</v>
      </c>
      <c r="B408" s="2" t="s">
        <v>566</v>
      </c>
      <c r="C408" s="2" t="s">
        <v>566</v>
      </c>
      <c r="D408" s="2" t="s">
        <v>566</v>
      </c>
      <c r="E408" s="2" t="s">
        <v>2298</v>
      </c>
      <c r="F408" s="2" t="s">
        <v>2299</v>
      </c>
      <c r="G408" s="2" t="s">
        <v>1032</v>
      </c>
      <c r="H408" s="2" t="s">
        <v>2300</v>
      </c>
      <c r="I408" s="2" t="s">
        <v>2301</v>
      </c>
      <c r="O408"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v>
      </c>
    </row>
    <row r="409">
      <c r="A409" s="2">
        <v>2.0</v>
      </c>
      <c r="B409" s="2" t="s">
        <v>566</v>
      </c>
      <c r="C409" s="2" t="s">
        <v>566</v>
      </c>
      <c r="D409" s="2" t="s">
        <v>566</v>
      </c>
      <c r="E409" s="2" t="s">
        <v>2302</v>
      </c>
      <c r="F409" s="2" t="s">
        <v>2303</v>
      </c>
      <c r="G409" s="2" t="s">
        <v>1032</v>
      </c>
      <c r="H409" s="2" t="s">
        <v>2304</v>
      </c>
      <c r="I409" s="2" t="s">
        <v>2305</v>
      </c>
      <c r="O409"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v>
      </c>
    </row>
    <row r="410">
      <c r="A410" s="2">
        <v>2.0</v>
      </c>
      <c r="B410" s="2" t="s">
        <v>566</v>
      </c>
      <c r="C410" s="2" t="s">
        <v>566</v>
      </c>
      <c r="D410" s="2" t="s">
        <v>566</v>
      </c>
      <c r="E410" s="2" t="s">
        <v>2306</v>
      </c>
      <c r="F410" s="2" t="s">
        <v>2307</v>
      </c>
      <c r="G410" s="2"/>
      <c r="H410" s="2" t="s">
        <v>2308</v>
      </c>
      <c r="I410" s="2" t="s">
        <v>2309</v>
      </c>
      <c r="O410"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v>
      </c>
    </row>
    <row r="411">
      <c r="A411" s="2">
        <v>2.0</v>
      </c>
      <c r="B411" s="2" t="s">
        <v>566</v>
      </c>
      <c r="C411" s="2" t="s">
        <v>566</v>
      </c>
      <c r="D411" s="2" t="s">
        <v>566</v>
      </c>
      <c r="E411" s="2" t="s">
        <v>2310</v>
      </c>
      <c r="F411" s="2" t="s">
        <v>2311</v>
      </c>
      <c r="G411" s="2" t="s">
        <v>1032</v>
      </c>
      <c r="H411" s="2" t="s">
        <v>2312</v>
      </c>
      <c r="I411" s="2" t="s">
        <v>2313</v>
      </c>
      <c r="O411"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v>
      </c>
    </row>
    <row r="412">
      <c r="A412" s="2">
        <v>2.0</v>
      </c>
      <c r="B412" s="2" t="s">
        <v>566</v>
      </c>
      <c r="C412" s="2" t="s">
        <v>566</v>
      </c>
      <c r="D412" s="2" t="s">
        <v>566</v>
      </c>
      <c r="E412" s="2" t="s">
        <v>2314</v>
      </c>
      <c r="F412" s="2" t="s">
        <v>2315</v>
      </c>
      <c r="G412" s="2" t="s">
        <v>1032</v>
      </c>
      <c r="H412" s="2" t="s">
        <v>2316</v>
      </c>
      <c r="I412" s="2" t="s">
        <v>2317</v>
      </c>
      <c r="O412"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v>
      </c>
    </row>
    <row r="413">
      <c r="A413" s="2">
        <v>2.0</v>
      </c>
      <c r="B413" s="2" t="s">
        <v>566</v>
      </c>
      <c r="C413" s="2" t="s">
        <v>566</v>
      </c>
      <c r="D413" s="2" t="s">
        <v>566</v>
      </c>
      <c r="E413" s="2" t="s">
        <v>2318</v>
      </c>
      <c r="F413" s="2" t="s">
        <v>2319</v>
      </c>
      <c r="G413" s="2" t="s">
        <v>1032</v>
      </c>
      <c r="H413" s="2" t="s">
        <v>2320</v>
      </c>
      <c r="I413" s="2" t="s">
        <v>2321</v>
      </c>
      <c r="O413"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v>
      </c>
    </row>
    <row r="414">
      <c r="A414" s="2">
        <v>2.0</v>
      </c>
      <c r="B414" s="2" t="s">
        <v>566</v>
      </c>
      <c r="C414" s="2" t="s">
        <v>566</v>
      </c>
      <c r="D414" s="2" t="s">
        <v>566</v>
      </c>
      <c r="E414" s="2" t="s">
        <v>2322</v>
      </c>
      <c r="F414" s="2" t="s">
        <v>2323</v>
      </c>
      <c r="G414" s="2"/>
      <c r="H414" s="2" t="s">
        <v>2324</v>
      </c>
      <c r="I414" s="2" t="s">
        <v>2325</v>
      </c>
      <c r="J414" s="2" t="s">
        <v>2326</v>
      </c>
      <c r="K414" s="2" t="s">
        <v>2327</v>
      </c>
      <c r="O414"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v>
      </c>
    </row>
    <row r="415">
      <c r="A415" s="2">
        <v>2.0</v>
      </c>
      <c r="B415" s="2" t="s">
        <v>566</v>
      </c>
      <c r="C415" s="2" t="s">
        <v>566</v>
      </c>
      <c r="D415" s="2" t="s">
        <v>566</v>
      </c>
      <c r="E415" s="2" t="s">
        <v>2328</v>
      </c>
      <c r="F415" s="2" t="s">
        <v>2329</v>
      </c>
      <c r="G415" s="2"/>
      <c r="H415" s="2" t="s">
        <v>2330</v>
      </c>
      <c r="I415" s="2" t="s">
        <v>2331</v>
      </c>
      <c r="J415" s="2" t="s">
        <v>2332</v>
      </c>
      <c r="K415" s="2" t="s">
        <v>2333</v>
      </c>
      <c r="O415"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v>
      </c>
    </row>
    <row r="416">
      <c r="A416" s="2">
        <v>2.0</v>
      </c>
      <c r="B416" s="2" t="s">
        <v>566</v>
      </c>
      <c r="C416" s="2" t="s">
        <v>566</v>
      </c>
      <c r="D416" s="2" t="s">
        <v>566</v>
      </c>
      <c r="E416" s="2" t="s">
        <v>2334</v>
      </c>
      <c r="F416" s="2" t="s">
        <v>2335</v>
      </c>
      <c r="G416" s="2" t="s">
        <v>1032</v>
      </c>
      <c r="H416" s="2" t="s">
        <v>2336</v>
      </c>
      <c r="I416" s="2" t="s">
        <v>2337</v>
      </c>
      <c r="O416"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v>
      </c>
    </row>
    <row r="417">
      <c r="A417" s="2">
        <v>2.0</v>
      </c>
      <c r="B417" s="2" t="s">
        <v>566</v>
      </c>
      <c r="C417" s="2" t="s">
        <v>566</v>
      </c>
      <c r="D417" s="2" t="s">
        <v>566</v>
      </c>
      <c r="E417" s="2" t="s">
        <v>2338</v>
      </c>
      <c r="F417" s="2" t="s">
        <v>2339</v>
      </c>
      <c r="G417" s="2"/>
      <c r="H417" s="2" t="s">
        <v>2340</v>
      </c>
      <c r="I417" s="2" t="s">
        <v>2341</v>
      </c>
      <c r="J417" s="2" t="s">
        <v>2342</v>
      </c>
      <c r="K417" s="2" t="s">
        <v>2343</v>
      </c>
      <c r="O417"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v>
      </c>
    </row>
    <row r="418">
      <c r="A418" s="2">
        <v>2.0</v>
      </c>
      <c r="B418" s="2" t="s">
        <v>566</v>
      </c>
      <c r="C418" s="2" t="s">
        <v>566</v>
      </c>
      <c r="D418" s="2" t="s">
        <v>566</v>
      </c>
      <c r="E418" s="2" t="s">
        <v>2344</v>
      </c>
      <c r="F418" s="2" t="s">
        <v>2345</v>
      </c>
      <c r="G418" s="2"/>
      <c r="H418" s="2" t="s">
        <v>2346</v>
      </c>
      <c r="I418" s="2" t="s">
        <v>2347</v>
      </c>
      <c r="J418" s="2" t="s">
        <v>2348</v>
      </c>
      <c r="K418" s="2" t="s">
        <v>2349</v>
      </c>
      <c r="O418"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v>
      </c>
    </row>
    <row r="419">
      <c r="A419" s="2">
        <v>2.0</v>
      </c>
      <c r="B419" s="2" t="s">
        <v>566</v>
      </c>
      <c r="C419" s="2" t="s">
        <v>566</v>
      </c>
      <c r="D419" s="2" t="s">
        <v>566</v>
      </c>
      <c r="E419" s="2" t="s">
        <v>2350</v>
      </c>
      <c r="F419" s="24" t="s">
        <v>2351</v>
      </c>
      <c r="G419" s="2"/>
      <c r="H419" s="6" t="s">
        <v>2351</v>
      </c>
      <c r="O419"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v>
      </c>
    </row>
    <row r="420">
      <c r="A420" s="2">
        <v>2.0</v>
      </c>
      <c r="B420" s="2" t="s">
        <v>566</v>
      </c>
      <c r="C420" s="2" t="s">
        <v>566</v>
      </c>
      <c r="D420" s="2" t="s">
        <v>566</v>
      </c>
      <c r="E420" s="2" t="s">
        <v>2352</v>
      </c>
      <c r="F420" s="2" t="s">
        <v>2353</v>
      </c>
      <c r="G420" s="2" t="s">
        <v>1032</v>
      </c>
      <c r="H420" s="2" t="s">
        <v>2354</v>
      </c>
      <c r="I420" s="2" t="s">
        <v>2355</v>
      </c>
      <c r="O420"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v>
      </c>
    </row>
    <row r="421">
      <c r="A421" s="2">
        <v>2.0</v>
      </c>
      <c r="B421" s="2" t="s">
        <v>566</v>
      </c>
      <c r="C421" s="2" t="s">
        <v>566</v>
      </c>
      <c r="D421" s="2" t="s">
        <v>566</v>
      </c>
      <c r="E421" s="2" t="s">
        <v>2356</v>
      </c>
      <c r="F421" s="2" t="s">
        <v>2357</v>
      </c>
      <c r="G421" s="2"/>
      <c r="H421" s="2" t="s">
        <v>2358</v>
      </c>
      <c r="I421" s="2" t="s">
        <v>2359</v>
      </c>
      <c r="O421"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v>
      </c>
    </row>
    <row r="422">
      <c r="A422" s="2">
        <v>2.0</v>
      </c>
      <c r="B422" s="2" t="s">
        <v>566</v>
      </c>
      <c r="C422" s="2" t="s">
        <v>566</v>
      </c>
      <c r="D422" s="2" t="s">
        <v>566</v>
      </c>
      <c r="E422" s="2" t="s">
        <v>2360</v>
      </c>
      <c r="F422" s="2" t="s">
        <v>2361</v>
      </c>
      <c r="G422" s="2" t="s">
        <v>1032</v>
      </c>
      <c r="H422" s="2" t="s">
        <v>2362</v>
      </c>
      <c r="I422" s="2" t="s">
        <v>2363</v>
      </c>
      <c r="O422"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v>
      </c>
    </row>
    <row r="423">
      <c r="A423" s="2">
        <v>2.0</v>
      </c>
      <c r="B423" s="2" t="s">
        <v>566</v>
      </c>
      <c r="C423" s="2" t="s">
        <v>566</v>
      </c>
      <c r="D423" s="2" t="s">
        <v>566</v>
      </c>
      <c r="E423" s="2" t="s">
        <v>2364</v>
      </c>
      <c r="F423" s="2" t="s">
        <v>2365</v>
      </c>
      <c r="G423" s="2" t="s">
        <v>1032</v>
      </c>
      <c r="H423" s="2" t="s">
        <v>2366</v>
      </c>
      <c r="I423" s="2" t="s">
        <v>2367</v>
      </c>
      <c r="O423"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v>
      </c>
    </row>
    <row r="424">
      <c r="A424" s="2">
        <v>2.0</v>
      </c>
      <c r="B424" s="2" t="s">
        <v>566</v>
      </c>
      <c r="C424" s="2" t="s">
        <v>566</v>
      </c>
      <c r="D424" s="2" t="s">
        <v>566</v>
      </c>
      <c r="E424" s="2" t="s">
        <v>2368</v>
      </c>
      <c r="F424" s="2" t="s">
        <v>2369</v>
      </c>
      <c r="G424" s="2" t="s">
        <v>1032</v>
      </c>
      <c r="H424" s="2" t="s">
        <v>2370</v>
      </c>
      <c r="I424" s="2" t="s">
        <v>2371</v>
      </c>
      <c r="O424"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v>
      </c>
    </row>
    <row r="425">
      <c r="A425" s="2">
        <v>2.0</v>
      </c>
      <c r="B425" s="2" t="s">
        <v>566</v>
      </c>
      <c r="C425" s="2" t="s">
        <v>566</v>
      </c>
      <c r="D425" s="2" t="s">
        <v>566</v>
      </c>
      <c r="E425" s="2" t="s">
        <v>2372</v>
      </c>
      <c r="F425" s="2" t="s">
        <v>2373</v>
      </c>
      <c r="G425" s="2" t="s">
        <v>1032</v>
      </c>
      <c r="H425" s="2" t="s">
        <v>2374</v>
      </c>
      <c r="I425" s="2" t="s">
        <v>2375</v>
      </c>
      <c r="O425"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v>
      </c>
    </row>
    <row r="426">
      <c r="A426" s="2">
        <v>0.0</v>
      </c>
      <c r="B426" s="2" t="s">
        <v>566</v>
      </c>
      <c r="C426" s="2" t="s">
        <v>566</v>
      </c>
      <c r="D426" s="2" t="s">
        <v>566</v>
      </c>
      <c r="E426" s="2" t="s">
        <v>5</v>
      </c>
      <c r="F426" s="2" t="s">
        <v>2376</v>
      </c>
      <c r="G426" s="2" t="s">
        <v>1433</v>
      </c>
      <c r="H426" s="6" t="s">
        <v>6</v>
      </c>
      <c r="O426"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v>
      </c>
    </row>
    <row r="427">
      <c r="A427" s="2">
        <v>0.0</v>
      </c>
      <c r="B427" s="2" t="s">
        <v>1823</v>
      </c>
      <c r="C427" s="2" t="s">
        <v>845</v>
      </c>
      <c r="D427" s="2" t="s">
        <v>845</v>
      </c>
      <c r="E427" s="2" t="s">
        <v>832</v>
      </c>
      <c r="F427" s="2" t="s">
        <v>2377</v>
      </c>
      <c r="G427" s="2" t="s">
        <v>2378</v>
      </c>
      <c r="H427" s="30" t="s">
        <v>833</v>
      </c>
      <c r="I427" s="30" t="s">
        <v>866</v>
      </c>
      <c r="O427"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v>
      </c>
    </row>
    <row r="428">
      <c r="A428" s="2">
        <v>0.0</v>
      </c>
      <c r="B428" s="2" t="s">
        <v>1823</v>
      </c>
      <c r="C428" s="2" t="s">
        <v>845</v>
      </c>
      <c r="D428" s="2" t="s">
        <v>845</v>
      </c>
      <c r="E428" s="31" t="s">
        <v>846</v>
      </c>
      <c r="F428" s="2" t="s">
        <v>2379</v>
      </c>
      <c r="G428" s="2" t="s">
        <v>2378</v>
      </c>
      <c r="H428" s="30" t="s">
        <v>847</v>
      </c>
      <c r="I428" s="30" t="s">
        <v>848</v>
      </c>
      <c r="L428" s="2" t="s">
        <v>2380</v>
      </c>
      <c r="O428"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v>
      </c>
    </row>
    <row r="429">
      <c r="A429" s="2">
        <v>0.0</v>
      </c>
      <c r="B429" s="2" t="s">
        <v>800</v>
      </c>
      <c r="C429" s="2" t="s">
        <v>1806</v>
      </c>
      <c r="D429" s="2" t="s">
        <v>1806</v>
      </c>
      <c r="E429" s="2" t="s">
        <v>843</v>
      </c>
      <c r="F429" s="2" t="s">
        <v>2381</v>
      </c>
      <c r="G429" s="2" t="s">
        <v>2378</v>
      </c>
      <c r="H429" s="30" t="s">
        <v>828</v>
      </c>
      <c r="I429" s="30" t="s">
        <v>844</v>
      </c>
      <c r="L429" s="2" t="s">
        <v>2380</v>
      </c>
      <c r="O429"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v>
      </c>
    </row>
    <row r="430">
      <c r="A430" s="2">
        <v>0.0</v>
      </c>
      <c r="B430" s="2" t="s">
        <v>800</v>
      </c>
      <c r="C430" s="2" t="s">
        <v>1804</v>
      </c>
      <c r="D430" s="2" t="s">
        <v>1804</v>
      </c>
      <c r="E430" s="2" t="s">
        <v>834</v>
      </c>
      <c r="F430" s="2" t="s">
        <v>2382</v>
      </c>
      <c r="G430" s="2" t="s">
        <v>2378</v>
      </c>
      <c r="H430" s="30" t="s">
        <v>835</v>
      </c>
      <c r="I430" s="30" t="s">
        <v>836</v>
      </c>
      <c r="L430" s="2" t="s">
        <v>2380</v>
      </c>
      <c r="O430"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v>
      </c>
    </row>
    <row r="431">
      <c r="A431" s="2">
        <v>0.0</v>
      </c>
      <c r="B431" s="2" t="s">
        <v>800</v>
      </c>
      <c r="C431" s="2" t="s">
        <v>1804</v>
      </c>
      <c r="D431" s="2" t="s">
        <v>1804</v>
      </c>
      <c r="E431" s="2" t="s">
        <v>829</v>
      </c>
      <c r="F431" s="2" t="s">
        <v>2383</v>
      </c>
      <c r="G431" s="2" t="s">
        <v>2378</v>
      </c>
      <c r="H431" s="30" t="s">
        <v>830</v>
      </c>
      <c r="I431" s="30" t="s">
        <v>831</v>
      </c>
      <c r="L431" s="2" t="s">
        <v>2380</v>
      </c>
      <c r="O431"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v>
      </c>
    </row>
    <row r="432">
      <c r="A432" s="2">
        <v>0.0</v>
      </c>
      <c r="B432" s="2" t="s">
        <v>800</v>
      </c>
      <c r="C432" s="2" t="s">
        <v>1804</v>
      </c>
      <c r="D432" s="2" t="s">
        <v>1804</v>
      </c>
      <c r="E432" s="2" t="s">
        <v>824</v>
      </c>
      <c r="F432" s="2" t="s">
        <v>2384</v>
      </c>
      <c r="G432" s="2" t="s">
        <v>2378</v>
      </c>
      <c r="H432" s="30" t="s">
        <v>825</v>
      </c>
      <c r="I432" s="30" t="s">
        <v>826</v>
      </c>
      <c r="L432" s="2"/>
      <c r="O432"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v>
      </c>
    </row>
    <row r="433">
      <c r="A433" s="2">
        <v>0.0</v>
      </c>
      <c r="B433" s="2" t="s">
        <v>800</v>
      </c>
      <c r="C433" s="2" t="s">
        <v>1804</v>
      </c>
      <c r="D433" s="2" t="s">
        <v>1804</v>
      </c>
      <c r="E433" s="2" t="s">
        <v>821</v>
      </c>
      <c r="F433" s="2" t="s">
        <v>2385</v>
      </c>
      <c r="G433" s="2" t="s">
        <v>2378</v>
      </c>
      <c r="H433" s="30" t="s">
        <v>822</v>
      </c>
      <c r="I433" s="30" t="s">
        <v>823</v>
      </c>
      <c r="L433" s="2" t="s">
        <v>2380</v>
      </c>
      <c r="O433"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 OR IBM</v>
      </c>
    </row>
    <row r="434">
      <c r="A434" s="2">
        <v>0.0</v>
      </c>
      <c r="B434" s="2" t="s">
        <v>800</v>
      </c>
      <c r="C434" s="2" t="s">
        <v>1806</v>
      </c>
      <c r="D434" s="2" t="s">
        <v>1806</v>
      </c>
      <c r="E434" s="2" t="s">
        <v>818</v>
      </c>
      <c r="F434" s="2" t="s">
        <v>2386</v>
      </c>
      <c r="G434" s="2" t="s">
        <v>2378</v>
      </c>
      <c r="H434" s="30" t="s">
        <v>819</v>
      </c>
      <c r="I434" s="30" t="s">
        <v>820</v>
      </c>
      <c r="L434" s="2"/>
      <c r="O434"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 OR IBM OR Microsoft</v>
      </c>
    </row>
    <row r="435">
      <c r="A435" s="2">
        <v>0.0</v>
      </c>
      <c r="B435" s="2" t="s">
        <v>800</v>
      </c>
      <c r="C435" s="2" t="s">
        <v>1806</v>
      </c>
      <c r="D435" s="2" t="s">
        <v>1806</v>
      </c>
      <c r="E435" s="2" t="s">
        <v>815</v>
      </c>
      <c r="F435" s="2" t="s">
        <v>2387</v>
      </c>
      <c r="G435" s="2" t="s">
        <v>2378</v>
      </c>
      <c r="H435" s="30" t="s">
        <v>816</v>
      </c>
      <c r="I435" s="30" t="s">
        <v>817</v>
      </c>
      <c r="L435" s="2" t="s">
        <v>2380</v>
      </c>
      <c r="O435"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 OR IBM OR Microsoft OR Oracle</v>
      </c>
    </row>
    <row r="436">
      <c r="A436" s="2">
        <v>0.0</v>
      </c>
      <c r="B436" s="2" t="s">
        <v>800</v>
      </c>
      <c r="C436" s="2" t="s">
        <v>1806</v>
      </c>
      <c r="D436" s="2" t="s">
        <v>1806</v>
      </c>
      <c r="E436" s="2" t="s">
        <v>812</v>
      </c>
      <c r="F436" s="2" t="s">
        <v>2388</v>
      </c>
      <c r="G436" s="2" t="s">
        <v>2378</v>
      </c>
      <c r="H436" s="30" t="s">
        <v>813</v>
      </c>
      <c r="I436" s="30" t="s">
        <v>814</v>
      </c>
      <c r="L436" s="2" t="s">
        <v>2380</v>
      </c>
      <c r="O436"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 OR IBM OR Microsoft OR Oracle OR Qualcomm</v>
      </c>
    </row>
    <row r="437">
      <c r="A437" s="2">
        <v>0.0</v>
      </c>
      <c r="B437" s="2" t="s">
        <v>800</v>
      </c>
      <c r="C437" s="2" t="s">
        <v>1804</v>
      </c>
      <c r="D437" s="2" t="s">
        <v>1804</v>
      </c>
      <c r="E437" s="2" t="s">
        <v>809</v>
      </c>
      <c r="F437" s="2" t="s">
        <v>2389</v>
      </c>
      <c r="G437" s="2" t="s">
        <v>2378</v>
      </c>
      <c r="H437" s="30" t="s">
        <v>810</v>
      </c>
      <c r="I437" s="30" t="s">
        <v>811</v>
      </c>
      <c r="L437" s="2" t="s">
        <v>2380</v>
      </c>
      <c r="O437"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 OR IBM OR Microsoft OR Oracle OR Qualcomm OR Xerox</v>
      </c>
    </row>
    <row r="438">
      <c r="A438" s="2">
        <v>0.0</v>
      </c>
      <c r="B438" s="2" t="s">
        <v>800</v>
      </c>
      <c r="C438" s="2" t="s">
        <v>1804</v>
      </c>
      <c r="D438" s="2" t="s">
        <v>1804</v>
      </c>
      <c r="E438" s="2" t="s">
        <v>806</v>
      </c>
      <c r="F438" s="2" t="s">
        <v>2390</v>
      </c>
      <c r="G438" s="2" t="s">
        <v>2378</v>
      </c>
      <c r="H438" s="30" t="s">
        <v>807</v>
      </c>
      <c r="I438" s="30" t="s">
        <v>808</v>
      </c>
      <c r="L438" s="2" t="s">
        <v>2380</v>
      </c>
      <c r="O438"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 OR IBM OR Microsoft OR Oracle OR Qualcomm OR Xerox OR Abbott Laboratories</v>
      </c>
    </row>
    <row r="439">
      <c r="A439" s="2">
        <v>0.0</v>
      </c>
      <c r="B439" s="2" t="s">
        <v>756</v>
      </c>
      <c r="C439" s="2" t="s">
        <v>1753</v>
      </c>
      <c r="D439" s="2" t="s">
        <v>1753</v>
      </c>
      <c r="E439" s="2" t="s">
        <v>68</v>
      </c>
      <c r="F439" s="2" t="s">
        <v>2391</v>
      </c>
      <c r="G439" s="2" t="s">
        <v>2378</v>
      </c>
      <c r="H439" s="32" t="s">
        <v>2392</v>
      </c>
      <c r="L439" s="2" t="s">
        <v>2380</v>
      </c>
      <c r="O439"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 OR IBM OR Microsoft OR Oracle OR Qualcomm OR Xerox OR Abbott Laboratories OR Bristolmyers</v>
      </c>
    </row>
    <row r="440">
      <c r="A440" s="2">
        <v>0.0</v>
      </c>
      <c r="B440" s="2" t="s">
        <v>756</v>
      </c>
      <c r="C440" s="2" t="s">
        <v>1753</v>
      </c>
      <c r="D440" s="2" t="s">
        <v>1753</v>
      </c>
      <c r="E440" s="2" t="s">
        <v>60</v>
      </c>
      <c r="F440" s="2" t="s">
        <v>2393</v>
      </c>
      <c r="G440" s="2" t="s">
        <v>2378</v>
      </c>
      <c r="H440" s="33" t="s">
        <v>61</v>
      </c>
      <c r="I440" s="33" t="s">
        <v>799</v>
      </c>
      <c r="L440" s="2" t="s">
        <v>2380</v>
      </c>
      <c r="O440"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 OR IBM OR Microsoft OR Oracle OR Qualcomm OR Xerox OR Abbott Laboratories OR Bristolmyers OR Johnson</v>
      </c>
    </row>
    <row r="441">
      <c r="A441" s="2">
        <v>0.0</v>
      </c>
      <c r="B441" s="2" t="s">
        <v>756</v>
      </c>
      <c r="C441" s="2" t="s">
        <v>1753</v>
      </c>
      <c r="D441" s="2" t="s">
        <v>1753</v>
      </c>
      <c r="E441" s="2" t="s">
        <v>51</v>
      </c>
      <c r="F441" s="2" t="s">
        <v>2394</v>
      </c>
      <c r="G441" s="2" t="s">
        <v>2378</v>
      </c>
      <c r="H441" s="30" t="s">
        <v>52</v>
      </c>
      <c r="I441" s="30" t="s">
        <v>794</v>
      </c>
      <c r="L441" s="2" t="s">
        <v>2380</v>
      </c>
      <c r="O441"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 OR IBM OR Microsoft OR Oracle OR Qualcomm OR Xerox OR Abbott Laboratories OR Bristolmyers OR Johnson OR Merck</v>
      </c>
    </row>
    <row r="442">
      <c r="A442" s="2">
        <v>0.0</v>
      </c>
      <c r="B442" s="2" t="s">
        <v>756</v>
      </c>
      <c r="C442" s="2" t="s">
        <v>1753</v>
      </c>
      <c r="D442" s="2" t="s">
        <v>1753</v>
      </c>
      <c r="E442" s="2" t="s">
        <v>770</v>
      </c>
      <c r="F442" s="2" t="s">
        <v>2395</v>
      </c>
      <c r="G442" s="2" t="s">
        <v>2378</v>
      </c>
      <c r="H442" s="30" t="s">
        <v>771</v>
      </c>
      <c r="I442" s="30" t="s">
        <v>772</v>
      </c>
      <c r="L442" s="2" t="s">
        <v>2380</v>
      </c>
      <c r="O442"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 OR IBM OR Microsoft OR Oracle OR Qualcomm OR Xerox OR Abbott Laboratories OR Bristolmyers OR Johnson OR Merck OR Pfizer</v>
      </c>
    </row>
    <row r="443">
      <c r="A443" s="2">
        <v>0.0</v>
      </c>
      <c r="B443" s="2" t="s">
        <v>756</v>
      </c>
      <c r="C443" s="2" t="s">
        <v>1753</v>
      </c>
      <c r="D443" s="2" t="s">
        <v>1753</v>
      </c>
      <c r="E443" s="2" t="s">
        <v>767</v>
      </c>
      <c r="F443" s="2" t="s">
        <v>2396</v>
      </c>
      <c r="G443" s="2" t="s">
        <v>2378</v>
      </c>
      <c r="H443" s="30" t="s">
        <v>768</v>
      </c>
      <c r="I443" s="30" t="s">
        <v>769</v>
      </c>
      <c r="L443" s="2" t="s">
        <v>2380</v>
      </c>
      <c r="O443"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 OR IBM OR Microsoft OR Oracle OR Qualcomm OR Xerox OR Abbott Laboratories OR Bristolmyers OR Johnson OR Merck OR Pfizer OR Exxon Mobile</v>
      </c>
    </row>
    <row r="444">
      <c r="A444" s="2">
        <v>0.0</v>
      </c>
      <c r="B444" s="2" t="s">
        <v>2397</v>
      </c>
      <c r="C444" s="2" t="s">
        <v>2397</v>
      </c>
      <c r="D444" s="2" t="s">
        <v>2398</v>
      </c>
      <c r="E444" s="2" t="s">
        <v>56</v>
      </c>
      <c r="F444" s="2" t="s">
        <v>2399</v>
      </c>
      <c r="G444" s="2" t="s">
        <v>2378</v>
      </c>
      <c r="H444" s="30" t="s">
        <v>57</v>
      </c>
      <c r="I444" s="30" t="s">
        <v>753</v>
      </c>
      <c r="L444" s="2" t="s">
        <v>2380</v>
      </c>
      <c r="O444"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 OR IBM OR Microsoft OR Oracle OR Qualcomm OR Xerox OR Abbott Laboratories OR Bristolmyers OR Johnson OR Merck OR Pfizer OR Exxon Mobile OR Chevron</v>
      </c>
    </row>
    <row r="445">
      <c r="A445" s="2">
        <v>0.0</v>
      </c>
      <c r="B445" s="2" t="s">
        <v>2397</v>
      </c>
      <c r="C445" s="2" t="s">
        <v>2397</v>
      </c>
      <c r="D445" s="2" t="s">
        <v>2398</v>
      </c>
      <c r="E445" s="2" t="s">
        <v>727</v>
      </c>
      <c r="F445" s="2" t="s">
        <v>2400</v>
      </c>
      <c r="G445" s="2" t="s">
        <v>2378</v>
      </c>
      <c r="H445" s="30" t="s">
        <v>728</v>
      </c>
      <c r="I445" s="33" t="s">
        <v>729</v>
      </c>
      <c r="L445" s="2" t="s">
        <v>2380</v>
      </c>
      <c r="O445"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 OR IBM OR Microsoft OR Oracle OR Qualcomm OR Xerox OR Abbott Laboratories OR Bristolmyers OR Johnson OR Merck OR Pfizer OR Exxon Mobile OR Chevron OR Cophillips</v>
      </c>
    </row>
    <row r="446">
      <c r="A446" s="2">
        <v>0.0</v>
      </c>
      <c r="B446" s="2" t="s">
        <v>2397</v>
      </c>
      <c r="C446" s="2" t="s">
        <v>2397</v>
      </c>
      <c r="D446" s="2" t="s">
        <v>2398</v>
      </c>
      <c r="E446" s="2" t="s">
        <v>725</v>
      </c>
      <c r="F446" s="2" t="s">
        <v>2401</v>
      </c>
      <c r="G446" s="2" t="s">
        <v>2378</v>
      </c>
      <c r="H446" s="30" t="s">
        <v>726</v>
      </c>
      <c r="I446" s="34" t="s">
        <v>2402</v>
      </c>
      <c r="L446" s="2" t="s">
        <v>2380</v>
      </c>
      <c r="O446"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 OR IBM OR Microsoft OR Oracle OR Qualcomm OR Xerox OR Abbott Laboratories OR Bristolmyers OR Johnson OR Merck OR Pfizer OR Exxon Mobile OR Chevron OR Cophillips OR Halliburton</v>
      </c>
    </row>
    <row r="447">
      <c r="A447" s="2">
        <v>0.0</v>
      </c>
      <c r="B447" s="2" t="s">
        <v>2397</v>
      </c>
      <c r="C447" s="2" t="s">
        <v>2397</v>
      </c>
      <c r="D447" s="2" t="s">
        <v>1018</v>
      </c>
      <c r="E447" s="2" t="s">
        <v>722</v>
      </c>
      <c r="F447" s="2" t="s">
        <v>2403</v>
      </c>
      <c r="G447" s="2" t="s">
        <v>2378</v>
      </c>
      <c r="H447" s="30" t="s">
        <v>723</v>
      </c>
      <c r="I447" s="34" t="s">
        <v>724</v>
      </c>
      <c r="L447" s="2" t="s">
        <v>2380</v>
      </c>
      <c r="O447"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 OR IBM OR Microsoft OR Oracle OR Qualcomm OR Xerox OR Abbott Laboratories OR Bristolmyers OR Johnson OR Merck OR Pfizer OR Exxon Mobile OR Chevron OR Cophillips OR Halliburton OR Schlumberger</v>
      </c>
    </row>
    <row r="448">
      <c r="A448" s="2">
        <v>0.0</v>
      </c>
      <c r="B448" s="2" t="s">
        <v>2397</v>
      </c>
      <c r="C448" s="2" t="s">
        <v>2397</v>
      </c>
      <c r="D448" s="2" t="s">
        <v>1018</v>
      </c>
      <c r="E448" s="2" t="s">
        <v>719</v>
      </c>
      <c r="F448" s="2" t="s">
        <v>2404</v>
      </c>
      <c r="G448" s="2" t="s">
        <v>2378</v>
      </c>
      <c r="H448" s="30" t="s">
        <v>720</v>
      </c>
      <c r="I448" s="34" t="s">
        <v>721</v>
      </c>
      <c r="L448" s="2" t="s">
        <v>2380</v>
      </c>
      <c r="O448"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 OR IBM OR Microsoft OR Oracle OR Qualcomm OR Xerox OR Abbott Laboratories OR Bristolmyers OR Johnson OR Merck OR Pfizer OR Exxon Mobile OR Chevron OR Cophillips OR Halliburton OR Schlumberger OR Tyson Foods</v>
      </c>
    </row>
    <row r="449">
      <c r="A449" s="2">
        <v>0.0</v>
      </c>
      <c r="B449" s="2" t="s">
        <v>2405</v>
      </c>
      <c r="C449" s="2" t="s">
        <v>2405</v>
      </c>
      <c r="D449" s="2" t="s">
        <v>2405</v>
      </c>
      <c r="E449" s="35" t="s">
        <v>716</v>
      </c>
      <c r="F449" s="2" t="s">
        <v>2406</v>
      </c>
      <c r="G449" s="2" t="s">
        <v>2378</v>
      </c>
      <c r="H449" s="32" t="s">
        <v>2407</v>
      </c>
      <c r="L449" s="2" t="s">
        <v>2380</v>
      </c>
      <c r="O449"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 OR IBM OR Microsoft OR Oracle OR Qualcomm OR Xerox OR Abbott Laboratories OR Bristolmyers OR Johnson OR Merck OR Pfizer OR Exxon Mobile OR Chevron OR Cophillips OR Halliburton OR Schlumberger OR Tyson Foods OR Twitter</v>
      </c>
    </row>
    <row r="450">
      <c r="A450" s="2">
        <v>0.0</v>
      </c>
      <c r="B450" s="2" t="s">
        <v>800</v>
      </c>
      <c r="C450" s="2" t="s">
        <v>1806</v>
      </c>
      <c r="D450" s="2" t="s">
        <v>1806</v>
      </c>
      <c r="E450" s="2" t="s">
        <v>713</v>
      </c>
      <c r="F450" s="2" t="s">
        <v>2408</v>
      </c>
      <c r="G450" s="2" t="s">
        <v>2378</v>
      </c>
      <c r="H450" s="30" t="s">
        <v>714</v>
      </c>
      <c r="I450" s="34" t="s">
        <v>715</v>
      </c>
      <c r="L450" s="2" t="s">
        <v>2380</v>
      </c>
      <c r="O450"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 OR IBM OR Microsoft OR Oracle OR Qualcomm OR Xerox OR Abbott Laboratories OR Bristolmyers OR Johnson OR Merck OR Pfizer OR Exxon Mobile OR Chevron OR Cophillips OR Halliburton OR Schlumberger OR Tyson Foods OR Twitter OR Ternium sa</v>
      </c>
    </row>
    <row r="451">
      <c r="A451" s="2">
        <v>0.0</v>
      </c>
      <c r="B451" s="2" t="s">
        <v>2405</v>
      </c>
      <c r="C451" s="2" t="s">
        <v>2405</v>
      </c>
      <c r="D451" s="2" t="s">
        <v>2405</v>
      </c>
      <c r="E451" s="35" t="s">
        <v>710</v>
      </c>
      <c r="F451" s="2" t="s">
        <v>2409</v>
      </c>
      <c r="G451" s="2" t="s">
        <v>2378</v>
      </c>
      <c r="H451" s="36" t="s">
        <v>711</v>
      </c>
      <c r="I451" s="37" t="s">
        <v>712</v>
      </c>
      <c r="L451" s="2" t="s">
        <v>2380</v>
      </c>
      <c r="O451"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 OR IBM OR Microsoft OR Oracle OR Qualcomm OR Xerox OR Abbott Laboratories OR Bristolmyers OR Johnson OR Merck OR Pfizer OR Exxon Mobile OR Chevron OR Cophillips OR Halliburton OR Schlumberger OR Tyson Foods OR Twitter OR Ternium sa OR Under Armour</v>
      </c>
    </row>
    <row r="452">
      <c r="A452" s="2">
        <v>0.0</v>
      </c>
      <c r="B452" s="2" t="s">
        <v>2405</v>
      </c>
      <c r="C452" s="2" t="s">
        <v>2405</v>
      </c>
      <c r="D452" s="2" t="s">
        <v>2405</v>
      </c>
      <c r="E452" s="35" t="s">
        <v>707</v>
      </c>
      <c r="F452" s="2" t="s">
        <v>2410</v>
      </c>
      <c r="G452" s="2" t="s">
        <v>2378</v>
      </c>
      <c r="H452" s="36" t="s">
        <v>708</v>
      </c>
      <c r="I452" s="37" t="s">
        <v>709</v>
      </c>
      <c r="L452" s="2" t="s">
        <v>2380</v>
      </c>
      <c r="O452"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 OR IBM OR Microsoft OR Oracle OR Qualcomm OR Xerox OR Abbott Laboratories OR Bristolmyers OR Johnson OR Merck OR Pfizer OR Exxon Mobile OR Chevron OR Cophillips OR Halliburton OR Schlumberger OR Tyson Foods OR Twitter OR Ternium sa OR Under Armour OR United Airlines</v>
      </c>
    </row>
    <row r="453">
      <c r="A453" s="2">
        <v>0.0</v>
      </c>
      <c r="B453" s="2" t="s">
        <v>2405</v>
      </c>
      <c r="C453" s="2" t="s">
        <v>2405</v>
      </c>
      <c r="D453" s="2" t="s">
        <v>2405</v>
      </c>
      <c r="E453" s="35" t="s">
        <v>704</v>
      </c>
      <c r="F453" s="2" t="s">
        <v>2411</v>
      </c>
      <c r="G453" s="2" t="s">
        <v>2378</v>
      </c>
      <c r="H453" s="32" t="s">
        <v>706</v>
      </c>
      <c r="I453" s="38" t="s">
        <v>705</v>
      </c>
      <c r="L453" s="2" t="s">
        <v>2380</v>
      </c>
      <c r="O453"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 OR IBM OR Microsoft OR Oracle OR Qualcomm OR Xerox OR Abbott Laboratories OR Bristolmyers OR Johnson OR Merck OR Pfizer OR Exxon Mobile OR Chevron OR Cophillips OR Halliburton OR Schlumberger OR Tyson Foods OR Twitter OR Ternium sa OR Under Armour OR United Airlines OR Uber</v>
      </c>
    </row>
    <row r="454">
      <c r="A454" s="2">
        <v>0.0</v>
      </c>
      <c r="B454" s="2" t="s">
        <v>2405</v>
      </c>
      <c r="C454" s="2" t="s">
        <v>2405</v>
      </c>
      <c r="D454" s="2" t="s">
        <v>2405</v>
      </c>
      <c r="E454" s="35" t="s">
        <v>701</v>
      </c>
      <c r="F454" s="2" t="s">
        <v>2412</v>
      </c>
      <c r="G454" s="2" t="s">
        <v>2378</v>
      </c>
      <c r="H454" s="36" t="s">
        <v>702</v>
      </c>
      <c r="I454" s="37" t="s">
        <v>703</v>
      </c>
      <c r="L454" s="2" t="s">
        <v>2380</v>
      </c>
      <c r="O454"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 OR IBM OR Microsoft OR Oracle OR Qualcomm OR Xerox OR Abbott Laboratories OR Bristolmyers OR Johnson OR Merck OR Pfizer OR Exxon Mobile OR Chevron OR Cophillips OR Halliburton OR Schlumberger OR Tyson Foods OR Twitter OR Ternium sa OR Under Armour OR United Airlines OR Uber OR Udr Inc</v>
      </c>
    </row>
    <row r="455">
      <c r="A455" s="2">
        <v>0.0</v>
      </c>
      <c r="B455" s="2" t="s">
        <v>2405</v>
      </c>
      <c r="C455" s="2" t="s">
        <v>2405</v>
      </c>
      <c r="D455" s="2" t="s">
        <v>2405</v>
      </c>
      <c r="E455" s="2" t="s">
        <v>698</v>
      </c>
      <c r="F455" s="2" t="s">
        <v>2413</v>
      </c>
      <c r="G455" s="2" t="s">
        <v>2378</v>
      </c>
      <c r="H455" s="36" t="s">
        <v>699</v>
      </c>
      <c r="I455" s="37" t="s">
        <v>700</v>
      </c>
      <c r="L455" s="2" t="s">
        <v>2380</v>
      </c>
      <c r="O455"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 OR IBM OR Microsoft OR Oracle OR Qualcomm OR Xerox OR Abbott Laboratories OR Bristolmyers OR Johnson OR Merck OR Pfizer OR Exxon Mobile OR Chevron OR Cophillips OR Halliburton OR Schlumberger OR Tyson Foods OR Twitter OR Ternium sa OR Under Armour OR United Airlines OR Uber OR Udr Inc OR Universal Health</v>
      </c>
    </row>
    <row r="456">
      <c r="A456" s="2">
        <v>0.0</v>
      </c>
      <c r="B456" s="2" t="s">
        <v>2405</v>
      </c>
      <c r="C456" s="2" t="s">
        <v>2405</v>
      </c>
      <c r="D456" s="2" t="s">
        <v>2405</v>
      </c>
      <c r="E456" s="2" t="s">
        <v>695</v>
      </c>
      <c r="F456" s="2" t="s">
        <v>2414</v>
      </c>
      <c r="G456" s="2" t="s">
        <v>2378</v>
      </c>
      <c r="H456" s="36" t="s">
        <v>696</v>
      </c>
      <c r="I456" s="37" t="s">
        <v>697</v>
      </c>
      <c r="L456" s="2" t="s">
        <v>2380</v>
      </c>
      <c r="O456"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 OR IBM OR Microsoft OR Oracle OR Qualcomm OR Xerox OR Abbott Laboratories OR Bristolmyers OR Johnson OR Merck OR Pfizer OR Exxon Mobile OR Chevron OR Cophillips OR Halliburton OR Schlumberger OR Tyson Foods OR Twitter OR Ternium sa OR Under Armour OR United Airlines OR Uber OR Udr Inc OR Universal Health OR Ulta Beauty</v>
      </c>
    </row>
    <row r="457">
      <c r="A457" s="2">
        <v>0.0</v>
      </c>
      <c r="B457" s="2" t="s">
        <v>2405</v>
      </c>
      <c r="C457" s="2" t="s">
        <v>2405</v>
      </c>
      <c r="D457" s="2" t="s">
        <v>2405</v>
      </c>
      <c r="E457" s="2" t="s">
        <v>692</v>
      </c>
      <c r="F457" s="2" t="s">
        <v>2415</v>
      </c>
      <c r="G457" s="2" t="s">
        <v>2378</v>
      </c>
      <c r="H457" s="36" t="s">
        <v>693</v>
      </c>
      <c r="I457" s="37" t="s">
        <v>694</v>
      </c>
      <c r="L457" s="2" t="s">
        <v>2380</v>
      </c>
      <c r="O457"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 OR IBM OR Microsoft OR Oracle OR Qualcomm OR Xerox OR Abbott Laboratories OR Bristolmyers OR Johnson OR Merck OR Pfizer OR Exxon Mobile OR Chevron OR Cophillips OR Halliburton OR Schlumberger OR Tyson Foods OR Twitter OR Ternium sa OR Under Armour OR United Airlines OR Uber OR Udr Inc OR Universal Health OR Ulta Beauty OR Unum Group</v>
      </c>
    </row>
    <row r="458">
      <c r="A458" s="2">
        <v>0.0</v>
      </c>
      <c r="B458" s="2" t="s">
        <v>2405</v>
      </c>
      <c r="C458" s="2" t="s">
        <v>2405</v>
      </c>
      <c r="D458" s="2" t="s">
        <v>2405</v>
      </c>
      <c r="E458" s="2" t="s">
        <v>689</v>
      </c>
      <c r="F458" s="2" t="s">
        <v>2416</v>
      </c>
      <c r="G458" s="2" t="s">
        <v>2378</v>
      </c>
      <c r="H458" s="36" t="s">
        <v>690</v>
      </c>
      <c r="I458" s="37" t="s">
        <v>691</v>
      </c>
      <c r="L458" s="2" t="s">
        <v>2380</v>
      </c>
      <c r="O458"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 OR IBM OR Microsoft OR Oracle OR Qualcomm OR Xerox OR Abbott Laboratories OR Bristolmyers OR Johnson OR Merck OR Pfizer OR Exxon Mobile OR Chevron OR Cophillips OR Halliburton OR Schlumberger OR Tyson Foods OR Twitter OR Ternium sa OR Under Armour OR United Airlines OR Uber OR Udr Inc OR Universal Health OR Ulta Beauty OR Unum Group OR UPS</v>
      </c>
    </row>
    <row r="459">
      <c r="A459" s="2">
        <v>0.0</v>
      </c>
      <c r="B459" s="2" t="s">
        <v>2417</v>
      </c>
      <c r="C459" s="2" t="s">
        <v>1294</v>
      </c>
      <c r="D459" s="2" t="s">
        <v>1337</v>
      </c>
      <c r="E459" s="4" t="s">
        <v>45</v>
      </c>
      <c r="F459" s="2" t="s">
        <v>2418</v>
      </c>
      <c r="G459" s="2" t="s">
        <v>2378</v>
      </c>
      <c r="H459" s="34" t="s">
        <v>47</v>
      </c>
      <c r="I459" s="34" t="s">
        <v>46</v>
      </c>
      <c r="L459" s="2" t="s">
        <v>2380</v>
      </c>
      <c r="O459"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 OR IBM OR Microsoft OR Oracle OR Qualcomm OR Xerox OR Abbott Laboratories OR Bristolmyers OR Johnson OR Merck OR Pfizer OR Exxon Mobile OR Chevron OR Cophillips OR Halliburton OR Schlumberger OR Tyson Foods OR Twitter OR Ternium sa OR Under Armour OR United Airlines OR Uber OR Udr Inc OR Universal Health OR Ulta Beauty OR Unum Group OR UPS OR Lockheed</v>
      </c>
    </row>
    <row r="460">
      <c r="A460" s="2">
        <v>0.0</v>
      </c>
      <c r="B460" s="2" t="s">
        <v>2417</v>
      </c>
      <c r="C460" s="2" t="s">
        <v>1202</v>
      </c>
      <c r="D460" s="2" t="s">
        <v>1203</v>
      </c>
      <c r="E460" s="4" t="s">
        <v>48</v>
      </c>
      <c r="F460" s="2" t="s">
        <v>2419</v>
      </c>
      <c r="G460" s="2" t="s">
        <v>2378</v>
      </c>
      <c r="H460" s="30" t="s">
        <v>49</v>
      </c>
      <c r="I460" s="30" t="s">
        <v>50</v>
      </c>
      <c r="L460" s="2" t="s">
        <v>2380</v>
      </c>
      <c r="O460"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 OR IBM OR Microsoft OR Oracle OR Qualcomm OR Xerox OR Abbott Laboratories OR Bristolmyers OR Johnson OR Merck OR Pfizer OR Exxon Mobile OR Chevron OR Cophillips OR Halliburton OR Schlumberger OR Tyson Foods OR Twitter OR Ternium sa OR Under Armour OR United Airlines OR Uber OR Udr Inc OR Universal Health OR Ulta Beauty OR Unum Group OR UPS OR Lockheed OR FEDEX CORPORATION</v>
      </c>
    </row>
    <row r="461">
      <c r="A461" s="2">
        <v>0.0</v>
      </c>
      <c r="B461" s="2" t="s">
        <v>2417</v>
      </c>
      <c r="C461" s="2" t="s">
        <v>1294</v>
      </c>
      <c r="D461" s="2" t="s">
        <v>1337</v>
      </c>
      <c r="E461" s="2" t="s">
        <v>53</v>
      </c>
      <c r="F461" s="2" t="s">
        <v>2420</v>
      </c>
      <c r="G461" s="2" t="s">
        <v>2378</v>
      </c>
      <c r="H461" s="30" t="s">
        <v>54</v>
      </c>
      <c r="I461" s="30" t="s">
        <v>55</v>
      </c>
      <c r="L461" s="2" t="s">
        <v>2380</v>
      </c>
      <c r="O461"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 OR IBM OR Microsoft OR Oracle OR Qualcomm OR Xerox OR Abbott Laboratories OR Bristolmyers OR Johnson OR Merck OR Pfizer OR Exxon Mobile OR Chevron OR Cophillips OR Halliburton OR Schlumberger OR Tyson Foods OR Twitter OR Ternium sa OR Under Armour OR United Airlines OR Uber OR Udr Inc OR Universal Health OR Ulta Beauty OR Unum Group OR UPS OR Lockheed OR FEDEX CORPORATION OR United Rentals</v>
      </c>
    </row>
    <row r="462">
      <c r="A462" s="2">
        <v>0.0</v>
      </c>
      <c r="B462" s="2" t="s">
        <v>2405</v>
      </c>
      <c r="C462" s="2" t="s">
        <v>2405</v>
      </c>
      <c r="D462" s="2" t="s">
        <v>2405</v>
      </c>
      <c r="E462" s="2" t="s">
        <v>686</v>
      </c>
      <c r="F462" s="2" t="s">
        <v>2421</v>
      </c>
      <c r="G462" s="2" t="s">
        <v>2378</v>
      </c>
      <c r="H462" s="30" t="s">
        <v>688</v>
      </c>
      <c r="L462" s="2" t="s">
        <v>2380</v>
      </c>
      <c r="O462"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 OR IBM OR Microsoft OR Oracle OR Qualcomm OR Xerox OR Abbott Laboratories OR Bristolmyers OR Johnson OR Merck OR Pfizer OR Exxon Mobile OR Chevron OR Cophillips OR Halliburton OR Schlumberger OR Tyson Foods OR Twitter OR Ternium sa OR Under Armour OR United Airlines OR Uber OR Udr Inc OR Universal Health OR Ulta Beauty OR Unum Group OR UPS OR Lockheed OR FEDEX CORPORATION OR United Rentals OR Ubs Group</v>
      </c>
    </row>
    <row r="463">
      <c r="A463" s="2">
        <v>0.0</v>
      </c>
      <c r="B463" s="2" t="s">
        <v>375</v>
      </c>
      <c r="C463" s="2" t="s">
        <v>2024</v>
      </c>
      <c r="D463" s="2" t="s">
        <v>2025</v>
      </c>
      <c r="E463" s="2" t="s">
        <v>683</v>
      </c>
      <c r="F463" s="2" t="s">
        <v>2422</v>
      </c>
      <c r="G463" s="2" t="s">
        <v>2378</v>
      </c>
      <c r="H463" s="30" t="s">
        <v>685</v>
      </c>
      <c r="I463" s="39" t="s">
        <v>2423</v>
      </c>
      <c r="L463" s="2" t="s">
        <v>2380</v>
      </c>
      <c r="O463"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 OR IBM OR Microsoft OR Oracle OR Qualcomm OR Xerox OR Abbott Laboratories OR Bristolmyers OR Johnson OR Merck OR Pfizer OR Exxon Mobile OR Chevron OR Cophillips OR Halliburton OR Schlumberger OR Tyson Foods OR Twitter OR Ternium sa OR Under Armour OR United Airlines OR Uber OR Udr Inc OR Universal Health OR Ulta Beauty OR Unum Group OR UPS OR Lockheed OR FEDEX CORPORATION OR United Rentals OR Ubs Group OR Unilever</v>
      </c>
    </row>
    <row r="464">
      <c r="A464" s="2">
        <v>0.0</v>
      </c>
      <c r="B464" s="2" t="s">
        <v>2405</v>
      </c>
      <c r="C464" s="2" t="s">
        <v>2405</v>
      </c>
      <c r="D464" s="2" t="s">
        <v>2405</v>
      </c>
      <c r="E464" s="2" t="s">
        <v>680</v>
      </c>
      <c r="F464" s="2" t="s">
        <v>2424</v>
      </c>
      <c r="G464" s="2" t="s">
        <v>2378</v>
      </c>
      <c r="H464" s="30" t="s">
        <v>682</v>
      </c>
      <c r="L464" s="2" t="s">
        <v>2380</v>
      </c>
      <c r="O464"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 OR IBM OR Microsoft OR Oracle OR Qualcomm OR Xerox OR Abbott Laboratories OR Bristolmyers OR Johnson OR Merck OR Pfizer OR Exxon Mobile OR Chevron OR Cophillips OR Halliburton OR Schlumberger OR Tyson Foods OR Twitter OR Ternium sa OR Under Armour OR United Airlines OR Uber OR Udr Inc OR Universal Health OR Ulta Beauty OR Unum Group OR UPS OR Lockheed OR FEDEX CORPORATION OR United Rentals OR Ubs Group OR Unilever OR Caterpillar</v>
      </c>
    </row>
    <row r="465">
      <c r="A465" s="2">
        <v>0.0</v>
      </c>
      <c r="B465" s="2" t="s">
        <v>2417</v>
      </c>
      <c r="C465" s="2" t="s">
        <v>1236</v>
      </c>
      <c r="D465" s="2" t="s">
        <v>1277</v>
      </c>
      <c r="E465" s="4" t="s">
        <v>58</v>
      </c>
      <c r="F465" s="2" t="s">
        <v>2425</v>
      </c>
      <c r="G465" s="2" t="s">
        <v>2378</v>
      </c>
      <c r="H465" s="30" t="s">
        <v>59</v>
      </c>
      <c r="I465" s="33" t="s">
        <v>2426</v>
      </c>
      <c r="L465" s="2" t="s">
        <v>2380</v>
      </c>
      <c r="O465"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 OR IBM OR Microsoft OR Oracle OR Qualcomm OR Xerox OR Abbott Laboratories OR Bristolmyers OR Johnson OR Merck OR Pfizer OR Exxon Mobile OR Chevron OR Cophillips OR Halliburton OR Schlumberger OR Tyson Foods OR Twitter OR Ternium sa OR Under Armour OR United Airlines OR Uber OR Udr Inc OR Universal Health OR Ulta Beauty OR Unum Group OR UPS OR Lockheed OR FEDEX CORPORATION OR United Rentals OR Ubs Group OR Unilever OR Caterpillar OR Boeing</v>
      </c>
    </row>
    <row r="466">
      <c r="A466" s="2">
        <v>0.0</v>
      </c>
      <c r="B466" s="2" t="s">
        <v>2417</v>
      </c>
      <c r="C466" s="2" t="s">
        <v>1202</v>
      </c>
      <c r="D466" s="2" t="s">
        <v>1203</v>
      </c>
      <c r="E466" s="4" t="s">
        <v>62</v>
      </c>
      <c r="F466" s="2" t="s">
        <v>2427</v>
      </c>
      <c r="G466" s="2" t="s">
        <v>2378</v>
      </c>
      <c r="H466" s="30" t="s">
        <v>63</v>
      </c>
      <c r="I466" s="33" t="s">
        <v>2428</v>
      </c>
      <c r="L466" s="2" t="s">
        <v>2380</v>
      </c>
      <c r="O466"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 OR IBM OR Microsoft OR Oracle OR Qualcomm OR Xerox OR Abbott Laboratories OR Bristolmyers OR Johnson OR Merck OR Pfizer OR Exxon Mobile OR Chevron OR Cophillips OR Halliburton OR Schlumberger OR Tyson Foods OR Twitter OR Ternium sa OR Under Armour OR United Airlines OR Uber OR Udr Inc OR Universal Health OR Ulta Beauty OR Unum Group OR UPS OR Lockheed OR FEDEX CORPORATION OR United Rentals OR Ubs Group OR Unilever OR Caterpillar OR Boeing OR ARCELORMITTAL</v>
      </c>
    </row>
    <row r="467">
      <c r="A467" s="2">
        <v>0.0</v>
      </c>
      <c r="B467" s="2" t="s">
        <v>507</v>
      </c>
      <c r="C467" s="2" t="s">
        <v>2429</v>
      </c>
      <c r="D467" s="2" t="s">
        <v>1044</v>
      </c>
      <c r="E467" s="40" t="s">
        <v>64</v>
      </c>
      <c r="F467" s="2" t="s">
        <v>2430</v>
      </c>
      <c r="G467" s="2" t="s">
        <v>2378</v>
      </c>
      <c r="H467" s="30" t="s">
        <v>65</v>
      </c>
      <c r="I467" s="33" t="s">
        <v>565</v>
      </c>
      <c r="L467" s="2" t="s">
        <v>2380</v>
      </c>
      <c r="O467"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 OR IBM OR Microsoft OR Oracle OR Qualcomm OR Xerox OR Abbott Laboratories OR Bristolmyers OR Johnson OR Merck OR Pfizer OR Exxon Mobile OR Chevron OR Cophillips OR Halliburton OR Schlumberger OR Tyson Foods OR Twitter OR Ternium sa OR Under Armour OR United Airlines OR Uber OR Udr Inc OR Universal Health OR Ulta Beauty OR Unum Group OR UPS OR Lockheed OR FEDEX CORPORATION OR United Rentals OR Ubs Group OR Unilever OR Caterpillar OR Boeing OR ARCELORMITTAL OR American Express</v>
      </c>
    </row>
    <row r="468">
      <c r="A468" s="2">
        <v>0.0</v>
      </c>
      <c r="B468" s="2" t="s">
        <v>756</v>
      </c>
      <c r="C468" s="2" t="s">
        <v>1753</v>
      </c>
      <c r="D468" s="2" t="s">
        <v>1753</v>
      </c>
      <c r="E468" s="4" t="s">
        <v>66</v>
      </c>
      <c r="F468" s="2" t="s">
        <v>2431</v>
      </c>
      <c r="G468" s="2" t="s">
        <v>2378</v>
      </c>
      <c r="H468" s="30" t="s">
        <v>67</v>
      </c>
      <c r="I468" s="33" t="s">
        <v>506</v>
      </c>
      <c r="L468" s="2" t="s">
        <v>2380</v>
      </c>
      <c r="O468"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 OR IBM OR Microsoft OR Oracle OR Qualcomm OR Xerox OR Abbott Laboratories OR Bristolmyers OR Johnson OR Merck OR Pfizer OR Exxon Mobile OR Chevron OR Cophillips OR Halliburton OR Schlumberger OR Tyson Foods OR Twitter OR Ternium sa OR Under Armour OR United Airlines OR Uber OR Udr Inc OR Universal Health OR Ulta Beauty OR Unum Group OR UPS OR Lockheed OR FEDEX CORPORATION OR United Rentals OR Ubs Group OR Unilever OR Caterpillar OR Boeing OR ARCELORMITTAL OR American Express OR Unitedhealth</v>
      </c>
    </row>
    <row r="469">
      <c r="A469" s="2">
        <v>0.0</v>
      </c>
      <c r="B469" s="2" t="s">
        <v>2405</v>
      </c>
      <c r="C469" s="2" t="s">
        <v>2405</v>
      </c>
      <c r="D469" s="2" t="s">
        <v>2405</v>
      </c>
      <c r="E469" s="2" t="s">
        <v>677</v>
      </c>
      <c r="F469" s="2" t="s">
        <v>2432</v>
      </c>
      <c r="G469" s="2" t="s">
        <v>2378</v>
      </c>
      <c r="H469" s="36" t="s">
        <v>678</v>
      </c>
      <c r="I469" s="37" t="s">
        <v>679</v>
      </c>
      <c r="L469" s="2" t="s">
        <v>2380</v>
      </c>
      <c r="O469"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 OR IBM OR Microsoft OR Oracle OR Qualcomm OR Xerox OR Abbott Laboratories OR Bristolmyers OR Johnson OR Merck OR Pfizer OR Exxon Mobile OR Chevron OR Cophillips OR Halliburton OR Schlumberger OR Tyson Foods OR Twitter OR Ternium sa OR Under Armour OR United Airlines OR Uber OR Udr Inc OR Universal Health OR Ulta Beauty OR Unum Group OR UPS OR Lockheed OR FEDEX CORPORATION OR United Rentals OR Ubs Group OR Unilever OR Caterpillar OR Boeing OR ARCELORMITTAL OR American Express OR Unitedhealth OR Unionpacific</v>
      </c>
    </row>
    <row r="470">
      <c r="A470" s="2">
        <v>0.0</v>
      </c>
      <c r="B470" s="2" t="s">
        <v>4</v>
      </c>
      <c r="C470" s="2" t="s">
        <v>1294</v>
      </c>
      <c r="D470" s="2" t="s">
        <v>1301</v>
      </c>
      <c r="E470" s="25" t="s">
        <v>674</v>
      </c>
      <c r="F470" s="2" t="s">
        <v>2433</v>
      </c>
      <c r="G470" s="2" t="s">
        <v>2378</v>
      </c>
      <c r="H470" s="30" t="s">
        <v>675</v>
      </c>
      <c r="I470" s="30" t="s">
        <v>676</v>
      </c>
      <c r="L470" s="2" t="s">
        <v>2380</v>
      </c>
      <c r="O470"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 OR IBM OR Microsoft OR Oracle OR Qualcomm OR Xerox OR Abbott Laboratories OR Bristolmyers OR Johnson OR Merck OR Pfizer OR Exxon Mobile OR Chevron OR Cophillips OR Halliburton OR Schlumberger OR Tyson Foods OR Twitter OR Ternium sa OR Under Armour OR United Airlines OR Uber OR Udr Inc OR Universal Health OR Ulta Beauty OR Unum Group OR UPS OR Lockheed OR FEDEX CORPORATION OR United Rentals OR Ubs Group OR Unilever OR Caterpillar OR Boeing OR ARCELORMITTAL OR American Express OR Unitedhealth OR Unionpacific OR Us Bancorp</v>
      </c>
    </row>
    <row r="471">
      <c r="A471" s="2">
        <v>0.0</v>
      </c>
      <c r="B471" s="2" t="s">
        <v>375</v>
      </c>
      <c r="C471" s="2" t="s">
        <v>2024</v>
      </c>
      <c r="D471" s="2" t="s">
        <v>2025</v>
      </c>
      <c r="E471" s="25" t="s">
        <v>671</v>
      </c>
      <c r="F471" s="2" t="s">
        <v>2434</v>
      </c>
      <c r="G471" s="2" t="s">
        <v>2378</v>
      </c>
      <c r="H471" s="30" t="s">
        <v>672</v>
      </c>
      <c r="I471" s="30" t="s">
        <v>673</v>
      </c>
      <c r="L471" s="2" t="s">
        <v>2380</v>
      </c>
      <c r="O471"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 OR IBM OR Microsoft OR Oracle OR Qualcomm OR Xerox OR Abbott Laboratories OR Bristolmyers OR Johnson OR Merck OR Pfizer OR Exxon Mobile OR Chevron OR Cophillips OR Halliburton OR Schlumberger OR Tyson Foods OR Twitter OR Ternium sa OR Under Armour OR United Airlines OR Uber OR Udr Inc OR Universal Health OR Ulta Beauty OR Unum Group OR UPS OR Lockheed OR FEDEX CORPORATION OR United Rentals OR Ubs Group OR Unilever OR Caterpillar OR Boeing OR ARCELORMITTAL OR American Express OR Unitedhealth OR Unionpacific OR Us Bancorp OR US Steel</v>
      </c>
    </row>
    <row r="472">
      <c r="A472" s="2">
        <v>0.0</v>
      </c>
      <c r="B472" s="2" t="s">
        <v>507</v>
      </c>
      <c r="C472" s="2" t="s">
        <v>1043</v>
      </c>
      <c r="D472" s="2" t="s">
        <v>1064</v>
      </c>
      <c r="E472" s="35" t="s">
        <v>2435</v>
      </c>
      <c r="F472" s="2" t="s">
        <v>2436</v>
      </c>
      <c r="G472" s="2" t="s">
        <v>2378</v>
      </c>
      <c r="H472" s="30" t="s">
        <v>670</v>
      </c>
      <c r="I472" s="34" t="s">
        <v>2437</v>
      </c>
      <c r="L472" s="2" t="s">
        <v>2380</v>
      </c>
      <c r="O472"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 OR IBM OR Microsoft OR Oracle OR Qualcomm OR Xerox OR Abbott Laboratories OR Bristolmyers OR Johnson OR Merck OR Pfizer OR Exxon Mobile OR Chevron OR Cophillips OR Halliburton OR Schlumberger OR Tyson Foods OR Twitter OR Ternium sa OR Under Armour OR United Airlines OR Uber OR Udr Inc OR Universal Health OR Ulta Beauty OR Unum Group OR UPS OR Lockheed OR FEDEX CORPORATION OR United Rentals OR Ubs Group OR Unilever OR Caterpillar OR Boeing OR ARCELORMITTAL OR American Express OR Unitedhealth OR Unionpacific OR Us Bancorp OR US Steel OR Varian Medic</v>
      </c>
    </row>
    <row r="473">
      <c r="A473" s="2">
        <v>0.0</v>
      </c>
      <c r="B473" s="2" t="s">
        <v>2405</v>
      </c>
      <c r="C473" s="2" t="s">
        <v>2405</v>
      </c>
      <c r="D473" s="2" t="s">
        <v>2405</v>
      </c>
      <c r="E473" s="2" t="s">
        <v>666</v>
      </c>
      <c r="F473" s="2" t="s">
        <v>2438</v>
      </c>
      <c r="G473" s="2" t="s">
        <v>2378</v>
      </c>
      <c r="H473" s="30" t="s">
        <v>668</v>
      </c>
      <c r="L473" s="2" t="s">
        <v>2380</v>
      </c>
      <c r="O473"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 OR IBM OR Microsoft OR Oracle OR Qualcomm OR Xerox OR Abbott Laboratories OR Bristolmyers OR Johnson OR Merck OR Pfizer OR Exxon Mobile OR Chevron OR Cophillips OR Halliburton OR Schlumberger OR Tyson Foods OR Twitter OR Ternium sa OR Under Armour OR United Airlines OR Uber OR Udr Inc OR Universal Health OR Ulta Beauty OR Unum Group OR UPS OR Lockheed OR FEDEX CORPORATION OR United Rentals OR Ubs Group OR Unilever OR Caterpillar OR Boeing OR ARCELORMITTAL OR American Express OR Unitedhealth OR Unionpacific OR Us Bancorp OR US Steel OR Varian Medic OR Vulcan Mater</v>
      </c>
    </row>
    <row r="474">
      <c r="A474" s="2">
        <v>0.0</v>
      </c>
      <c r="B474" s="2" t="s">
        <v>2405</v>
      </c>
      <c r="C474" s="2" t="s">
        <v>2405</v>
      </c>
      <c r="D474" s="2" t="s">
        <v>2405</v>
      </c>
      <c r="E474" s="2" t="s">
        <v>663</v>
      </c>
      <c r="F474" s="2" t="s">
        <v>2439</v>
      </c>
      <c r="G474" s="2" t="s">
        <v>2378</v>
      </c>
      <c r="H474" s="30" t="s">
        <v>665</v>
      </c>
      <c r="L474" s="2" t="s">
        <v>2380</v>
      </c>
      <c r="O474"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 OR IBM OR Microsoft OR Oracle OR Qualcomm OR Xerox OR Abbott Laboratories OR Bristolmyers OR Johnson OR Merck OR Pfizer OR Exxon Mobile OR Chevron OR Cophillips OR Halliburton OR Schlumberger OR Tyson Foods OR Twitter OR Ternium sa OR Under Armour OR United Airlines OR Uber OR Udr Inc OR Universal Health OR Ulta Beauty OR Unum Group OR UPS OR Lockheed OR FEDEX CORPORATION OR United Rentals OR Ubs Group OR Unilever OR Caterpillar OR Boeing OR ARCELORMITTAL OR American Express OR Unitedhealth OR Unionpacific OR Us Bancorp OR US Steel OR Varian Medic OR Vulcan Mater OR Vornado Real</v>
      </c>
    </row>
    <row r="475">
      <c r="A475" s="2">
        <v>0.0</v>
      </c>
      <c r="B475" s="2" t="s">
        <v>2405</v>
      </c>
      <c r="C475" s="2" t="s">
        <v>2405</v>
      </c>
      <c r="D475" s="2" t="s">
        <v>2405</v>
      </c>
      <c r="E475" s="2" t="s">
        <v>660</v>
      </c>
      <c r="F475" s="2" t="s">
        <v>2440</v>
      </c>
      <c r="G475" s="2" t="s">
        <v>2378</v>
      </c>
      <c r="H475" s="30" t="s">
        <v>662</v>
      </c>
      <c r="L475" s="2" t="s">
        <v>2380</v>
      </c>
      <c r="O475"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 OR IBM OR Microsoft OR Oracle OR Qualcomm OR Xerox OR Abbott Laboratories OR Bristolmyers OR Johnson OR Merck OR Pfizer OR Exxon Mobile OR Chevron OR Cophillips OR Halliburton OR Schlumberger OR Tyson Foods OR Twitter OR Ternium sa OR Under Armour OR United Airlines OR Uber OR Udr Inc OR Universal Health OR Ulta Beauty OR Unum Group OR UPS OR Lockheed OR FEDEX CORPORATION OR United Rentals OR Ubs Group OR Unilever OR Caterpillar OR Boeing OR ARCELORMITTAL OR American Express OR Unitedhealth OR Unionpacific OR Us Bancorp OR US Steel OR Varian Medic OR Vulcan Mater OR Vornado Real OR Verisk Analy</v>
      </c>
    </row>
    <row r="476">
      <c r="A476" s="2">
        <v>0.0</v>
      </c>
      <c r="B476" s="2" t="s">
        <v>2405</v>
      </c>
      <c r="C476" s="2" t="s">
        <v>2405</v>
      </c>
      <c r="D476" s="2" t="s">
        <v>2405</v>
      </c>
      <c r="E476" s="2" t="s">
        <v>657</v>
      </c>
      <c r="F476" s="2" t="s">
        <v>2441</v>
      </c>
      <c r="G476" s="2" t="s">
        <v>2378</v>
      </c>
      <c r="H476" s="30" t="s">
        <v>659</v>
      </c>
      <c r="L476" s="2" t="s">
        <v>2380</v>
      </c>
      <c r="O476"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 OR IBM OR Microsoft OR Oracle OR Qualcomm OR Xerox OR Abbott Laboratories OR Bristolmyers OR Johnson OR Merck OR Pfizer OR Exxon Mobile OR Chevron OR Cophillips OR Halliburton OR Schlumberger OR Tyson Foods OR Twitter OR Ternium sa OR Under Armour OR United Airlines OR Uber OR Udr Inc OR Universal Health OR Ulta Beauty OR Unum Group OR UPS OR Lockheed OR FEDEX CORPORATION OR United Rentals OR Ubs Group OR Unilever OR Caterpillar OR Boeing OR ARCELORMITTAL OR American Express OR Unitedhealth OR Unionpacific OR Us Bancorp OR US Steel OR Varian Medic OR Vulcan Mater OR Vornado Real OR Verisk Analy OR Ventas Inc</v>
      </c>
    </row>
    <row r="477">
      <c r="A477" s="2">
        <v>0.0</v>
      </c>
      <c r="B477" s="2" t="s">
        <v>2405</v>
      </c>
      <c r="C477" s="2" t="s">
        <v>2405</v>
      </c>
      <c r="D477" s="2" t="s">
        <v>2405</v>
      </c>
      <c r="E477" s="2" t="s">
        <v>654</v>
      </c>
      <c r="F477" s="2" t="s">
        <v>2442</v>
      </c>
      <c r="G477" s="2" t="s">
        <v>2378</v>
      </c>
      <c r="H477" s="30" t="s">
        <v>656</v>
      </c>
      <c r="L477" s="2" t="s">
        <v>2380</v>
      </c>
      <c r="O477"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 OR IBM OR Microsoft OR Oracle OR Qualcomm OR Xerox OR Abbott Laboratories OR Bristolmyers OR Johnson OR Merck OR Pfizer OR Exxon Mobile OR Chevron OR Cophillips OR Halliburton OR Schlumberger OR Tyson Foods OR Twitter OR Ternium sa OR Under Armour OR United Airlines OR Uber OR Udr Inc OR Universal Health OR Ulta Beauty OR Unum Group OR UPS OR Lockheed OR FEDEX CORPORATION OR United Rentals OR Ubs Group OR Unilever OR Caterpillar OR Boeing OR ARCELORMITTAL OR American Express OR Unitedhealth OR Unionpacific OR Us Bancorp OR US Steel OR Varian Medic OR Vulcan Mater OR Vornado Real OR Verisk Analy OR Ventas Inc OR VF Corp</v>
      </c>
    </row>
    <row r="478">
      <c r="A478" s="2">
        <v>0.0</v>
      </c>
      <c r="B478" s="2" t="s">
        <v>2405</v>
      </c>
      <c r="C478" s="2" t="s">
        <v>2405</v>
      </c>
      <c r="D478" s="2" t="s">
        <v>2405</v>
      </c>
      <c r="E478" s="2" t="s">
        <v>2443</v>
      </c>
      <c r="F478" s="2" t="s">
        <v>2444</v>
      </c>
      <c r="G478" s="2" t="s">
        <v>2378</v>
      </c>
      <c r="H478" s="30" t="s">
        <v>653</v>
      </c>
      <c r="L478" s="2" t="s">
        <v>2380</v>
      </c>
      <c r="O478"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 OR IBM OR Microsoft OR Oracle OR Qualcomm OR Xerox OR Abbott Laboratories OR Bristolmyers OR Johnson OR Merck OR Pfizer OR Exxon Mobile OR Chevron OR Cophillips OR Halliburton OR Schlumberger OR Tyson Foods OR Twitter OR Ternium sa OR Under Armour OR United Airlines OR Uber OR Udr Inc OR Universal Health OR Ulta Beauty OR Unum Group OR UPS OR Lockheed OR FEDEX CORPORATION OR United Rentals OR Ubs Group OR Unilever OR Caterpillar OR Boeing OR ARCELORMITTAL OR American Express OR Unitedhealth OR Unionpacific OR Us Bancorp OR US Steel OR Varian Medic OR Vulcan Mater OR Vornado Real OR Verisk Analy OR Ventas Inc OR VF Corp OR Netflix</v>
      </c>
    </row>
    <row r="479">
      <c r="A479" s="2">
        <v>0.0</v>
      </c>
      <c r="B479" s="2" t="s">
        <v>1823</v>
      </c>
      <c r="C479" s="2" t="s">
        <v>1835</v>
      </c>
      <c r="D479" s="2" t="s">
        <v>1836</v>
      </c>
      <c r="E479" s="2" t="s">
        <v>169</v>
      </c>
      <c r="F479" s="2" t="s">
        <v>2445</v>
      </c>
      <c r="G479" s="2" t="s">
        <v>2378</v>
      </c>
      <c r="H479" s="37" t="s">
        <v>170</v>
      </c>
      <c r="I479" s="37" t="s">
        <v>171</v>
      </c>
      <c r="L479" s="2" t="s">
        <v>2380</v>
      </c>
      <c r="O479"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 OR IBM OR Microsoft OR Oracle OR Qualcomm OR Xerox OR Abbott Laboratories OR Bristolmyers OR Johnson OR Merck OR Pfizer OR Exxon Mobile OR Chevron OR Cophillips OR Halliburton OR Schlumberger OR Tyson Foods OR Twitter OR Ternium sa OR Under Armour OR United Airlines OR Uber OR Udr Inc OR Universal Health OR Ulta Beauty OR Unum Group OR UPS OR Lockheed OR FEDEX CORPORATION OR United Rentals OR Ubs Group OR Unilever OR Caterpillar OR Boeing OR ARCELORMITTAL OR American Express OR Unitedhealth OR Unionpacific OR Us Bancorp OR US Steel OR Varian Medic OR Vulcan Mater OR Vornado Real OR Verisk Analy OR Ventas Inc OR VF Corp OR Netflix OR Valero Ener</v>
      </c>
    </row>
    <row r="480">
      <c r="A480" s="2">
        <v>0.0</v>
      </c>
      <c r="B480" s="2" t="s">
        <v>2397</v>
      </c>
      <c r="C480" s="2" t="s">
        <v>2397</v>
      </c>
      <c r="D480" s="2" t="s">
        <v>2398</v>
      </c>
      <c r="E480" s="2" t="s">
        <v>648</v>
      </c>
      <c r="F480" s="2" t="s">
        <v>2446</v>
      </c>
      <c r="G480" s="2" t="s">
        <v>2378</v>
      </c>
      <c r="H480" s="30" t="s">
        <v>650</v>
      </c>
      <c r="I480" s="30" t="s">
        <v>649</v>
      </c>
      <c r="L480" s="2" t="s">
        <v>2380</v>
      </c>
      <c r="O480"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 OR IBM OR Microsoft OR Oracle OR Qualcomm OR Xerox OR Abbott Laboratories OR Bristolmyers OR Johnson OR Merck OR Pfizer OR Exxon Mobile OR Chevron OR Cophillips OR Halliburton OR Schlumberger OR Tyson Foods OR Twitter OR Ternium sa OR Under Armour OR United Airlines OR Uber OR Udr Inc OR Universal Health OR Ulta Beauty OR Unum Group OR UPS OR Lockheed OR FEDEX CORPORATION OR United Rentals OR Ubs Group OR Unilever OR Caterpillar OR Boeing OR ARCELORMITTAL OR American Express OR Unitedhealth OR Unionpacific OR Us Bancorp OR US Steel OR Varian Medic OR Vulcan Mater OR Vornado Real OR Verisk Analy OR Ventas Inc OR VF Corp OR Netflix OR Valero Ener OR Nike</v>
      </c>
    </row>
    <row r="481">
      <c r="A481" s="2">
        <v>0.0</v>
      </c>
      <c r="B481" s="2" t="s">
        <v>165</v>
      </c>
      <c r="C481" s="2" t="s">
        <v>2447</v>
      </c>
      <c r="D481" s="2" t="s">
        <v>1612</v>
      </c>
      <c r="E481" s="2" t="s">
        <v>172</v>
      </c>
      <c r="F481" s="2" t="s">
        <v>2448</v>
      </c>
      <c r="G481" s="2" t="s">
        <v>2378</v>
      </c>
      <c r="H481" s="37" t="s">
        <v>173</v>
      </c>
      <c r="I481" s="37" t="s">
        <v>174</v>
      </c>
      <c r="L481" s="2" t="s">
        <v>2380</v>
      </c>
      <c r="O481"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 OR IBM OR Microsoft OR Oracle OR Qualcomm OR Xerox OR Abbott Laboratories OR Bristolmyers OR Johnson OR Merck OR Pfizer OR Exxon Mobile OR Chevron OR Cophillips OR Halliburton OR Schlumberger OR Tyson Foods OR Twitter OR Ternium sa OR Under Armour OR United Airlines OR Uber OR Udr Inc OR Universal Health OR Ulta Beauty OR Unum Group OR UPS OR Lockheed OR FEDEX CORPORATION OR United Rentals OR Ubs Group OR Unilever OR Caterpillar OR Boeing OR ARCELORMITTAL OR American Express OR Unitedhealth OR Unionpacific OR Us Bancorp OR US Steel OR Varian Medic OR Vulcan Mater OR Vornado Real OR Verisk Analy OR Ventas Inc OR VF Corp OR Netflix OR Valero Ener OR Nike OR MC Donald's</v>
      </c>
    </row>
    <row r="482">
      <c r="A482" s="2">
        <v>0.0</v>
      </c>
      <c r="B482" s="2" t="s">
        <v>165</v>
      </c>
      <c r="C482" s="2" t="s">
        <v>1653</v>
      </c>
      <c r="D482" s="2" t="s">
        <v>1660</v>
      </c>
      <c r="E482" s="4" t="s">
        <v>175</v>
      </c>
      <c r="F482" s="2" t="s">
        <v>2449</v>
      </c>
      <c r="G482" s="2" t="s">
        <v>2378</v>
      </c>
      <c r="H482" s="37" t="s">
        <v>176</v>
      </c>
      <c r="I482" s="37" t="s">
        <v>177</v>
      </c>
      <c r="L482" s="2" t="s">
        <v>2380</v>
      </c>
      <c r="O482"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 OR IBM OR Microsoft OR Oracle OR Qualcomm OR Xerox OR Abbott Laboratories OR Bristolmyers OR Johnson OR Merck OR Pfizer OR Exxon Mobile OR Chevron OR Cophillips OR Halliburton OR Schlumberger OR Tyson Foods OR Twitter OR Ternium sa OR Under Armour OR United Airlines OR Uber OR Udr Inc OR Universal Health OR Ulta Beauty OR Unum Group OR UPS OR Lockheed OR FEDEX CORPORATION OR United Rentals OR Ubs Group OR Unilever OR Caterpillar OR Boeing OR ARCELORMITTAL OR American Express OR Unitedhealth OR Unionpacific OR Us Bancorp OR US Steel OR Varian Medic OR Vulcan Mater OR Vornado Real OR Verisk Analy OR Ventas Inc OR VF Corp OR Netflix OR Valero Ener OR Nike OR MC Donald's OR Valley Ntion</v>
      </c>
    </row>
    <row r="483">
      <c r="A483" s="2">
        <v>0.0</v>
      </c>
      <c r="B483" s="2" t="s">
        <v>2405</v>
      </c>
      <c r="C483" s="2" t="s">
        <v>2405</v>
      </c>
      <c r="D483" s="2" t="s">
        <v>2405</v>
      </c>
      <c r="E483" s="2" t="s">
        <v>645</v>
      </c>
      <c r="F483" s="2" t="s">
        <v>2450</v>
      </c>
      <c r="G483" s="2" t="s">
        <v>2378</v>
      </c>
      <c r="H483" s="41" t="s">
        <v>647</v>
      </c>
      <c r="L483" s="2" t="s">
        <v>2380</v>
      </c>
      <c r="O483"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 OR IBM OR Microsoft OR Oracle OR Qualcomm OR Xerox OR Abbott Laboratories OR Bristolmyers OR Johnson OR Merck OR Pfizer OR Exxon Mobile OR Chevron OR Cophillips OR Halliburton OR Schlumberger OR Tyson Foods OR Twitter OR Ternium sa OR Under Armour OR United Airlines OR Uber OR Udr Inc OR Universal Health OR Ulta Beauty OR Unum Group OR UPS OR Lockheed OR FEDEX CORPORATION OR United Rentals OR Ubs Group OR Unilever OR Caterpillar OR Boeing OR ARCELORMITTAL OR American Express OR Unitedhealth OR Unionpacific OR Us Bancorp OR US Steel OR Varian Medic OR Vulcan Mater OR Vornado Real OR Verisk Analy OR Ventas Inc OR VF Corp OR Netflix OR Valero Ener OR Nike OR MC Donald's OR Valley Ntion OR Verising Inc</v>
      </c>
    </row>
    <row r="484">
      <c r="A484" s="2">
        <v>0.0</v>
      </c>
      <c r="B484" s="2" t="s">
        <v>2405</v>
      </c>
      <c r="C484" s="2" t="s">
        <v>2405</v>
      </c>
      <c r="D484" s="2" t="s">
        <v>2405</v>
      </c>
      <c r="E484" s="2" t="s">
        <v>642</v>
      </c>
      <c r="F484" s="2" t="s">
        <v>2451</v>
      </c>
      <c r="G484" s="2" t="s">
        <v>2378</v>
      </c>
      <c r="H484" s="30" t="s">
        <v>644</v>
      </c>
      <c r="L484" s="2" t="s">
        <v>2380</v>
      </c>
      <c r="O484"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 OR IBM OR Microsoft OR Oracle OR Qualcomm OR Xerox OR Abbott Laboratories OR Bristolmyers OR Johnson OR Merck OR Pfizer OR Exxon Mobile OR Chevron OR Cophillips OR Halliburton OR Schlumberger OR Tyson Foods OR Twitter OR Ternium sa OR Under Armour OR United Airlines OR Uber OR Udr Inc OR Universal Health OR Ulta Beauty OR Unum Group OR UPS OR Lockheed OR FEDEX CORPORATION OR United Rentals OR Ubs Group OR Unilever OR Caterpillar OR Boeing OR ARCELORMITTAL OR American Express OR Unitedhealth OR Unionpacific OR Us Bancorp OR US Steel OR Varian Medic OR Vulcan Mater OR Vornado Real OR Verisk Analy OR Ventas Inc OR VF Corp OR Netflix OR Valero Ener OR Nike OR MC Donald's OR Valley Ntion OR Verising Inc OR Vertex Pharm</v>
      </c>
    </row>
    <row r="485">
      <c r="A485" s="2">
        <v>0.0</v>
      </c>
      <c r="B485" s="2" t="s">
        <v>2405</v>
      </c>
      <c r="C485" s="2" t="s">
        <v>2405</v>
      </c>
      <c r="D485" s="2" t="s">
        <v>2405</v>
      </c>
      <c r="E485" s="2" t="s">
        <v>639</v>
      </c>
      <c r="F485" s="2" t="s">
        <v>2452</v>
      </c>
      <c r="G485" s="2" t="s">
        <v>2378</v>
      </c>
      <c r="H485" s="30" t="s">
        <v>641</v>
      </c>
      <c r="L485" s="2" t="s">
        <v>2380</v>
      </c>
      <c r="O485"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 OR IBM OR Microsoft OR Oracle OR Qualcomm OR Xerox OR Abbott Laboratories OR Bristolmyers OR Johnson OR Merck OR Pfizer OR Exxon Mobile OR Chevron OR Cophillips OR Halliburton OR Schlumberger OR Tyson Foods OR Twitter OR Ternium sa OR Under Armour OR United Airlines OR Uber OR Udr Inc OR Universal Health OR Ulta Beauty OR Unum Group OR UPS OR Lockheed OR FEDEX CORPORATION OR United Rentals OR Ubs Group OR Unilever OR Caterpillar OR Boeing OR ARCELORMITTAL OR American Express OR Unitedhealth OR Unionpacific OR Us Bancorp OR US Steel OR Varian Medic OR Vulcan Mater OR Vornado Real OR Verisk Analy OR Ventas Inc OR VF Corp OR Netflix OR Valero Ener OR Nike OR MC Donald's OR Valley Ntion OR Verising Inc OR Vertex Pharm OR Wabtec Corp</v>
      </c>
    </row>
    <row r="486">
      <c r="A486" s="2">
        <v>0.0</v>
      </c>
      <c r="B486" s="2" t="s">
        <v>2405</v>
      </c>
      <c r="C486" s="2" t="s">
        <v>2405</v>
      </c>
      <c r="D486" s="2" t="s">
        <v>2405</v>
      </c>
      <c r="E486" s="2" t="s">
        <v>636</v>
      </c>
      <c r="F486" s="2" t="s">
        <v>2453</v>
      </c>
      <c r="G486" s="2" t="s">
        <v>2378</v>
      </c>
      <c r="H486" s="30" t="s">
        <v>638</v>
      </c>
      <c r="L486" s="2" t="s">
        <v>2380</v>
      </c>
      <c r="O486"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 OR IBM OR Microsoft OR Oracle OR Qualcomm OR Xerox OR Abbott Laboratories OR Bristolmyers OR Johnson OR Merck OR Pfizer OR Exxon Mobile OR Chevron OR Cophillips OR Halliburton OR Schlumberger OR Tyson Foods OR Twitter OR Ternium sa OR Under Armour OR United Airlines OR Uber OR Udr Inc OR Universal Health OR Ulta Beauty OR Unum Group OR UPS OR Lockheed OR FEDEX CORPORATION OR United Rentals OR Ubs Group OR Unilever OR Caterpillar OR Boeing OR ARCELORMITTAL OR American Express OR Unitedhealth OR Unionpacific OR Us Bancorp OR US Steel OR Varian Medic OR Vulcan Mater OR Vornado Real OR Verisk Analy OR Ventas Inc OR VF Corp OR Netflix OR Valero Ener OR Nike OR MC Donald's OR Valley Ntion OR Verising Inc OR Vertex Pharm OR Wabtec Corp OR Workday Inc</v>
      </c>
    </row>
    <row r="487">
      <c r="A487" s="2">
        <v>0.0</v>
      </c>
      <c r="B487" s="2" t="s">
        <v>2405</v>
      </c>
      <c r="C487" s="2" t="s">
        <v>2405</v>
      </c>
      <c r="D487" s="2" t="s">
        <v>2405</v>
      </c>
      <c r="E487" s="2" t="s">
        <v>633</v>
      </c>
      <c r="F487" s="2" t="s">
        <v>2454</v>
      </c>
      <c r="G487" s="2" t="s">
        <v>2378</v>
      </c>
      <c r="H487" s="30" t="s">
        <v>635</v>
      </c>
      <c r="L487" s="2" t="s">
        <v>2380</v>
      </c>
      <c r="O487"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 OR IBM OR Microsoft OR Oracle OR Qualcomm OR Xerox OR Abbott Laboratories OR Bristolmyers OR Johnson OR Merck OR Pfizer OR Exxon Mobile OR Chevron OR Cophillips OR Halliburton OR Schlumberger OR Tyson Foods OR Twitter OR Ternium sa OR Under Armour OR United Airlines OR Uber OR Udr Inc OR Universal Health OR Ulta Beauty OR Unum Group OR UPS OR Lockheed OR FEDEX CORPORATION OR United Rentals OR Ubs Group OR Unilever OR Caterpillar OR Boeing OR ARCELORMITTAL OR American Express OR Unitedhealth OR Unionpacific OR Us Bancorp OR US Steel OR Varian Medic OR Vulcan Mater OR Vornado Real OR Verisk Analy OR Ventas Inc OR VF Corp OR Netflix OR Valero Ener OR Nike OR MC Donald's OR Valley Ntion OR Verising Inc OR Vertex Pharm OR Wabtec Corp OR Workday Inc OR Western Dig</v>
      </c>
    </row>
    <row r="488">
      <c r="A488" s="2">
        <v>0.0</v>
      </c>
      <c r="B488" s="2" t="s">
        <v>2405</v>
      </c>
      <c r="C488" s="2" t="s">
        <v>2405</v>
      </c>
      <c r="D488" s="2" t="s">
        <v>2405</v>
      </c>
      <c r="E488" s="2" t="s">
        <v>630</v>
      </c>
      <c r="F488" s="2" t="s">
        <v>2455</v>
      </c>
      <c r="G488" s="2" t="s">
        <v>2378</v>
      </c>
      <c r="H488" s="30" t="s">
        <v>632</v>
      </c>
      <c r="L488" s="2" t="s">
        <v>2380</v>
      </c>
      <c r="O488"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 OR IBM OR Microsoft OR Oracle OR Qualcomm OR Xerox OR Abbott Laboratories OR Bristolmyers OR Johnson OR Merck OR Pfizer OR Exxon Mobile OR Chevron OR Cophillips OR Halliburton OR Schlumberger OR Tyson Foods OR Twitter OR Ternium sa OR Under Armour OR United Airlines OR Uber OR Udr Inc OR Universal Health OR Ulta Beauty OR Unum Group OR UPS OR Lockheed OR FEDEX CORPORATION OR United Rentals OR Ubs Group OR Unilever OR Caterpillar OR Boeing OR ARCELORMITTAL OR American Express OR Unitedhealth OR Unionpacific OR Us Bancorp OR US Steel OR Varian Medic OR Vulcan Mater OR Vornado Real OR Verisk Analy OR Ventas Inc OR VF Corp OR Netflix OR Valero Ener OR Nike OR MC Donald's OR Valley Ntion OR Verising Inc OR Vertex Pharm OR Wabtec Corp OR Workday Inc OR Western Dig OR Wec Energy G</v>
      </c>
    </row>
    <row r="489">
      <c r="A489" s="2">
        <v>0.0</v>
      </c>
      <c r="B489" s="2" t="s">
        <v>2405</v>
      </c>
      <c r="C489" s="2" t="s">
        <v>2405</v>
      </c>
      <c r="D489" s="2" t="s">
        <v>2405</v>
      </c>
      <c r="E489" s="2" t="s">
        <v>627</v>
      </c>
      <c r="F489" s="2" t="s">
        <v>2456</v>
      </c>
      <c r="G489" s="2" t="s">
        <v>2378</v>
      </c>
      <c r="H489" s="30" t="s">
        <v>629</v>
      </c>
      <c r="L489" s="2" t="s">
        <v>2380</v>
      </c>
      <c r="O489"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 OR IBM OR Microsoft OR Oracle OR Qualcomm OR Xerox OR Abbott Laboratories OR Bristolmyers OR Johnson OR Merck OR Pfizer OR Exxon Mobile OR Chevron OR Cophillips OR Halliburton OR Schlumberger OR Tyson Foods OR Twitter OR Ternium sa OR Under Armour OR United Airlines OR Uber OR Udr Inc OR Universal Health OR Ulta Beauty OR Unum Group OR UPS OR Lockheed OR FEDEX CORPORATION OR United Rentals OR Ubs Group OR Unilever OR Caterpillar OR Boeing OR ARCELORMITTAL OR American Express OR Unitedhealth OR Unionpacific OR Us Bancorp OR US Steel OR Varian Medic OR Vulcan Mater OR Vornado Real OR Verisk Analy OR Ventas Inc OR VF Corp OR Netflix OR Valero Ener OR Nike OR MC Donald's OR Valley Ntion OR Verising Inc OR Vertex Pharm OR Wabtec Corp OR Workday Inc OR Western Dig OR Wec Energy G OR Welltower In</v>
      </c>
    </row>
    <row r="490">
      <c r="A490" s="2">
        <v>0.0</v>
      </c>
      <c r="B490" s="2" t="s">
        <v>2405</v>
      </c>
      <c r="C490" s="2" t="s">
        <v>2405</v>
      </c>
      <c r="D490" s="2" t="s">
        <v>2405</v>
      </c>
      <c r="E490" s="2" t="s">
        <v>624</v>
      </c>
      <c r="F490" s="2" t="s">
        <v>2457</v>
      </c>
      <c r="G490" s="2" t="s">
        <v>2378</v>
      </c>
      <c r="H490" s="30" t="s">
        <v>626</v>
      </c>
      <c r="L490" s="2" t="s">
        <v>2380</v>
      </c>
      <c r="O490"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 OR IBM OR Microsoft OR Oracle OR Qualcomm OR Xerox OR Abbott Laboratories OR Bristolmyers OR Johnson OR Merck OR Pfizer OR Exxon Mobile OR Chevron OR Cophillips OR Halliburton OR Schlumberger OR Tyson Foods OR Twitter OR Ternium sa OR Under Armour OR United Airlines OR Uber OR Udr Inc OR Universal Health OR Ulta Beauty OR Unum Group OR UPS OR Lockheed OR FEDEX CORPORATION OR United Rentals OR Ubs Group OR Unilever OR Caterpillar OR Boeing OR ARCELORMITTAL OR American Express OR Unitedhealth OR Unionpacific OR Us Bancorp OR US Steel OR Varian Medic OR Vulcan Mater OR Vornado Real OR Verisk Analy OR Ventas Inc OR VF Corp OR Netflix OR Valero Ener OR Nike OR MC Donald's OR Valley Ntion OR Verising Inc OR Vertex Pharm OR Wabtec Corp OR Workday Inc OR Western Dig OR Wec Energy G OR Welltower In OR Whirlpool Co</v>
      </c>
    </row>
    <row r="491">
      <c r="A491" s="2">
        <v>0.0</v>
      </c>
      <c r="B491" s="2" t="s">
        <v>2405</v>
      </c>
      <c r="C491" s="2" t="s">
        <v>2405</v>
      </c>
      <c r="D491" s="2" t="s">
        <v>2405</v>
      </c>
      <c r="E491" s="2" t="s">
        <v>621</v>
      </c>
      <c r="F491" s="2" t="s">
        <v>2458</v>
      </c>
      <c r="G491" s="2" t="s">
        <v>2378</v>
      </c>
      <c r="H491" s="30" t="s">
        <v>623</v>
      </c>
      <c r="L491" s="2" t="s">
        <v>2380</v>
      </c>
      <c r="O491"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 OR IBM OR Microsoft OR Oracle OR Qualcomm OR Xerox OR Abbott Laboratories OR Bristolmyers OR Johnson OR Merck OR Pfizer OR Exxon Mobile OR Chevron OR Cophillips OR Halliburton OR Schlumberger OR Tyson Foods OR Twitter OR Ternium sa OR Under Armour OR United Airlines OR Uber OR Udr Inc OR Universal Health OR Ulta Beauty OR Unum Group OR UPS OR Lockheed OR FEDEX CORPORATION OR United Rentals OR Ubs Group OR Unilever OR Caterpillar OR Boeing OR ARCELORMITTAL OR American Express OR Unitedhealth OR Unionpacific OR Us Bancorp OR US Steel OR Varian Medic OR Vulcan Mater OR Vornado Real OR Verisk Analy OR Ventas Inc OR VF Corp OR Netflix OR Valero Ener OR Nike OR MC Donald's OR Valley Ntion OR Verising Inc OR Vertex Pharm OR Wabtec Corp OR Workday Inc OR Western Dig OR Wec Energy G OR Welltower In OR Whirlpool Co OR Willis Tower</v>
      </c>
    </row>
    <row r="492">
      <c r="A492" s="2">
        <v>0.0</v>
      </c>
      <c r="B492" s="2" t="s">
        <v>2405</v>
      </c>
      <c r="C492" s="2" t="s">
        <v>2405</v>
      </c>
      <c r="D492" s="2" t="s">
        <v>2405</v>
      </c>
      <c r="E492" s="2" t="s">
        <v>618</v>
      </c>
      <c r="F492" s="2" t="s">
        <v>2459</v>
      </c>
      <c r="G492" s="2" t="s">
        <v>2378</v>
      </c>
      <c r="H492" s="30" t="s">
        <v>620</v>
      </c>
      <c r="L492" s="2" t="s">
        <v>2380</v>
      </c>
      <c r="O492"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 OR IBM OR Microsoft OR Oracle OR Qualcomm OR Xerox OR Abbott Laboratories OR Bristolmyers OR Johnson OR Merck OR Pfizer OR Exxon Mobile OR Chevron OR Cophillips OR Halliburton OR Schlumberger OR Tyson Foods OR Twitter OR Ternium sa OR Under Armour OR United Airlines OR Uber OR Udr Inc OR Universal Health OR Ulta Beauty OR Unum Group OR UPS OR Lockheed OR FEDEX CORPORATION OR United Rentals OR Ubs Group OR Unilever OR Caterpillar OR Boeing OR ARCELORMITTAL OR American Express OR Unitedhealth OR Unionpacific OR Us Bancorp OR US Steel OR Varian Medic OR Vulcan Mater OR Vornado Real OR Verisk Analy OR Ventas Inc OR VF Corp OR Netflix OR Valero Ener OR Nike OR MC Donald's OR Valley Ntion OR Verising Inc OR Vertex Pharm OR Wabtec Corp OR Workday Inc OR Western Dig OR Wec Energy G OR Welltower In OR Whirlpool Co OR Willis Tower OR Williams Cos</v>
      </c>
    </row>
    <row r="493">
      <c r="A493" s="2">
        <v>0.0</v>
      </c>
      <c r="B493" s="2" t="s">
        <v>2405</v>
      </c>
      <c r="C493" s="2" t="s">
        <v>2405</v>
      </c>
      <c r="D493" s="2" t="s">
        <v>2405</v>
      </c>
      <c r="E493" s="2" t="s">
        <v>615</v>
      </c>
      <c r="F493" s="2" t="s">
        <v>2460</v>
      </c>
      <c r="G493" s="2" t="s">
        <v>2378</v>
      </c>
      <c r="H493" s="30" t="s">
        <v>617</v>
      </c>
      <c r="L493" s="2" t="s">
        <v>2380</v>
      </c>
      <c r="O493"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 OR IBM OR Microsoft OR Oracle OR Qualcomm OR Xerox OR Abbott Laboratories OR Bristolmyers OR Johnson OR Merck OR Pfizer OR Exxon Mobile OR Chevron OR Cophillips OR Halliburton OR Schlumberger OR Tyson Foods OR Twitter OR Ternium sa OR Under Armour OR United Airlines OR Uber OR Udr Inc OR Universal Health OR Ulta Beauty OR Unum Group OR UPS OR Lockheed OR FEDEX CORPORATION OR United Rentals OR Ubs Group OR Unilever OR Caterpillar OR Boeing OR ARCELORMITTAL OR American Express OR Unitedhealth OR Unionpacific OR Us Bancorp OR US Steel OR Varian Medic OR Vulcan Mater OR Vornado Real OR Verisk Analy OR Ventas Inc OR VF Corp OR Netflix OR Valero Ener OR Nike OR MC Donald's OR Valley Ntion OR Verising Inc OR Vertex Pharm OR Wabtec Corp OR Workday Inc OR Western Dig OR Wec Energy G OR Welltower In OR Whirlpool Co OR Willis Tower OR Williams Cos OR Waste Manag</v>
      </c>
    </row>
    <row r="494">
      <c r="A494" s="2">
        <v>0.0</v>
      </c>
      <c r="B494" s="2" t="s">
        <v>2405</v>
      </c>
      <c r="C494" s="2" t="s">
        <v>2405</v>
      </c>
      <c r="D494" s="2" t="s">
        <v>2405</v>
      </c>
      <c r="E494" s="2" t="s">
        <v>612</v>
      </c>
      <c r="F494" s="2" t="s">
        <v>2461</v>
      </c>
      <c r="G494" s="2" t="s">
        <v>2378</v>
      </c>
      <c r="H494" s="30" t="s">
        <v>614</v>
      </c>
      <c r="L494" s="2" t="s">
        <v>2380</v>
      </c>
      <c r="O494"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 OR IBM OR Microsoft OR Oracle OR Qualcomm OR Xerox OR Abbott Laboratories OR Bristolmyers OR Johnson OR Merck OR Pfizer OR Exxon Mobile OR Chevron OR Cophillips OR Halliburton OR Schlumberger OR Tyson Foods OR Twitter OR Ternium sa OR Under Armour OR United Airlines OR Uber OR Udr Inc OR Universal Health OR Ulta Beauty OR Unum Group OR UPS OR Lockheed OR FEDEX CORPORATION OR United Rentals OR Ubs Group OR Unilever OR Caterpillar OR Boeing OR ARCELORMITTAL OR American Express OR Unitedhealth OR Unionpacific OR Us Bancorp OR US Steel OR Varian Medic OR Vulcan Mater OR Vornado Real OR Verisk Analy OR Ventas Inc OR VF Corp OR Netflix OR Valero Ener OR Nike OR MC Donald's OR Valley Ntion OR Verising Inc OR Vertex Pharm OR Wabtec Corp OR Workday Inc OR Western Dig OR Wec Energy G OR Welltower In OR Whirlpool Co OR Willis Tower OR Williams Cos OR Waste Manag OR Westrock Co</v>
      </c>
    </row>
    <row r="495">
      <c r="A495" s="2">
        <v>0.0</v>
      </c>
      <c r="B495" s="2" t="s">
        <v>2405</v>
      </c>
      <c r="C495" s="2" t="s">
        <v>2405</v>
      </c>
      <c r="D495" s="2" t="s">
        <v>2405</v>
      </c>
      <c r="E495" s="2" t="s">
        <v>609</v>
      </c>
      <c r="F495" s="2" t="s">
        <v>2462</v>
      </c>
      <c r="G495" s="2" t="s">
        <v>2378</v>
      </c>
      <c r="H495" s="30" t="s">
        <v>611</v>
      </c>
      <c r="L495" s="2" t="s">
        <v>2380</v>
      </c>
      <c r="O495"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 OR IBM OR Microsoft OR Oracle OR Qualcomm OR Xerox OR Abbott Laboratories OR Bristolmyers OR Johnson OR Merck OR Pfizer OR Exxon Mobile OR Chevron OR Cophillips OR Halliburton OR Schlumberger OR Tyson Foods OR Twitter OR Ternium sa OR Under Armour OR United Airlines OR Uber OR Udr Inc OR Universal Health OR Ulta Beauty OR Unum Group OR UPS OR Lockheed OR FEDEX CORPORATION OR United Rentals OR Ubs Group OR Unilever OR Caterpillar OR Boeing OR ARCELORMITTAL OR American Express OR Unitedhealth OR Unionpacific OR Us Bancorp OR US Steel OR Varian Medic OR Vulcan Mater OR Vornado Real OR Verisk Analy OR Ventas Inc OR VF Corp OR Netflix OR Valero Ener OR Nike OR MC Donald's OR Valley Ntion OR Verising Inc OR Vertex Pharm OR Wabtec Corp OR Workday Inc OR Western Dig OR Wec Energy G OR Welltower In OR Whirlpool Co OR Willis Tower OR Williams Cos OR Waste Manag OR Westrock Co OR Weyerhaeuser</v>
      </c>
    </row>
    <row r="496">
      <c r="A496" s="2">
        <v>0.0</v>
      </c>
      <c r="B496" s="2" t="s">
        <v>2405</v>
      </c>
      <c r="C496" s="2" t="s">
        <v>2405</v>
      </c>
      <c r="D496" s="2" t="s">
        <v>2405</v>
      </c>
      <c r="E496" s="2" t="s">
        <v>606</v>
      </c>
      <c r="F496" s="2" t="s">
        <v>2463</v>
      </c>
      <c r="G496" s="2" t="s">
        <v>2378</v>
      </c>
      <c r="H496" s="30" t="s">
        <v>608</v>
      </c>
      <c r="L496" s="2" t="s">
        <v>2380</v>
      </c>
      <c r="O496"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 OR IBM OR Microsoft OR Oracle OR Qualcomm OR Xerox OR Abbott Laboratories OR Bristolmyers OR Johnson OR Merck OR Pfizer OR Exxon Mobile OR Chevron OR Cophillips OR Halliburton OR Schlumberger OR Tyson Foods OR Twitter OR Ternium sa OR Under Armour OR United Airlines OR Uber OR Udr Inc OR Universal Health OR Ulta Beauty OR Unum Group OR UPS OR Lockheed OR FEDEX CORPORATION OR United Rentals OR Ubs Group OR Unilever OR Caterpillar OR Boeing OR ARCELORMITTAL OR American Express OR Unitedhealth OR Unionpacific OR Us Bancorp OR US Steel OR Varian Medic OR Vulcan Mater OR Vornado Real OR Verisk Analy OR Ventas Inc OR VF Corp OR Netflix OR Valero Ener OR Nike OR MC Donald's OR Valley Ntion OR Verising Inc OR Vertex Pharm OR Wabtec Corp OR Workday Inc OR Western Dig OR Wec Energy G OR Welltower In OR Whirlpool Co OR Willis Tower OR Williams Cos OR Waste Manag OR Westrock Co OR Weyerhaeuser OR Wynn Resorts</v>
      </c>
    </row>
    <row r="497">
      <c r="A497" s="2">
        <v>0.0</v>
      </c>
      <c r="B497" s="2" t="s">
        <v>2405</v>
      </c>
      <c r="C497" s="2" t="s">
        <v>2405</v>
      </c>
      <c r="D497" s="2" t="s">
        <v>2405</v>
      </c>
      <c r="E497" s="2" t="s">
        <v>603</v>
      </c>
      <c r="F497" s="2" t="s">
        <v>2464</v>
      </c>
      <c r="G497" s="2" t="s">
        <v>2378</v>
      </c>
      <c r="H497" s="30" t="s">
        <v>605</v>
      </c>
      <c r="L497" s="2" t="s">
        <v>2380</v>
      </c>
      <c r="O497"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 OR IBM OR Microsoft OR Oracle OR Qualcomm OR Xerox OR Abbott Laboratories OR Bristolmyers OR Johnson OR Merck OR Pfizer OR Exxon Mobile OR Chevron OR Cophillips OR Halliburton OR Schlumberger OR Tyson Foods OR Twitter OR Ternium sa OR Under Armour OR United Airlines OR Uber OR Udr Inc OR Universal Health OR Ulta Beauty OR Unum Group OR UPS OR Lockheed OR FEDEX CORPORATION OR United Rentals OR Ubs Group OR Unilever OR Caterpillar OR Boeing OR ARCELORMITTAL OR American Express OR Unitedhealth OR Unionpacific OR Us Bancorp OR US Steel OR Varian Medic OR Vulcan Mater OR Vornado Real OR Verisk Analy OR Ventas Inc OR VF Corp OR Netflix OR Valero Ener OR Nike OR MC Donald's OR Valley Ntion OR Verising Inc OR Vertex Pharm OR Wabtec Corp OR Workday Inc OR Western Dig OR Wec Energy G OR Welltower In OR Whirlpool Co OR Willis Tower OR Williams Cos OR Waste Manag OR Westrock Co OR Weyerhaeuser OR Wynn Resorts OR Western Bcor</v>
      </c>
    </row>
    <row r="498">
      <c r="A498" s="2">
        <v>0.0</v>
      </c>
      <c r="B498" s="2" t="s">
        <v>2405</v>
      </c>
      <c r="C498" s="2" t="s">
        <v>2405</v>
      </c>
      <c r="D498" s="2" t="s">
        <v>2405</v>
      </c>
      <c r="E498" s="2" t="s">
        <v>600</v>
      </c>
      <c r="F498" s="2" t="s">
        <v>2465</v>
      </c>
      <c r="G498" s="2" t="s">
        <v>2378</v>
      </c>
      <c r="H498" s="34" t="s">
        <v>602</v>
      </c>
      <c r="L498" s="2" t="s">
        <v>2380</v>
      </c>
      <c r="O498"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 OR IBM OR Microsoft OR Oracle OR Qualcomm OR Xerox OR Abbott Laboratories OR Bristolmyers OR Johnson OR Merck OR Pfizer OR Exxon Mobile OR Chevron OR Cophillips OR Halliburton OR Schlumberger OR Tyson Foods OR Twitter OR Ternium sa OR Under Armour OR United Airlines OR Uber OR Udr Inc OR Universal Health OR Ulta Beauty OR Unum Group OR UPS OR Lockheed OR FEDEX CORPORATION OR United Rentals OR Ubs Group OR Unilever OR Caterpillar OR Boeing OR ARCELORMITTAL OR American Express OR Unitedhealth OR Unionpacific OR Us Bancorp OR US Steel OR Varian Medic OR Vulcan Mater OR Vornado Real OR Verisk Analy OR Ventas Inc OR VF Corp OR Netflix OR Valero Ener OR Nike OR MC Donald's OR Valley Ntion OR Verising Inc OR Vertex Pharm OR Wabtec Corp OR Workday Inc OR Western Dig OR Wec Energy G OR Welltower In OR Whirlpool Co OR Willis Tower OR Williams Cos OR Waste Manag OR Westrock Co OR Weyerhaeuser OR Wynn Resorts OR Western Bcor OR Waters Corp</v>
      </c>
    </row>
    <row r="499">
      <c r="A499" s="2">
        <v>0.0</v>
      </c>
      <c r="B499" s="2" t="s">
        <v>2405</v>
      </c>
      <c r="C499" s="2" t="s">
        <v>2405</v>
      </c>
      <c r="D499" s="2" t="s">
        <v>2405</v>
      </c>
      <c r="E499" s="2" t="s">
        <v>597</v>
      </c>
      <c r="F499" s="2" t="s">
        <v>2466</v>
      </c>
      <c r="G499" s="2" t="s">
        <v>2378</v>
      </c>
      <c r="H499" s="30" t="s">
        <v>598</v>
      </c>
      <c r="L499" s="2" t="s">
        <v>2380</v>
      </c>
      <c r="O499"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 OR IBM OR Microsoft OR Oracle OR Qualcomm OR Xerox OR Abbott Laboratories OR Bristolmyers OR Johnson OR Merck OR Pfizer OR Exxon Mobile OR Chevron OR Cophillips OR Halliburton OR Schlumberger OR Tyson Foods OR Twitter OR Ternium sa OR Under Armour OR United Airlines OR Uber OR Udr Inc OR Universal Health OR Ulta Beauty OR Unum Group OR UPS OR Lockheed OR FEDEX CORPORATION OR United Rentals OR Ubs Group OR Unilever OR Caterpillar OR Boeing OR ARCELORMITTAL OR American Express OR Unitedhealth OR Unionpacific OR Us Bancorp OR US Steel OR Varian Medic OR Vulcan Mater OR Vornado Real OR Verisk Analy OR Ventas Inc OR VF Corp OR Netflix OR Valero Ener OR Nike OR MC Donald's OR Valley Ntion OR Verising Inc OR Vertex Pharm OR Wabtec Corp OR Workday Inc OR Western Dig OR Wec Energy G OR Welltower In OR Whirlpool Co OR Willis Tower OR Williams Cos OR Waste Manag OR Westrock Co OR Weyerhaeuser OR Wynn Resorts OR Western Bcor OR Waters Corp OR Walgreens</v>
      </c>
    </row>
    <row r="500">
      <c r="A500" s="2">
        <v>0.0</v>
      </c>
      <c r="B500" s="2" t="s">
        <v>2405</v>
      </c>
      <c r="C500" s="2" t="s">
        <v>2405</v>
      </c>
      <c r="D500" s="2" t="s">
        <v>2405</v>
      </c>
      <c r="E500" s="2" t="s">
        <v>594</v>
      </c>
      <c r="F500" s="2" t="s">
        <v>2467</v>
      </c>
      <c r="G500" s="2" t="s">
        <v>2378</v>
      </c>
      <c r="H500" s="30" t="s">
        <v>596</v>
      </c>
      <c r="L500" s="2" t="s">
        <v>2380</v>
      </c>
      <c r="O500"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 OR IBM OR Microsoft OR Oracle OR Qualcomm OR Xerox OR Abbott Laboratories OR Bristolmyers OR Johnson OR Merck OR Pfizer OR Exxon Mobile OR Chevron OR Cophillips OR Halliburton OR Schlumberger OR Tyson Foods OR Twitter OR Ternium sa OR Under Armour OR United Airlines OR Uber OR Udr Inc OR Universal Health OR Ulta Beauty OR Unum Group OR UPS OR Lockheed OR FEDEX CORPORATION OR United Rentals OR Ubs Group OR Unilever OR Caterpillar OR Boeing OR ARCELORMITTAL OR American Express OR Unitedhealth OR Unionpacific OR Us Bancorp OR US Steel OR Varian Medic OR Vulcan Mater OR Vornado Real OR Verisk Analy OR Ventas Inc OR VF Corp OR Netflix OR Valero Ener OR Nike OR MC Donald's OR Valley Ntion OR Verising Inc OR Vertex Pharm OR Wabtec Corp OR Workday Inc OR Western Dig OR Wec Energy G OR Welltower In OR Whirlpool Co OR Willis Tower OR Williams Cos OR Waste Manag OR Westrock Co OR Weyerhaeuser OR Wynn Resorts OR Western Bcor OR Waters Corp OR Walgreens OR Westernunion</v>
      </c>
    </row>
    <row r="501">
      <c r="A501" s="2">
        <v>0.0</v>
      </c>
      <c r="B501" s="2" t="s">
        <v>375</v>
      </c>
      <c r="C501" s="2" t="s">
        <v>2170</v>
      </c>
      <c r="D501" s="2" t="s">
        <v>2170</v>
      </c>
      <c r="E501" s="2" t="s">
        <v>591</v>
      </c>
      <c r="F501" s="2" t="s">
        <v>2468</v>
      </c>
      <c r="G501" s="2" t="s">
        <v>2378</v>
      </c>
      <c r="H501" s="30" t="s">
        <v>593</v>
      </c>
      <c r="I501" s="42" t="s">
        <v>592</v>
      </c>
      <c r="L501" s="2" t="s">
        <v>2380</v>
      </c>
      <c r="O501"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 OR IBM OR Microsoft OR Oracle OR Qualcomm OR Xerox OR Abbott Laboratories OR Bristolmyers OR Johnson OR Merck OR Pfizer OR Exxon Mobile OR Chevron OR Cophillips OR Halliburton OR Schlumberger OR Tyson Foods OR Twitter OR Ternium sa OR Under Armour OR United Airlines OR Uber OR Udr Inc OR Universal Health OR Ulta Beauty OR Unum Group OR UPS OR Lockheed OR FEDEX CORPORATION OR United Rentals OR Ubs Group OR Unilever OR Caterpillar OR Boeing OR ARCELORMITTAL OR American Express OR Unitedhealth OR Unionpacific OR Us Bancorp OR US Steel OR Varian Medic OR Vulcan Mater OR Vornado Real OR Verisk Analy OR Ventas Inc OR VF Corp OR Netflix OR Valero Ener OR Nike OR MC Donald's OR Valley Ntion OR Verising Inc OR Vertex Pharm OR Wabtec Corp OR Workday Inc OR Western Dig OR Wec Energy G OR Welltower In OR Whirlpool Co OR Willis Tower OR Williams Cos OR Waste Manag OR Westrock Co OR Weyerhaeuser OR Wynn Resorts OR Western Bcor OR Waters Corp OR Walgreens OR Westernunion OR TRACK &amp; FIELD</v>
      </c>
    </row>
    <row r="502">
      <c r="A502" s="2">
        <v>0.0</v>
      </c>
      <c r="B502" s="2" t="s">
        <v>165</v>
      </c>
      <c r="C502" s="2" t="s">
        <v>2447</v>
      </c>
      <c r="D502" s="2" t="s">
        <v>1608</v>
      </c>
      <c r="E502" s="2" t="s">
        <v>2469</v>
      </c>
      <c r="F502" s="2" t="s">
        <v>2470</v>
      </c>
      <c r="G502" s="2" t="s">
        <v>1013</v>
      </c>
      <c r="H502" s="34" t="s">
        <v>2471</v>
      </c>
      <c r="O502"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 OR IBM OR Microsoft OR Oracle OR Qualcomm OR Xerox OR Abbott Laboratories OR Bristolmyers OR Johnson OR Merck OR Pfizer OR Exxon Mobile OR Chevron OR Cophillips OR Halliburton OR Schlumberger OR Tyson Foods OR Twitter OR Ternium sa OR Under Armour OR United Airlines OR Uber OR Udr Inc OR Universal Health OR Ulta Beauty OR Unum Group OR UPS OR Lockheed OR FEDEX CORPORATION OR United Rentals OR Ubs Group OR Unilever OR Caterpillar OR Boeing OR ARCELORMITTAL OR American Express OR Unitedhealth OR Unionpacific OR Us Bancorp OR US Steel OR Varian Medic OR Vulcan Mater OR Vornado Real OR Verisk Analy OR Ventas Inc OR VF Corp OR Netflix OR Valero Ener OR Nike OR MC Donald's OR Valley Ntion OR Verising Inc OR Vertex Pharm OR Wabtec Corp OR Workday Inc OR Western Dig OR Wec Energy G OR Welltower In OR Whirlpool Co OR Willis Tower OR Williams Cos OR Waste Manag OR Westrock Co OR Weyerhaeuser OR Wynn Resorts OR Western Bcor OR Waters Corp OR Walgreens OR Westernunion OR TRACK &amp; FIELD OR Xcel Energy</v>
      </c>
    </row>
    <row r="503">
      <c r="A503" s="2">
        <v>0.0</v>
      </c>
      <c r="B503" s="2" t="s">
        <v>2405</v>
      </c>
      <c r="C503" s="2" t="s">
        <v>2405</v>
      </c>
      <c r="D503" s="2" t="s">
        <v>2405</v>
      </c>
      <c r="E503" s="2" t="s">
        <v>588</v>
      </c>
      <c r="F503" s="2" t="s">
        <v>2472</v>
      </c>
      <c r="G503" s="2" t="s">
        <v>2378</v>
      </c>
      <c r="H503" s="30" t="s">
        <v>590</v>
      </c>
      <c r="L503" s="2" t="s">
        <v>2380</v>
      </c>
      <c r="O503"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 OR IBM OR Microsoft OR Oracle OR Qualcomm OR Xerox OR Abbott Laboratories OR Bristolmyers OR Johnson OR Merck OR Pfizer OR Exxon Mobile OR Chevron OR Cophillips OR Halliburton OR Schlumberger OR Tyson Foods OR Twitter OR Ternium sa OR Under Armour OR United Airlines OR Uber OR Udr Inc OR Universal Health OR Ulta Beauty OR Unum Group OR UPS OR Lockheed OR FEDEX CORPORATION OR United Rentals OR Ubs Group OR Unilever OR Caterpillar OR Boeing OR ARCELORMITTAL OR American Express OR Unitedhealth OR Unionpacific OR Us Bancorp OR US Steel OR Varian Medic OR Vulcan Mater OR Vornado Real OR Verisk Analy OR Ventas Inc OR VF Corp OR Netflix OR Valero Ener OR Nike OR MC Donald's OR Valley Ntion OR Verising Inc OR Vertex Pharm OR Wabtec Corp OR Workday Inc OR Western Dig OR Wec Energy G OR Welltower In OR Whirlpool Co OR Willis Tower OR Williams Cos OR Waste Manag OR Westrock Co OR Weyerhaeuser OR Wynn Resorts OR Western Bcor OR Waters Corp OR Walgreens OR Westernunion OR TRACK &amp; FIELD OR Xcel Energy OR Home Depot</v>
      </c>
    </row>
    <row r="504">
      <c r="A504" s="2">
        <v>0.0</v>
      </c>
      <c r="B504" s="2" t="s">
        <v>165</v>
      </c>
      <c r="C504" s="2" t="s">
        <v>1430</v>
      </c>
      <c r="D504" s="2" t="s">
        <v>1738</v>
      </c>
      <c r="E504" s="4" t="s">
        <v>178</v>
      </c>
      <c r="F504" s="2" t="s">
        <v>2473</v>
      </c>
      <c r="G504" s="2" t="s">
        <v>2378</v>
      </c>
      <c r="H504" s="37" t="s">
        <v>179</v>
      </c>
      <c r="I504" s="37" t="s">
        <v>180</v>
      </c>
      <c r="L504" s="2" t="s">
        <v>2380</v>
      </c>
      <c r="O504"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 OR IBM OR Microsoft OR Oracle OR Qualcomm OR Xerox OR Abbott Laboratories OR Bristolmyers OR Johnson OR Merck OR Pfizer OR Exxon Mobile OR Chevron OR Cophillips OR Halliburton OR Schlumberger OR Tyson Foods OR Twitter OR Ternium sa OR Under Armour OR United Airlines OR Uber OR Udr Inc OR Universal Health OR Ulta Beauty OR Unum Group OR UPS OR Lockheed OR FEDEX CORPORATION OR United Rentals OR Ubs Group OR Unilever OR Caterpillar OR Boeing OR ARCELORMITTAL OR American Express OR Unitedhealth OR Unionpacific OR Us Bancorp OR US Steel OR Varian Medic OR Vulcan Mater OR Vornado Real OR Verisk Analy OR Ventas Inc OR VF Corp OR Netflix OR Valero Ener OR Nike OR MC Donald's OR Valley Ntion OR Verising Inc OR Vertex Pharm OR Wabtec Corp OR Workday Inc OR Western Dig OR Wec Energy G OR Welltower In OR Whirlpool Co OR Willis Tower OR Williams Cos OR Waste Manag OR Westrock Co OR Weyerhaeuser OR Wynn Resorts OR Western Bcor OR Waters Corp OR Walgreens OR Westernunion OR TRACK &amp; FIELD OR Xcel Energy OR Home Depot OR Ford Motors</v>
      </c>
    </row>
    <row r="505">
      <c r="A505" s="2">
        <v>0.0</v>
      </c>
      <c r="B505" s="2" t="s">
        <v>165</v>
      </c>
      <c r="C505" s="2" t="s">
        <v>1643</v>
      </c>
      <c r="D505" s="2" t="s">
        <v>1643</v>
      </c>
      <c r="E505" s="4" t="s">
        <v>181</v>
      </c>
      <c r="F505" s="2" t="s">
        <v>2474</v>
      </c>
      <c r="G505" s="2" t="s">
        <v>2378</v>
      </c>
      <c r="H505" s="37" t="s">
        <v>182</v>
      </c>
      <c r="I505" s="37" t="s">
        <v>183</v>
      </c>
      <c r="L505" s="2" t="s">
        <v>2380</v>
      </c>
      <c r="O505"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 OR IBM OR Microsoft OR Oracle OR Qualcomm OR Xerox OR Abbott Laboratories OR Bristolmyers OR Johnson OR Merck OR Pfizer OR Exxon Mobile OR Chevron OR Cophillips OR Halliburton OR Schlumberger OR Tyson Foods OR Twitter OR Ternium sa OR Under Armour OR United Airlines OR Uber OR Udr Inc OR Universal Health OR Ulta Beauty OR Unum Group OR UPS OR Lockheed OR FEDEX CORPORATION OR United Rentals OR Ubs Group OR Unilever OR Caterpillar OR Boeing OR ARCELORMITTAL OR American Express OR Unitedhealth OR Unionpacific OR Us Bancorp OR US Steel OR Varian Medic OR Vulcan Mater OR Vornado Real OR Verisk Analy OR Ventas Inc OR VF Corp OR Netflix OR Valero Ener OR Nike OR MC Donald's OR Valley Ntion OR Verising Inc OR Vertex Pharm OR Wabtec Corp OR Workday Inc OR Western Dig OR Wec Energy G OR Welltower In OR Whirlpool Co OR Willis Tower OR Williams Cos OR Waste Manag OR Westrock Co OR Weyerhaeuser OR Wynn Resorts OR Western Bcor OR Waters Corp OR Walgreens OR Westernunion OR TRACK &amp; FIELD OR Xcel Energy OR Home Depot OR Ford Motors OR Comcast</v>
      </c>
    </row>
    <row r="506">
      <c r="A506" s="2">
        <v>0.0</v>
      </c>
      <c r="B506" s="2" t="s">
        <v>1823</v>
      </c>
      <c r="C506" s="2" t="s">
        <v>1835</v>
      </c>
      <c r="D506" s="2" t="s">
        <v>1836</v>
      </c>
      <c r="E506" s="4" t="s">
        <v>184</v>
      </c>
      <c r="F506" s="2" t="s">
        <v>2475</v>
      </c>
      <c r="G506" s="2" t="s">
        <v>2378</v>
      </c>
      <c r="H506" s="5" t="s">
        <v>185</v>
      </c>
      <c r="I506" s="12" t="s">
        <v>2476</v>
      </c>
      <c r="L506" s="2" t="s">
        <v>2380</v>
      </c>
      <c r="O506"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 OR IBM OR Microsoft OR Oracle OR Qualcomm OR Xerox OR Abbott Laboratories OR Bristolmyers OR Johnson OR Merck OR Pfizer OR Exxon Mobile OR Chevron OR Cophillips OR Halliburton OR Schlumberger OR Tyson Foods OR Twitter OR Ternium sa OR Under Armour OR United Airlines OR Uber OR Udr Inc OR Universal Health OR Ulta Beauty OR Unum Group OR UPS OR Lockheed OR FEDEX CORPORATION OR United Rentals OR Ubs Group OR Unilever OR Caterpillar OR Boeing OR ARCELORMITTAL OR American Express OR Unitedhealth OR Unionpacific OR Us Bancorp OR US Steel OR Varian Medic OR Vulcan Mater OR Vornado Real OR Verisk Analy OR Ventas Inc OR VF Corp OR Netflix OR Valero Ener OR Nike OR MC Donald's OR Valley Ntion OR Verising Inc OR Vertex Pharm OR Wabtec Corp OR Workday Inc OR Western Dig OR Wec Energy G OR Welltower In OR Whirlpool Co OR Willis Tower OR Williams Cos OR Waste Manag OR Westrock Co OR Weyerhaeuser OR Wynn Resorts OR Western Bcor OR Waters Corp OR Walgreens OR Westernunion OR TRACK &amp; FIELD OR Xcel Energy OR Home Depot OR Ford Motors OR Comcast OR Amazon</v>
      </c>
    </row>
    <row r="507">
      <c r="A507" s="2">
        <v>0.0</v>
      </c>
      <c r="B507" s="2" t="s">
        <v>165</v>
      </c>
      <c r="C507" s="2" t="s">
        <v>1430</v>
      </c>
      <c r="D507" s="2" t="s">
        <v>1738</v>
      </c>
      <c r="E507" s="4" t="s">
        <v>186</v>
      </c>
      <c r="F507" s="2" t="s">
        <v>2477</v>
      </c>
      <c r="G507" s="2" t="s">
        <v>2378</v>
      </c>
      <c r="H507" s="5" t="s">
        <v>187</v>
      </c>
      <c r="I507" s="2" t="s">
        <v>2478</v>
      </c>
      <c r="O507"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 OR IBM OR Microsoft OR Oracle OR Qualcomm OR Xerox OR Abbott Laboratories OR Bristolmyers OR Johnson OR Merck OR Pfizer OR Exxon Mobile OR Chevron OR Cophillips OR Halliburton OR Schlumberger OR Tyson Foods OR Twitter OR Ternium sa OR Under Armour OR United Airlines OR Uber OR Udr Inc OR Universal Health OR Ulta Beauty OR Unum Group OR UPS OR Lockheed OR FEDEX CORPORATION OR United Rentals OR Ubs Group OR Unilever OR Caterpillar OR Boeing OR ARCELORMITTAL OR American Express OR Unitedhealth OR Unionpacific OR Us Bancorp OR US Steel OR Varian Medic OR Vulcan Mater OR Vornado Real OR Verisk Analy OR Ventas Inc OR VF Corp OR Netflix OR Valero Ener OR Nike OR MC Donald's OR Valley Ntion OR Verising Inc OR Vertex Pharm OR Wabtec Corp OR Workday Inc OR Western Dig OR Wec Energy G OR Welltower In OR Whirlpool Co OR Willis Tower OR Williams Cos OR Waste Manag OR Westrock Co OR Weyerhaeuser OR Wynn Resorts OR Western Bcor OR Waters Corp OR Walgreens OR Westernunion OR TRACK &amp; FIELD OR Xcel Energy OR Home Depot OR Ford Motors OR Comcast OR Amazon OR Starbucks</v>
      </c>
    </row>
    <row r="508">
      <c r="A508" s="2">
        <v>0.0</v>
      </c>
      <c r="B508" s="2" t="s">
        <v>165</v>
      </c>
      <c r="C508" s="2" t="s">
        <v>1653</v>
      </c>
      <c r="D508" s="2" t="s">
        <v>1660</v>
      </c>
      <c r="E508" s="2" t="s">
        <v>294</v>
      </c>
      <c r="G508" s="2" t="s">
        <v>2378</v>
      </c>
      <c r="H508" s="2" t="s">
        <v>295</v>
      </c>
      <c r="I508" s="2" t="s">
        <v>320</v>
      </c>
      <c r="O508"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 OR IBM OR Microsoft OR Oracle OR Qualcomm OR Xerox OR Abbott Laboratories OR Bristolmyers OR Johnson OR Merck OR Pfizer OR Exxon Mobile OR Chevron OR Cophillips OR Halliburton OR Schlumberger OR Tyson Foods OR Twitter OR Ternium sa OR Under Armour OR United Airlines OR Uber OR Udr Inc OR Universal Health OR Ulta Beauty OR Unum Group OR UPS OR Lockheed OR FEDEX CORPORATION OR United Rentals OR Ubs Group OR Unilever OR Caterpillar OR Boeing OR ARCELORMITTAL OR American Express OR Unitedhealth OR Unionpacific OR Us Bancorp OR US Steel OR Varian Medic OR Vulcan Mater OR Vornado Real OR Verisk Analy OR Ventas Inc OR VF Corp OR Netflix OR Valero Ener OR Nike OR MC Donald's OR Valley Ntion OR Verising Inc OR Vertex Pharm OR Wabtec Corp OR Workday Inc OR Western Dig OR Wec Energy G OR Welltower In OR Whirlpool Co OR Willis Tower OR Williams Cos OR Waste Manag OR Westrock Co OR Weyerhaeuser OR Wynn Resorts OR Western Bcor OR Waters Corp OR Walgreens OR Westernunion OR TRACK &amp; FIELD OR Xcel Energy OR Home Depot OR Ford Motors OR Comcast OR Amazon OR Starbucks OR Xilinx Inc</v>
      </c>
    </row>
    <row r="509">
      <c r="A509" s="2">
        <v>0.0</v>
      </c>
      <c r="B509" s="2" t="s">
        <v>2405</v>
      </c>
      <c r="C509" s="2" t="s">
        <v>2405</v>
      </c>
      <c r="D509" s="2" t="s">
        <v>2405</v>
      </c>
      <c r="E509" s="2" t="s">
        <v>585</v>
      </c>
      <c r="F509" s="2" t="s">
        <v>2479</v>
      </c>
      <c r="G509" s="2" t="s">
        <v>2378</v>
      </c>
      <c r="H509" s="5" t="s">
        <v>587</v>
      </c>
      <c r="I509" s="5" t="s">
        <v>586</v>
      </c>
      <c r="O509"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 OR IBM OR Microsoft OR Oracle OR Qualcomm OR Xerox OR Abbott Laboratories OR Bristolmyers OR Johnson OR Merck OR Pfizer OR Exxon Mobile OR Chevron OR Cophillips OR Halliburton OR Schlumberger OR Tyson Foods OR Twitter OR Ternium sa OR Under Armour OR United Airlines OR Uber OR Udr Inc OR Universal Health OR Ulta Beauty OR Unum Group OR UPS OR Lockheed OR FEDEX CORPORATION OR United Rentals OR Ubs Group OR Unilever OR Caterpillar OR Boeing OR ARCELORMITTAL OR American Express OR Unitedhealth OR Unionpacific OR Us Bancorp OR US Steel OR Varian Medic OR Vulcan Mater OR Vornado Real OR Verisk Analy OR Ventas Inc OR VF Corp OR Netflix OR Valero Ener OR Nike OR MC Donald's OR Valley Ntion OR Verising Inc OR Vertex Pharm OR Wabtec Corp OR Workday Inc OR Western Dig OR Wec Energy G OR Welltower In OR Whirlpool Co OR Willis Tower OR Williams Cos OR Waste Manag OR Westrock Co OR Weyerhaeuser OR Wynn Resorts OR Western Bcor OR Waters Corp OR Walgreens OR Westernunion OR TRACK &amp; FIELD OR Xcel Energy OR Home Depot OR Ford Motors OR Comcast OR Amazon OR Starbucks OR Xilinx Inc OR Xylem Inc</v>
      </c>
    </row>
    <row r="510">
      <c r="A510" s="2">
        <v>0.0</v>
      </c>
      <c r="B510" s="2" t="s">
        <v>2405</v>
      </c>
      <c r="C510" s="2" t="s">
        <v>2405</v>
      </c>
      <c r="D510" s="2" t="s">
        <v>2405</v>
      </c>
      <c r="E510" s="2" t="s">
        <v>582</v>
      </c>
      <c r="F510" s="2" t="s">
        <v>2480</v>
      </c>
      <c r="G510" s="2" t="s">
        <v>2378</v>
      </c>
      <c r="H510" s="5" t="s">
        <v>584</v>
      </c>
      <c r="I510" s="5" t="s">
        <v>583</v>
      </c>
      <c r="O510"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 OR IBM OR Microsoft OR Oracle OR Qualcomm OR Xerox OR Abbott Laboratories OR Bristolmyers OR Johnson OR Merck OR Pfizer OR Exxon Mobile OR Chevron OR Cophillips OR Halliburton OR Schlumberger OR Tyson Foods OR Twitter OR Ternium sa OR Under Armour OR United Airlines OR Uber OR Udr Inc OR Universal Health OR Ulta Beauty OR Unum Group OR UPS OR Lockheed OR FEDEX CORPORATION OR United Rentals OR Ubs Group OR Unilever OR Caterpillar OR Boeing OR ARCELORMITTAL OR American Express OR Unitedhealth OR Unionpacific OR Us Bancorp OR US Steel OR Varian Medic OR Vulcan Mater OR Vornado Real OR Verisk Analy OR Ventas Inc OR VF Corp OR Netflix OR Valero Ener OR Nike OR MC Donald's OR Valley Ntion OR Verising Inc OR Vertex Pharm OR Wabtec Corp OR Workday Inc OR Western Dig OR Wec Energy G OR Welltower In OR Whirlpool Co OR Willis Tower OR Williams Cos OR Waste Manag OR Westrock Co OR Weyerhaeuser OR Wynn Resorts OR Western Bcor OR Waters Corp OR Walgreens OR Westernunion OR TRACK &amp; FIELD OR Xcel Energy OR Home Depot OR Ford Motors OR Comcast OR Amazon OR Starbucks OR Xilinx Inc OR Xylem Inc OR Dentsply Sir</v>
      </c>
    </row>
    <row r="511">
      <c r="A511" s="2">
        <v>0.0</v>
      </c>
      <c r="B511" s="2" t="s">
        <v>2405</v>
      </c>
      <c r="C511" s="2" t="s">
        <v>2405</v>
      </c>
      <c r="D511" s="2" t="s">
        <v>2405</v>
      </c>
      <c r="E511" s="2" t="s">
        <v>579</v>
      </c>
      <c r="F511" s="2" t="s">
        <v>2481</v>
      </c>
      <c r="G511" s="2" t="s">
        <v>2378</v>
      </c>
      <c r="H511" s="5" t="s">
        <v>581</v>
      </c>
      <c r="I511" s="5" t="s">
        <v>580</v>
      </c>
      <c r="O511"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 OR IBM OR Microsoft OR Oracle OR Qualcomm OR Xerox OR Abbott Laboratories OR Bristolmyers OR Johnson OR Merck OR Pfizer OR Exxon Mobile OR Chevron OR Cophillips OR Halliburton OR Schlumberger OR Tyson Foods OR Twitter OR Ternium sa OR Under Armour OR United Airlines OR Uber OR Udr Inc OR Universal Health OR Ulta Beauty OR Unum Group OR UPS OR Lockheed OR FEDEX CORPORATION OR United Rentals OR Ubs Group OR Unilever OR Caterpillar OR Boeing OR ARCELORMITTAL OR American Express OR Unitedhealth OR Unionpacific OR Us Bancorp OR US Steel OR Varian Medic OR Vulcan Mater OR Vornado Real OR Verisk Analy OR Ventas Inc OR VF Corp OR Netflix OR Valero Ener OR Nike OR MC Donald's OR Valley Ntion OR Verising Inc OR Vertex Pharm OR Wabtec Corp OR Workday Inc OR Western Dig OR Wec Energy G OR Welltower In OR Whirlpool Co OR Willis Tower OR Williams Cos OR Waste Manag OR Westrock Co OR Weyerhaeuser OR Wynn Resorts OR Western Bcor OR Waters Corp OR Walgreens OR Westernunion OR TRACK &amp; FIELD OR Xcel Energy OR Home Depot OR Ford Motors OR Comcast OR Amazon OR Starbucks OR Xilinx Inc OR Xylem Inc OR Dentsply Sir OR Yum Brands</v>
      </c>
    </row>
    <row r="512">
      <c r="A512" s="2">
        <v>0.0</v>
      </c>
      <c r="B512" s="2" t="s">
        <v>2405</v>
      </c>
      <c r="C512" s="2" t="s">
        <v>2405</v>
      </c>
      <c r="D512" s="2" t="s">
        <v>2405</v>
      </c>
      <c r="E512" s="2" t="s">
        <v>576</v>
      </c>
      <c r="F512" s="2" t="s">
        <v>2482</v>
      </c>
      <c r="G512" s="2" t="s">
        <v>2378</v>
      </c>
      <c r="H512" s="5" t="s">
        <v>578</v>
      </c>
      <c r="I512" s="5" t="s">
        <v>577</v>
      </c>
      <c r="O512"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 OR IBM OR Microsoft OR Oracle OR Qualcomm OR Xerox OR Abbott Laboratories OR Bristolmyers OR Johnson OR Merck OR Pfizer OR Exxon Mobile OR Chevron OR Cophillips OR Halliburton OR Schlumberger OR Tyson Foods OR Twitter OR Ternium sa OR Under Armour OR United Airlines OR Uber OR Udr Inc OR Universal Health OR Ulta Beauty OR Unum Group OR UPS OR Lockheed OR FEDEX CORPORATION OR United Rentals OR Ubs Group OR Unilever OR Caterpillar OR Boeing OR ARCELORMITTAL OR American Express OR Unitedhealth OR Unionpacific OR Us Bancorp OR US Steel OR Varian Medic OR Vulcan Mater OR Vornado Real OR Verisk Analy OR Ventas Inc OR VF Corp OR Netflix OR Valero Ener OR Nike OR MC Donald's OR Valley Ntion OR Verising Inc OR Vertex Pharm OR Wabtec Corp OR Workday Inc OR Western Dig OR Wec Energy G OR Welltower In OR Whirlpool Co OR Willis Tower OR Williams Cos OR Waste Manag OR Westrock Co OR Weyerhaeuser OR Wynn Resorts OR Western Bcor OR Waters Corp OR Walgreens OR Westernunion OR TRACK &amp; FIELD OR Xcel Energy OR Home Depot OR Ford Motors OR Comcast OR Amazon OR Starbucks OR Xilinx Inc OR Xylem Inc OR Dentsply Sir OR Yum Brands OR Zimmer Biome</v>
      </c>
    </row>
    <row r="513">
      <c r="A513" s="2">
        <v>0.0</v>
      </c>
      <c r="B513" s="2" t="s">
        <v>2405</v>
      </c>
      <c r="C513" s="2" t="s">
        <v>2405</v>
      </c>
      <c r="D513" s="2" t="s">
        <v>2405</v>
      </c>
      <c r="E513" s="2" t="s">
        <v>573</v>
      </c>
      <c r="F513" s="2" t="s">
        <v>2483</v>
      </c>
      <c r="G513" s="2" t="s">
        <v>2378</v>
      </c>
      <c r="H513" s="5" t="s">
        <v>575</v>
      </c>
      <c r="I513" s="5" t="s">
        <v>574</v>
      </c>
      <c r="O513"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 OR IBM OR Microsoft OR Oracle OR Qualcomm OR Xerox OR Abbott Laboratories OR Bristolmyers OR Johnson OR Merck OR Pfizer OR Exxon Mobile OR Chevron OR Cophillips OR Halliburton OR Schlumberger OR Tyson Foods OR Twitter OR Ternium sa OR Under Armour OR United Airlines OR Uber OR Udr Inc OR Universal Health OR Ulta Beauty OR Unum Group OR UPS OR Lockheed OR FEDEX CORPORATION OR United Rentals OR Ubs Group OR Unilever OR Caterpillar OR Boeing OR ARCELORMITTAL OR American Express OR Unitedhealth OR Unionpacific OR Us Bancorp OR US Steel OR Varian Medic OR Vulcan Mater OR Vornado Real OR Verisk Analy OR Ventas Inc OR VF Corp OR Netflix OR Valero Ener OR Nike OR MC Donald's OR Valley Ntion OR Verising Inc OR Vertex Pharm OR Wabtec Corp OR Workday Inc OR Western Dig OR Wec Energy G OR Welltower In OR Whirlpool Co OR Willis Tower OR Williams Cos OR Waste Manag OR Westrock Co OR Weyerhaeuser OR Wynn Resorts OR Western Bcor OR Waters Corp OR Walgreens OR Westernunion OR TRACK &amp; FIELD OR Xcel Energy OR Home Depot OR Ford Motors OR Comcast OR Amazon OR Starbucks OR Xilinx Inc OR Xylem Inc OR Dentsply Sir OR Yum Brands OR Zimmer Biome OR Zionsbancorp</v>
      </c>
    </row>
    <row r="514">
      <c r="A514" s="2">
        <v>0.0</v>
      </c>
      <c r="B514" s="2" t="s">
        <v>2405</v>
      </c>
      <c r="C514" s="2" t="s">
        <v>2405</v>
      </c>
      <c r="D514" s="2" t="s">
        <v>2405</v>
      </c>
      <c r="E514" s="2" t="s">
        <v>570</v>
      </c>
      <c r="F514" s="2" t="s">
        <v>2484</v>
      </c>
      <c r="G514" s="2" t="s">
        <v>2378</v>
      </c>
      <c r="H514" s="5" t="s">
        <v>572</v>
      </c>
      <c r="I514" s="5" t="s">
        <v>571</v>
      </c>
      <c r="O514"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 OR IBM OR Microsoft OR Oracle OR Qualcomm OR Xerox OR Abbott Laboratories OR Bristolmyers OR Johnson OR Merck OR Pfizer OR Exxon Mobile OR Chevron OR Cophillips OR Halliburton OR Schlumberger OR Tyson Foods OR Twitter OR Ternium sa OR Under Armour OR United Airlines OR Uber OR Udr Inc OR Universal Health OR Ulta Beauty OR Unum Group OR UPS OR Lockheed OR FEDEX CORPORATION OR United Rentals OR Ubs Group OR Unilever OR Caterpillar OR Boeing OR ARCELORMITTAL OR American Express OR Unitedhealth OR Unionpacific OR Us Bancorp OR US Steel OR Varian Medic OR Vulcan Mater OR Vornado Real OR Verisk Analy OR Ventas Inc OR VF Corp OR Netflix OR Valero Ener OR Nike OR MC Donald's OR Valley Ntion OR Verising Inc OR Vertex Pharm OR Wabtec Corp OR Workday Inc OR Western Dig OR Wec Energy G OR Welltower In OR Whirlpool Co OR Willis Tower OR Williams Cos OR Waste Manag OR Westrock Co OR Weyerhaeuser OR Wynn Resorts OR Western Bcor OR Waters Corp OR Walgreens OR Westernunion OR TRACK &amp; FIELD OR Xcel Energy OR Home Depot OR Ford Motors OR Comcast OR Amazon OR Starbucks OR Xilinx Inc OR Xylem Inc OR Dentsply Sir OR Yum Brands OR Zimmer Biome OR Zionsbancorp OR ZOETIS INC</v>
      </c>
    </row>
    <row r="515">
      <c r="A515" s="2">
        <v>0.0</v>
      </c>
      <c r="B515" s="2" t="s">
        <v>2405</v>
      </c>
      <c r="C515" s="2" t="s">
        <v>2405</v>
      </c>
      <c r="D515" s="2" t="s">
        <v>2405</v>
      </c>
      <c r="E515" s="2" t="s">
        <v>2485</v>
      </c>
      <c r="F515" s="2" t="s">
        <v>2486</v>
      </c>
      <c r="G515" s="2" t="s">
        <v>2378</v>
      </c>
      <c r="H515" s="5" t="s">
        <v>569</v>
      </c>
      <c r="I515" s="5" t="s">
        <v>568</v>
      </c>
      <c r="O515"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 OR IBM OR Microsoft OR Oracle OR Qualcomm OR Xerox OR Abbott Laboratories OR Bristolmyers OR Johnson OR Merck OR Pfizer OR Exxon Mobile OR Chevron OR Cophillips OR Halliburton OR Schlumberger OR Tyson Foods OR Twitter OR Ternium sa OR Under Armour OR United Airlines OR Uber OR Udr Inc OR Universal Health OR Ulta Beauty OR Unum Group OR UPS OR Lockheed OR FEDEX CORPORATION OR United Rentals OR Ubs Group OR Unilever OR Caterpillar OR Boeing OR ARCELORMITTAL OR American Express OR Unitedhealth OR Unionpacific OR Us Bancorp OR US Steel OR Varian Medic OR Vulcan Mater OR Vornado Real OR Verisk Analy OR Ventas Inc OR VF Corp OR Netflix OR Valero Ener OR Nike OR MC Donald's OR Valley Ntion OR Verising Inc OR Vertex Pharm OR Wabtec Corp OR Workday Inc OR Western Dig OR Wec Energy G OR Welltower In OR Whirlpool Co OR Willis Tower OR Williams Cos OR Waste Manag OR Westrock Co OR Weyerhaeuser OR Wynn Resorts OR Western Bcor OR Waters Corp OR Walgreens OR Westernunion OR TRACK &amp; FIELD OR Xcel Energy OR Home Depot OR Ford Motors OR Comcast OR Amazon OR Starbucks OR Xilinx Inc OR Xylem Inc OR Dentsply Sir OR Yum Brands OR Zimmer Biome OR Zionsbancorp OR ZOETIS INC OR Freeport</v>
      </c>
    </row>
    <row r="516">
      <c r="A516" s="2">
        <v>0.0</v>
      </c>
      <c r="B516" s="2" t="s">
        <v>507</v>
      </c>
      <c r="C516" s="2" t="s">
        <v>1025</v>
      </c>
      <c r="D516" s="2" t="s">
        <v>1026</v>
      </c>
      <c r="E516" s="4" t="s">
        <v>511</v>
      </c>
      <c r="F516" s="2" t="s">
        <v>2487</v>
      </c>
      <c r="G516" s="2" t="s">
        <v>2378</v>
      </c>
      <c r="H516" s="5" t="s">
        <v>513</v>
      </c>
      <c r="I516" s="5" t="s">
        <v>512</v>
      </c>
      <c r="O516"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 OR IBM OR Microsoft OR Oracle OR Qualcomm OR Xerox OR Abbott Laboratories OR Bristolmyers OR Johnson OR Merck OR Pfizer OR Exxon Mobile OR Chevron OR Cophillips OR Halliburton OR Schlumberger OR Tyson Foods OR Twitter OR Ternium sa OR Under Armour OR United Airlines OR Uber OR Udr Inc OR Universal Health OR Ulta Beauty OR Unum Group OR UPS OR Lockheed OR FEDEX CORPORATION OR United Rentals OR Ubs Group OR Unilever OR Caterpillar OR Boeing OR ARCELORMITTAL OR American Express OR Unitedhealth OR Unionpacific OR Us Bancorp OR US Steel OR Varian Medic OR Vulcan Mater OR Vornado Real OR Verisk Analy OR Ventas Inc OR VF Corp OR Netflix OR Valero Ener OR Nike OR MC Donald's OR Valley Ntion OR Verising Inc OR Vertex Pharm OR Wabtec Corp OR Workday Inc OR Western Dig OR Wec Energy G OR Welltower In OR Whirlpool Co OR Willis Tower OR Williams Cos OR Waste Manag OR Westrock Co OR Weyerhaeuser OR Wynn Resorts OR Western Bcor OR Waters Corp OR Walgreens OR Westernunion OR TRACK &amp; FIELD OR Xcel Energy OR Home Depot OR Ford Motors OR Comcast OR Amazon OR Starbucks OR Xilinx Inc OR Xylem Inc OR Dentsply Sir OR Yum Brands OR Zimmer Biome OR Zionsbancorp OR ZOETIS INC OR Freeport OR BB Seguridade</v>
      </c>
    </row>
    <row r="517">
      <c r="A517" s="2">
        <v>0.0</v>
      </c>
      <c r="B517" s="2" t="s">
        <v>375</v>
      </c>
      <c r="C517" s="2" t="s">
        <v>2195</v>
      </c>
      <c r="D517" s="2" t="s">
        <v>2488</v>
      </c>
      <c r="E517" s="4" t="s">
        <v>498</v>
      </c>
      <c r="F517" s="2" t="s">
        <v>2208</v>
      </c>
      <c r="G517" s="2" t="s">
        <v>1001</v>
      </c>
      <c r="H517" s="5" t="s">
        <v>499</v>
      </c>
      <c r="I517" s="43" t="s">
        <v>2209</v>
      </c>
      <c r="O517"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 OR IBM OR Microsoft OR Oracle OR Qualcomm OR Xerox OR Abbott Laboratories OR Bristolmyers OR Johnson OR Merck OR Pfizer OR Exxon Mobile OR Chevron OR Cophillips OR Halliburton OR Schlumberger OR Tyson Foods OR Twitter OR Ternium sa OR Under Armour OR United Airlines OR Uber OR Udr Inc OR Universal Health OR Ulta Beauty OR Unum Group OR UPS OR Lockheed OR FEDEX CORPORATION OR United Rentals OR Ubs Group OR Unilever OR Caterpillar OR Boeing OR ARCELORMITTAL OR American Express OR Unitedhealth OR Unionpacific OR Us Bancorp OR US Steel OR Varian Medic OR Vulcan Mater OR Vornado Real OR Verisk Analy OR Ventas Inc OR VF Corp OR Netflix OR Valero Ener OR Nike OR MC Donald's OR Valley Ntion OR Verising Inc OR Vertex Pharm OR Wabtec Corp OR Workday Inc OR Western Dig OR Wec Energy G OR Welltower In OR Whirlpool Co OR Willis Tower OR Williams Cos OR Waste Manag OR Westrock Co OR Weyerhaeuser OR Wynn Resorts OR Western Bcor OR Waters Corp OR Walgreens OR Westernunion OR TRACK &amp; FIELD OR Xcel Energy OR Home Depot OR Ford Motors OR Comcast OR Amazon OR Starbucks OR Xilinx Inc OR Xylem Inc OR Dentsply Sir OR Yum Brands OR Zimmer Biome OR Zionsbancorp OR ZOETIS INC OR Freeport OR BB Seguridade OR 3M</v>
      </c>
    </row>
    <row r="518">
      <c r="A518" s="2">
        <v>0.0</v>
      </c>
      <c r="B518" s="2" t="s">
        <v>375</v>
      </c>
      <c r="C518" s="2" t="s">
        <v>2278</v>
      </c>
      <c r="D518" s="2" t="s">
        <v>2278</v>
      </c>
      <c r="E518" s="2" t="s">
        <v>417</v>
      </c>
      <c r="F518" s="2" t="s">
        <v>2489</v>
      </c>
      <c r="G518" s="2" t="s">
        <v>2378</v>
      </c>
      <c r="H518" s="5" t="s">
        <v>419</v>
      </c>
      <c r="I518" s="5" t="s">
        <v>418</v>
      </c>
      <c r="O518"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 OR IBM OR Microsoft OR Oracle OR Qualcomm OR Xerox OR Abbott Laboratories OR Bristolmyers OR Johnson OR Merck OR Pfizer OR Exxon Mobile OR Chevron OR Cophillips OR Halliburton OR Schlumberger OR Tyson Foods OR Twitter OR Ternium sa OR Under Armour OR United Airlines OR Uber OR Udr Inc OR Universal Health OR Ulta Beauty OR Unum Group OR UPS OR Lockheed OR FEDEX CORPORATION OR United Rentals OR Ubs Group OR Unilever OR Caterpillar OR Boeing OR ARCELORMITTAL OR American Express OR Unitedhealth OR Unionpacific OR Us Bancorp OR US Steel OR Varian Medic OR Vulcan Mater OR Vornado Real OR Verisk Analy OR Ventas Inc OR VF Corp OR Netflix OR Valero Ener OR Nike OR MC Donald's OR Valley Ntion OR Verising Inc OR Vertex Pharm OR Wabtec Corp OR Workday Inc OR Western Dig OR Wec Energy G OR Welltower In OR Whirlpool Co OR Willis Tower OR Williams Cos OR Waste Manag OR Westrock Co OR Weyerhaeuser OR Wynn Resorts OR Western Bcor OR Waters Corp OR Walgreens OR Westernunion OR TRACK &amp; FIELD OR Xcel Energy OR Home Depot OR Ford Motors OR Comcast OR Amazon OR Starbucks OR Xilinx Inc OR Xylem Inc OR Dentsply Sir OR Yum Brands OR Zimmer Biome OR Zionsbancorp OR ZOETIS INC OR Freeport OR BB Seguridade OR 3M OR Bank America</v>
      </c>
    </row>
    <row r="519">
      <c r="A519" s="2">
        <v>0.0</v>
      </c>
      <c r="B519" s="2" t="s">
        <v>375</v>
      </c>
      <c r="C519" s="2" t="s">
        <v>2024</v>
      </c>
      <c r="D519" s="2" t="s">
        <v>2025</v>
      </c>
      <c r="E519" s="2" t="s">
        <v>414</v>
      </c>
      <c r="F519" s="2" t="s">
        <v>2490</v>
      </c>
      <c r="G519" s="2" t="s">
        <v>2378</v>
      </c>
      <c r="H519" s="5" t="s">
        <v>416</v>
      </c>
      <c r="I519" s="2" t="s">
        <v>415</v>
      </c>
      <c r="O519"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 OR IBM OR Microsoft OR Oracle OR Qualcomm OR Xerox OR Abbott Laboratories OR Bristolmyers OR Johnson OR Merck OR Pfizer OR Exxon Mobile OR Chevron OR Cophillips OR Halliburton OR Schlumberger OR Tyson Foods OR Twitter OR Ternium sa OR Under Armour OR United Airlines OR Uber OR Udr Inc OR Universal Health OR Ulta Beauty OR Unum Group OR UPS OR Lockheed OR FEDEX CORPORATION OR United Rentals OR Ubs Group OR Unilever OR Caterpillar OR Boeing OR ARCELORMITTAL OR American Express OR Unitedhealth OR Unionpacific OR Us Bancorp OR US Steel OR Varian Medic OR Vulcan Mater OR Vornado Real OR Verisk Analy OR Ventas Inc OR VF Corp OR Netflix OR Valero Ener OR Nike OR MC Donald's OR Valley Ntion OR Verising Inc OR Vertex Pharm OR Wabtec Corp OR Workday Inc OR Western Dig OR Wec Energy G OR Welltower In OR Whirlpool Co OR Willis Tower OR Williams Cos OR Waste Manag OR Westrock Co OR Weyerhaeuser OR Wynn Resorts OR Western Bcor OR Waters Corp OR Walgreens OR Westernunion OR TRACK &amp; FIELD OR Xcel Energy OR Home Depot OR Ford Motors OR Comcast OR Amazon OR Starbucks OR Xilinx Inc OR Xylem Inc OR Dentsply Sir OR Yum Brands OR Zimmer Biome OR Zionsbancorp OR ZOETIS INC OR Freeport OR BB Seguridade OR 3M OR Bank America OR Citigroup</v>
      </c>
    </row>
    <row r="520">
      <c r="A520" s="2">
        <v>0.0</v>
      </c>
      <c r="B520" s="2" t="s">
        <v>375</v>
      </c>
      <c r="C520" s="2" t="s">
        <v>2024</v>
      </c>
      <c r="D520" s="2" t="s">
        <v>2025</v>
      </c>
      <c r="E520" s="2" t="s">
        <v>411</v>
      </c>
      <c r="F520" s="2" t="s">
        <v>2491</v>
      </c>
      <c r="G520" s="2" t="s">
        <v>2378</v>
      </c>
      <c r="H520" s="5" t="s">
        <v>413</v>
      </c>
      <c r="I520" s="2" t="s">
        <v>412</v>
      </c>
      <c r="O520"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 OR IBM OR Microsoft OR Oracle OR Qualcomm OR Xerox OR Abbott Laboratories OR Bristolmyers OR Johnson OR Merck OR Pfizer OR Exxon Mobile OR Chevron OR Cophillips OR Halliburton OR Schlumberger OR Tyson Foods OR Twitter OR Ternium sa OR Under Armour OR United Airlines OR Uber OR Udr Inc OR Universal Health OR Ulta Beauty OR Unum Group OR UPS OR Lockheed OR FEDEX CORPORATION OR United Rentals OR Ubs Group OR Unilever OR Caterpillar OR Boeing OR ARCELORMITTAL OR American Express OR Unitedhealth OR Unionpacific OR Us Bancorp OR US Steel OR Varian Medic OR Vulcan Mater OR Vornado Real OR Verisk Analy OR Ventas Inc OR VF Corp OR Netflix OR Valero Ener OR Nike OR MC Donald's OR Valley Ntion OR Verising Inc OR Vertex Pharm OR Wabtec Corp OR Workday Inc OR Western Dig OR Wec Energy G OR Welltower In OR Whirlpool Co OR Willis Tower OR Williams Cos OR Waste Manag OR Westrock Co OR Weyerhaeuser OR Wynn Resorts OR Western Bcor OR Waters Corp OR Walgreens OR Westernunion OR TRACK &amp; FIELD OR Xcel Energy OR Home Depot OR Ford Motors OR Comcast OR Amazon OR Starbucks OR Xilinx Inc OR Xylem Inc OR Dentsply Sir OR Yum Brands OR Zimmer Biome OR Zionsbancorp OR ZOETIS INC OR Freeport OR BB Seguridade OR 3M OR Bank America OR Citigroup OR Goldman Sachs</v>
      </c>
    </row>
    <row r="521">
      <c r="A521" s="2">
        <v>0.0</v>
      </c>
      <c r="B521" s="2" t="s">
        <v>375</v>
      </c>
      <c r="C521" s="2" t="s">
        <v>2024</v>
      </c>
      <c r="D521" s="2" t="s">
        <v>2025</v>
      </c>
      <c r="E521" s="2" t="s">
        <v>408</v>
      </c>
      <c r="F521" s="2" t="s">
        <v>2492</v>
      </c>
      <c r="G521" s="2" t="s">
        <v>2378</v>
      </c>
      <c r="H521" s="5" t="s">
        <v>410</v>
      </c>
      <c r="I521" s="5" t="s">
        <v>409</v>
      </c>
      <c r="O521"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 OR IBM OR Microsoft OR Oracle OR Qualcomm OR Xerox OR Abbott Laboratories OR Bristolmyers OR Johnson OR Merck OR Pfizer OR Exxon Mobile OR Chevron OR Cophillips OR Halliburton OR Schlumberger OR Tyson Foods OR Twitter OR Ternium sa OR Under Armour OR United Airlines OR Uber OR Udr Inc OR Universal Health OR Ulta Beauty OR Unum Group OR UPS OR Lockheed OR FEDEX CORPORATION OR United Rentals OR Ubs Group OR Unilever OR Caterpillar OR Boeing OR ARCELORMITTAL OR American Express OR Unitedhealth OR Unionpacific OR Us Bancorp OR US Steel OR Varian Medic OR Vulcan Mater OR Vornado Real OR Verisk Analy OR Ventas Inc OR VF Corp OR Netflix OR Valero Ener OR Nike OR MC Donald's OR Valley Ntion OR Verising Inc OR Vertex Pharm OR Wabtec Corp OR Workday Inc OR Western Dig OR Wec Energy G OR Welltower In OR Whirlpool Co OR Willis Tower OR Williams Cos OR Waste Manag OR Westrock Co OR Weyerhaeuser OR Wynn Resorts OR Western Bcor OR Waters Corp OR Walgreens OR Westernunion OR TRACK &amp; FIELD OR Xcel Energy OR Home Depot OR Ford Motors OR Comcast OR Amazon OR Starbucks OR Xilinx Inc OR Xylem Inc OR Dentsply Sir OR Yum Brands OR Zimmer Biome OR Zionsbancorp OR ZOETIS INC OR Freeport OR BB Seguridade OR 3M OR Bank America OR Citigroup OR Goldman Sachs OR GE</v>
      </c>
    </row>
    <row r="522">
      <c r="A522" s="2">
        <v>0.0</v>
      </c>
      <c r="B522" s="2" t="s">
        <v>375</v>
      </c>
      <c r="C522" s="2" t="s">
        <v>2278</v>
      </c>
      <c r="D522" s="2" t="s">
        <v>2278</v>
      </c>
      <c r="E522" s="2" t="s">
        <v>405</v>
      </c>
      <c r="F522" s="2" t="s">
        <v>2493</v>
      </c>
      <c r="G522" s="2" t="s">
        <v>2378</v>
      </c>
      <c r="H522" s="5" t="s">
        <v>407</v>
      </c>
      <c r="I522" s="5" t="s">
        <v>406</v>
      </c>
      <c r="O522"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 OR IBM OR Microsoft OR Oracle OR Qualcomm OR Xerox OR Abbott Laboratories OR Bristolmyers OR Johnson OR Merck OR Pfizer OR Exxon Mobile OR Chevron OR Cophillips OR Halliburton OR Schlumberger OR Tyson Foods OR Twitter OR Ternium sa OR Under Armour OR United Airlines OR Uber OR Udr Inc OR Universal Health OR Ulta Beauty OR Unum Group OR UPS OR Lockheed OR FEDEX CORPORATION OR United Rentals OR Ubs Group OR Unilever OR Caterpillar OR Boeing OR ARCELORMITTAL OR American Express OR Unitedhealth OR Unionpacific OR Us Bancorp OR US Steel OR Varian Medic OR Vulcan Mater OR Vornado Real OR Verisk Analy OR Ventas Inc OR VF Corp OR Netflix OR Valero Ener OR Nike OR MC Donald's OR Valley Ntion OR Verising Inc OR Vertex Pharm OR Wabtec Corp OR Workday Inc OR Western Dig OR Wec Energy G OR Welltower In OR Whirlpool Co OR Willis Tower OR Williams Cos OR Waste Manag OR Westrock Co OR Weyerhaeuser OR Wynn Resorts OR Western Bcor OR Waters Corp OR Walgreens OR Westernunion OR TRACK &amp; FIELD OR Xcel Energy OR Home Depot OR Ford Motors OR Comcast OR Amazon OR Starbucks OR Xilinx Inc OR Xylem Inc OR Dentsply Sir OR Yum Brands OR Zimmer Biome OR Zionsbancorp OR ZOETIS INC OR Freeport OR BB Seguridade OR 3M OR Bank America OR Citigroup OR Goldman Sachs OR GE OR Honeywell</v>
      </c>
    </row>
    <row r="523">
      <c r="A523" s="2">
        <v>0.0</v>
      </c>
      <c r="B523" s="2" t="s">
        <v>375</v>
      </c>
      <c r="C523" s="2" t="s">
        <v>2278</v>
      </c>
      <c r="D523" s="2" t="s">
        <v>2278</v>
      </c>
      <c r="E523" s="2" t="s">
        <v>402</v>
      </c>
      <c r="F523" s="2" t="s">
        <v>2494</v>
      </c>
      <c r="G523" s="2" t="s">
        <v>2378</v>
      </c>
      <c r="H523" s="5" t="s">
        <v>404</v>
      </c>
      <c r="I523" s="5" t="s">
        <v>403</v>
      </c>
      <c r="O523"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 OR IBM OR Microsoft OR Oracle OR Qualcomm OR Xerox OR Abbott Laboratories OR Bristolmyers OR Johnson OR Merck OR Pfizer OR Exxon Mobile OR Chevron OR Cophillips OR Halliburton OR Schlumberger OR Tyson Foods OR Twitter OR Ternium sa OR Under Armour OR United Airlines OR Uber OR Udr Inc OR Universal Health OR Ulta Beauty OR Unum Group OR UPS OR Lockheed OR FEDEX CORPORATION OR United Rentals OR Ubs Group OR Unilever OR Caterpillar OR Boeing OR ARCELORMITTAL OR American Express OR Unitedhealth OR Unionpacific OR Us Bancorp OR US Steel OR Varian Medic OR Vulcan Mater OR Vornado Real OR Verisk Analy OR Ventas Inc OR VF Corp OR Netflix OR Valero Ener OR Nike OR MC Donald's OR Valley Ntion OR Verising Inc OR Vertex Pharm OR Wabtec Corp OR Workday Inc OR Western Dig OR Wec Energy G OR Welltower In OR Whirlpool Co OR Willis Tower OR Williams Cos OR Waste Manag OR Westrock Co OR Weyerhaeuser OR Wynn Resorts OR Western Bcor OR Waters Corp OR Walgreens OR Westernunion OR TRACK &amp; FIELD OR Xcel Energy OR Home Depot OR Ford Motors OR Comcast OR Amazon OR Starbucks OR Xilinx Inc OR Xylem Inc OR Dentsply Sir OR Yum Brands OR Zimmer Biome OR Zionsbancorp OR ZOETIS INC OR Freeport OR BB Seguridade OR 3M OR Bank America OR Citigroup OR Goldman Sachs OR GE OR Honeywell OR JPMorgan</v>
      </c>
    </row>
    <row r="524">
      <c r="A524" s="2">
        <v>0.0</v>
      </c>
      <c r="B524" s="2" t="s">
        <v>375</v>
      </c>
      <c r="C524" s="2" t="s">
        <v>2024</v>
      </c>
      <c r="D524" s="2" t="s">
        <v>2025</v>
      </c>
      <c r="E524" s="2" t="s">
        <v>399</v>
      </c>
      <c r="F524" s="2" t="s">
        <v>2495</v>
      </c>
      <c r="G524" s="2" t="s">
        <v>2378</v>
      </c>
      <c r="H524" s="5" t="s">
        <v>401</v>
      </c>
      <c r="I524" s="5" t="s">
        <v>400</v>
      </c>
      <c r="O524"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 OR IBM OR Microsoft OR Oracle OR Qualcomm OR Xerox OR Abbott Laboratories OR Bristolmyers OR Johnson OR Merck OR Pfizer OR Exxon Mobile OR Chevron OR Cophillips OR Halliburton OR Schlumberger OR Tyson Foods OR Twitter OR Ternium sa OR Under Armour OR United Airlines OR Uber OR Udr Inc OR Universal Health OR Ulta Beauty OR Unum Group OR UPS OR Lockheed OR FEDEX CORPORATION OR United Rentals OR Ubs Group OR Unilever OR Caterpillar OR Boeing OR ARCELORMITTAL OR American Express OR Unitedhealth OR Unionpacific OR Us Bancorp OR US Steel OR Varian Medic OR Vulcan Mater OR Vornado Real OR Verisk Analy OR Ventas Inc OR VF Corp OR Netflix OR Valero Ener OR Nike OR MC Donald's OR Valley Ntion OR Verising Inc OR Vertex Pharm OR Wabtec Corp OR Workday Inc OR Western Dig OR Wec Energy G OR Welltower In OR Whirlpool Co OR Willis Tower OR Williams Cos OR Waste Manag OR Westrock Co OR Weyerhaeuser OR Wynn Resorts OR Western Bcor OR Waters Corp OR Walgreens OR Westernunion OR TRACK &amp; FIELD OR Xcel Energy OR Home Depot OR Ford Motors OR Comcast OR Amazon OR Starbucks OR Xilinx Inc OR Xylem Inc OR Dentsply Sir OR Yum Brands OR Zimmer Biome OR Zionsbancorp OR ZOETIS INC OR Freeport OR BB Seguridade OR 3M OR Bank America OR Citigroup OR Goldman Sachs OR GE OR Honeywell OR JPMorgan OR Mastercard</v>
      </c>
    </row>
    <row r="525">
      <c r="A525" s="2">
        <v>0.0</v>
      </c>
      <c r="B525" s="2" t="s">
        <v>375</v>
      </c>
      <c r="C525" s="2" t="s">
        <v>2170</v>
      </c>
      <c r="D525" s="2" t="s">
        <v>2170</v>
      </c>
      <c r="E525" s="2" t="s">
        <v>396</v>
      </c>
      <c r="F525" s="2" t="s">
        <v>2496</v>
      </c>
      <c r="G525" s="2" t="s">
        <v>2378</v>
      </c>
      <c r="H525" s="5" t="s">
        <v>398</v>
      </c>
      <c r="I525" s="5" t="s">
        <v>397</v>
      </c>
      <c r="O525"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 OR IBM OR Microsoft OR Oracle OR Qualcomm OR Xerox OR Abbott Laboratories OR Bristolmyers OR Johnson OR Merck OR Pfizer OR Exxon Mobile OR Chevron OR Cophillips OR Halliburton OR Schlumberger OR Tyson Foods OR Twitter OR Ternium sa OR Under Armour OR United Airlines OR Uber OR Udr Inc OR Universal Health OR Ulta Beauty OR Unum Group OR UPS OR Lockheed OR FEDEX CORPORATION OR United Rentals OR Ubs Group OR Unilever OR Caterpillar OR Boeing OR ARCELORMITTAL OR American Express OR Unitedhealth OR Unionpacific OR Us Bancorp OR US Steel OR Varian Medic OR Vulcan Mater OR Vornado Real OR Verisk Analy OR Ventas Inc OR VF Corp OR Netflix OR Valero Ener OR Nike OR MC Donald's OR Valley Ntion OR Verising Inc OR Vertex Pharm OR Wabtec Corp OR Workday Inc OR Western Dig OR Wec Energy G OR Welltower In OR Whirlpool Co OR Willis Tower OR Williams Cos OR Waste Manag OR Westrock Co OR Weyerhaeuser OR Wynn Resorts OR Western Bcor OR Waters Corp OR Walgreens OR Westernunion OR TRACK &amp; FIELD OR Xcel Energy OR Home Depot OR Ford Motors OR Comcast OR Amazon OR Starbucks OR Xilinx Inc OR Xylem Inc OR Dentsply Sir OR Yum Brands OR Zimmer Biome OR Zionsbancorp OR ZOETIS INC OR Freeport OR BB Seguridade OR 3M OR Bank America OR Citigroup OR Goldman Sachs OR GE OR Honeywell OR JPMorgan OR Mastercard OR Morgan Stanley</v>
      </c>
    </row>
    <row r="526">
      <c r="A526" s="2">
        <v>0.0</v>
      </c>
      <c r="B526" s="2" t="s">
        <v>375</v>
      </c>
      <c r="C526" s="2" t="s">
        <v>2170</v>
      </c>
      <c r="D526" s="2" t="s">
        <v>2170</v>
      </c>
      <c r="E526" s="2" t="s">
        <v>393</v>
      </c>
      <c r="F526" s="2" t="s">
        <v>2497</v>
      </c>
      <c r="G526" s="2" t="s">
        <v>2378</v>
      </c>
      <c r="H526" s="5" t="s">
        <v>394</v>
      </c>
      <c r="I526" s="12" t="s">
        <v>395</v>
      </c>
      <c r="O526"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 OR IBM OR Microsoft OR Oracle OR Qualcomm OR Xerox OR Abbott Laboratories OR Bristolmyers OR Johnson OR Merck OR Pfizer OR Exxon Mobile OR Chevron OR Cophillips OR Halliburton OR Schlumberger OR Tyson Foods OR Twitter OR Ternium sa OR Under Armour OR United Airlines OR Uber OR Udr Inc OR Universal Health OR Ulta Beauty OR Unum Group OR UPS OR Lockheed OR FEDEX CORPORATION OR United Rentals OR Ubs Group OR Unilever OR Caterpillar OR Boeing OR ARCELORMITTAL OR American Express OR Unitedhealth OR Unionpacific OR Us Bancorp OR US Steel OR Varian Medic OR Vulcan Mater OR Vornado Real OR Verisk Analy OR Ventas Inc OR VF Corp OR Netflix OR Valero Ener OR Nike OR MC Donald's OR Valley Ntion OR Verising Inc OR Vertex Pharm OR Wabtec Corp OR Workday Inc OR Western Dig OR Wec Energy G OR Welltower In OR Whirlpool Co OR Willis Tower OR Williams Cos OR Waste Manag OR Westrock Co OR Weyerhaeuser OR Wynn Resorts OR Western Bcor OR Waters Corp OR Walgreens OR Westernunion OR TRACK &amp; FIELD OR Xcel Energy OR Home Depot OR Ford Motors OR Comcast OR Amazon OR Starbucks OR Xilinx Inc OR Xylem Inc OR Dentsply Sir OR Yum Brands OR Zimmer Biome OR Zionsbancorp OR ZOETIS INC OR Freeport OR BB Seguridade OR 3M OR Bank America OR Citigroup OR Goldman Sachs OR GE OR Honeywell OR JPMorgan OR Mastercard OR Morgan Stanley OR Visa</v>
      </c>
    </row>
    <row r="527">
      <c r="A527" s="2">
        <v>0.0</v>
      </c>
      <c r="B527" s="2" t="s">
        <v>375</v>
      </c>
      <c r="C527" s="2" t="s">
        <v>2170</v>
      </c>
      <c r="D527" s="2" t="s">
        <v>2170</v>
      </c>
      <c r="E527" s="2" t="s">
        <v>390</v>
      </c>
      <c r="F527" s="2" t="s">
        <v>2498</v>
      </c>
      <c r="G527" s="2" t="s">
        <v>2378</v>
      </c>
      <c r="H527" s="5" t="s">
        <v>392</v>
      </c>
      <c r="I527" s="2" t="s">
        <v>391</v>
      </c>
      <c r="O527"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 OR IBM OR Microsoft OR Oracle OR Qualcomm OR Xerox OR Abbott Laboratories OR Bristolmyers OR Johnson OR Merck OR Pfizer OR Exxon Mobile OR Chevron OR Cophillips OR Halliburton OR Schlumberger OR Tyson Foods OR Twitter OR Ternium sa OR Under Armour OR United Airlines OR Uber OR Udr Inc OR Universal Health OR Ulta Beauty OR Unum Group OR UPS OR Lockheed OR FEDEX CORPORATION OR United Rentals OR Ubs Group OR Unilever OR Caterpillar OR Boeing OR ARCELORMITTAL OR American Express OR Unitedhealth OR Unionpacific OR Us Bancorp OR US Steel OR Varian Medic OR Vulcan Mater OR Vornado Real OR Verisk Analy OR Ventas Inc OR VF Corp OR Netflix OR Valero Ener OR Nike OR MC Donald's OR Valley Ntion OR Verising Inc OR Vertex Pharm OR Wabtec Corp OR Workday Inc OR Western Dig OR Wec Energy G OR Welltower In OR Whirlpool Co OR Willis Tower OR Williams Cos OR Waste Manag OR Westrock Co OR Weyerhaeuser OR Wynn Resorts OR Western Bcor OR Waters Corp OR Walgreens OR Westernunion OR TRACK &amp; FIELD OR Xcel Energy OR Home Depot OR Ford Motors OR Comcast OR Amazon OR Starbucks OR Xilinx Inc OR Xylem Inc OR Dentsply Sir OR Yum Brands OR Zimmer Biome OR Zionsbancorp OR ZOETIS INC OR Freeport OR BB Seguridade OR 3M OR Bank America OR Citigroup OR Goldman Sachs OR GE OR Honeywell OR JPMorgan OR Mastercard OR Morgan Stanley OR Visa OR Wells Fargo</v>
      </c>
    </row>
    <row r="528">
      <c r="A528" s="2">
        <v>0.0</v>
      </c>
      <c r="B528" s="2" t="s">
        <v>375</v>
      </c>
      <c r="C528" s="2" t="s">
        <v>2024</v>
      </c>
      <c r="D528" s="2" t="s">
        <v>2025</v>
      </c>
      <c r="E528" s="2" t="s">
        <v>387</v>
      </c>
      <c r="F528" s="2" t="s">
        <v>2499</v>
      </c>
      <c r="G528" s="2" t="s">
        <v>2378</v>
      </c>
      <c r="H528" s="5" t="s">
        <v>389</v>
      </c>
      <c r="I528" s="5" t="s">
        <v>388</v>
      </c>
      <c r="O528"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 OR IBM OR Microsoft OR Oracle OR Qualcomm OR Xerox OR Abbott Laboratories OR Bristolmyers OR Johnson OR Merck OR Pfizer OR Exxon Mobile OR Chevron OR Cophillips OR Halliburton OR Schlumberger OR Tyson Foods OR Twitter OR Ternium sa OR Under Armour OR United Airlines OR Uber OR Udr Inc OR Universal Health OR Ulta Beauty OR Unum Group OR UPS OR Lockheed OR FEDEX CORPORATION OR United Rentals OR Ubs Group OR Unilever OR Caterpillar OR Boeing OR ARCELORMITTAL OR American Express OR Unitedhealth OR Unionpacific OR Us Bancorp OR US Steel OR Varian Medic OR Vulcan Mater OR Vornado Real OR Verisk Analy OR Ventas Inc OR VF Corp OR Netflix OR Valero Ener OR Nike OR MC Donald's OR Valley Ntion OR Verising Inc OR Vertex Pharm OR Wabtec Corp OR Workday Inc OR Western Dig OR Wec Energy G OR Welltower In OR Whirlpool Co OR Willis Tower OR Williams Cos OR Waste Manag OR Westrock Co OR Weyerhaeuser OR Wynn Resorts OR Western Bcor OR Waters Corp OR Walgreens OR Westernunion OR TRACK &amp; FIELD OR Xcel Energy OR Home Depot OR Ford Motors OR Comcast OR Amazon OR Starbucks OR Xilinx Inc OR Xylem Inc OR Dentsply Sir OR Yum Brands OR Zimmer Biome OR Zionsbancorp OR ZOETIS INC OR Freeport OR BB Seguridade OR 3M OR Bank America OR Citigroup OR Goldman Sachs OR GE OR Honeywell OR JPMorgan OR Mastercard OR Morgan Stanley OR Visa OR Wells Fargo OR PROCTER &amp; GAMBLE COMPANY</v>
      </c>
    </row>
    <row r="529">
      <c r="A529" s="2">
        <v>0.0</v>
      </c>
      <c r="B529" s="2" t="s">
        <v>165</v>
      </c>
      <c r="C529" s="2" t="s">
        <v>1507</v>
      </c>
      <c r="D529" s="2" t="s">
        <v>1508</v>
      </c>
      <c r="E529" s="2" t="s">
        <v>321</v>
      </c>
      <c r="F529" s="2" t="s">
        <v>2500</v>
      </c>
      <c r="G529" s="2" t="s">
        <v>2378</v>
      </c>
      <c r="H529" s="5" t="s">
        <v>372</v>
      </c>
      <c r="I529" s="2" t="s">
        <v>322</v>
      </c>
      <c r="O529"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 OR IBM OR Microsoft OR Oracle OR Qualcomm OR Xerox OR Abbott Laboratories OR Bristolmyers OR Johnson OR Merck OR Pfizer OR Exxon Mobile OR Chevron OR Cophillips OR Halliburton OR Schlumberger OR Tyson Foods OR Twitter OR Ternium sa OR Under Armour OR United Airlines OR Uber OR Udr Inc OR Universal Health OR Ulta Beauty OR Unum Group OR UPS OR Lockheed OR FEDEX CORPORATION OR United Rentals OR Ubs Group OR Unilever OR Caterpillar OR Boeing OR ARCELORMITTAL OR American Express OR Unitedhealth OR Unionpacific OR Us Bancorp OR US Steel OR Varian Medic OR Vulcan Mater OR Vornado Real OR Verisk Analy OR Ventas Inc OR VF Corp OR Netflix OR Valero Ener OR Nike OR MC Donald's OR Valley Ntion OR Verising Inc OR Vertex Pharm OR Wabtec Corp OR Workday Inc OR Western Dig OR Wec Energy G OR Welltower In OR Whirlpool Co OR Willis Tower OR Williams Cos OR Waste Manag OR Westrock Co OR Weyerhaeuser OR Wynn Resorts OR Western Bcor OR Waters Corp OR Walgreens OR Westernunion OR TRACK &amp; FIELD OR Xcel Energy OR Home Depot OR Ford Motors OR Comcast OR Amazon OR Starbucks OR Xilinx Inc OR Xylem Inc OR Dentsply Sir OR Yum Brands OR Zimmer Biome OR Zionsbancorp OR ZOETIS INC OR Freeport OR BB Seguridade OR 3M OR Bank America OR Citigroup OR Goldman Sachs OR GE OR Honeywell OR JPMorgan OR Mastercard OR Morgan Stanley OR Visa OR Wells Fargo OR PROCTER &amp; GAMBLE COMPANY OR Coca-Cola</v>
      </c>
    </row>
    <row r="530">
      <c r="A530" s="2">
        <v>0.0</v>
      </c>
      <c r="B530" s="2" t="s">
        <v>1444</v>
      </c>
      <c r="C530" s="2" t="s">
        <v>1502</v>
      </c>
      <c r="D530" s="2" t="s">
        <v>1503</v>
      </c>
      <c r="E530" s="2" t="s">
        <v>329</v>
      </c>
      <c r="F530" s="2" t="s">
        <v>2501</v>
      </c>
      <c r="G530" s="2" t="s">
        <v>2378</v>
      </c>
      <c r="H530" s="5" t="s">
        <v>331</v>
      </c>
      <c r="I530" s="2" t="s">
        <v>330</v>
      </c>
      <c r="O530"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 OR IBM OR Microsoft OR Oracle OR Qualcomm OR Xerox OR Abbott Laboratories OR Bristolmyers OR Johnson OR Merck OR Pfizer OR Exxon Mobile OR Chevron OR Cophillips OR Halliburton OR Schlumberger OR Tyson Foods OR Twitter OR Ternium sa OR Under Armour OR United Airlines OR Uber OR Udr Inc OR Universal Health OR Ulta Beauty OR Unum Group OR UPS OR Lockheed OR FEDEX CORPORATION OR United Rentals OR Ubs Group OR Unilever OR Caterpillar OR Boeing OR ARCELORMITTAL OR American Express OR Unitedhealth OR Unionpacific OR Us Bancorp OR US Steel OR Varian Medic OR Vulcan Mater OR Vornado Real OR Verisk Analy OR Ventas Inc OR VF Corp OR Netflix OR Valero Ener OR Nike OR MC Donald's OR Valley Ntion OR Verising Inc OR Vertex Pharm OR Wabtec Corp OR Workday Inc OR Western Dig OR Wec Energy G OR Welltower In OR Whirlpool Co OR Willis Tower OR Williams Cos OR Waste Manag OR Westrock Co OR Weyerhaeuser OR Wynn Resorts OR Western Bcor OR Waters Corp OR Walgreens OR Westernunion OR TRACK &amp; FIELD OR Xcel Energy OR Home Depot OR Ford Motors OR Comcast OR Amazon OR Starbucks OR Xilinx Inc OR Xylem Inc OR Dentsply Sir OR Yum Brands OR Zimmer Biome OR Zionsbancorp OR ZOETIS INC OR Freeport OR BB Seguridade OR 3M OR Bank America OR Citigroup OR Goldman Sachs OR GE OR Honeywell OR JPMorgan OR Mastercard OR Morgan Stanley OR Visa OR Wells Fargo OR PROCTER &amp; GAMBLE COMPANY OR Coca-Cola OR Colgate</v>
      </c>
    </row>
    <row r="531">
      <c r="A531" s="2">
        <v>0.0</v>
      </c>
      <c r="B531" s="2" t="s">
        <v>1444</v>
      </c>
      <c r="C531" s="2" t="s">
        <v>1507</v>
      </c>
      <c r="D531" s="2" t="s">
        <v>1508</v>
      </c>
      <c r="E531" s="2" t="s">
        <v>326</v>
      </c>
      <c r="F531" s="2" t="s">
        <v>2502</v>
      </c>
      <c r="G531" s="2" t="s">
        <v>2378</v>
      </c>
      <c r="H531" s="5" t="s">
        <v>328</v>
      </c>
      <c r="I531" s="2" t="s">
        <v>327</v>
      </c>
      <c r="O531"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 OR IBM OR Microsoft OR Oracle OR Qualcomm OR Xerox OR Abbott Laboratories OR Bristolmyers OR Johnson OR Merck OR Pfizer OR Exxon Mobile OR Chevron OR Cophillips OR Halliburton OR Schlumberger OR Tyson Foods OR Twitter OR Ternium sa OR Under Armour OR United Airlines OR Uber OR Udr Inc OR Universal Health OR Ulta Beauty OR Unum Group OR UPS OR Lockheed OR FEDEX CORPORATION OR United Rentals OR Ubs Group OR Unilever OR Caterpillar OR Boeing OR ARCELORMITTAL OR American Express OR Unitedhealth OR Unionpacific OR Us Bancorp OR US Steel OR Varian Medic OR Vulcan Mater OR Vornado Real OR Verisk Analy OR Ventas Inc OR VF Corp OR Netflix OR Valero Ener OR Nike OR MC Donald's OR Valley Ntion OR Verising Inc OR Vertex Pharm OR Wabtec Corp OR Workday Inc OR Western Dig OR Wec Energy G OR Welltower In OR Whirlpool Co OR Willis Tower OR Williams Cos OR Waste Manag OR Westrock Co OR Weyerhaeuser OR Wynn Resorts OR Western Bcor OR Waters Corp OR Walgreens OR Westernunion OR TRACK &amp; FIELD OR Xcel Energy OR Home Depot OR Ford Motors OR Comcast OR Amazon OR Starbucks OR Xilinx Inc OR Xylem Inc OR Dentsply Sir OR Yum Brands OR Zimmer Biome OR Zionsbancorp OR ZOETIS INC OR Freeport OR BB Seguridade OR 3M OR Bank America OR Citigroup OR Goldman Sachs OR GE OR Honeywell OR JPMorgan OR Mastercard OR Morgan Stanley OR Visa OR Wells Fargo OR PROCTER &amp; GAMBLE COMPANY OR Coca-Cola OR Colgate OR Pepsico Inc</v>
      </c>
    </row>
    <row r="532">
      <c r="A532" s="2">
        <v>0.0</v>
      </c>
      <c r="B532" s="2" t="s">
        <v>1444</v>
      </c>
      <c r="C532" s="2" t="s">
        <v>1502</v>
      </c>
      <c r="D532" s="2" t="s">
        <v>1503</v>
      </c>
      <c r="E532" s="2" t="s">
        <v>323</v>
      </c>
      <c r="F532" s="2" t="s">
        <v>2503</v>
      </c>
      <c r="G532" s="2" t="s">
        <v>2378</v>
      </c>
      <c r="H532" s="5" t="s">
        <v>325</v>
      </c>
      <c r="I532" s="2" t="s">
        <v>324</v>
      </c>
      <c r="O532"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 OR IBM OR Microsoft OR Oracle OR Qualcomm OR Xerox OR Abbott Laboratories OR Bristolmyers OR Johnson OR Merck OR Pfizer OR Exxon Mobile OR Chevron OR Cophillips OR Halliburton OR Schlumberger OR Tyson Foods OR Twitter OR Ternium sa OR Under Armour OR United Airlines OR Uber OR Udr Inc OR Universal Health OR Ulta Beauty OR Unum Group OR UPS OR Lockheed OR FEDEX CORPORATION OR United Rentals OR Ubs Group OR Unilever OR Caterpillar OR Boeing OR ARCELORMITTAL OR American Express OR Unitedhealth OR Unionpacific OR Us Bancorp OR US Steel OR Varian Medic OR Vulcan Mater OR Vornado Real OR Verisk Analy OR Ventas Inc OR VF Corp OR Netflix OR Valero Ener OR Nike OR MC Donald's OR Valley Ntion OR Verising Inc OR Vertex Pharm OR Wabtec Corp OR Workday Inc OR Western Dig OR Wec Energy G OR Welltower In OR Whirlpool Co OR Willis Tower OR Williams Cos OR Waste Manag OR Westrock Co OR Weyerhaeuser OR Wynn Resorts OR Western Bcor OR Waters Corp OR Walgreens OR Westernunion OR TRACK &amp; FIELD OR Xcel Energy OR Home Depot OR Ford Motors OR Comcast OR Amazon OR Starbucks OR Xilinx Inc OR Xylem Inc OR Dentsply Sir OR Yum Brands OR Zimmer Biome OR Zionsbancorp OR ZOETIS INC OR Freeport OR BB Seguridade OR 3M OR Bank America OR Citigroup OR Goldman Sachs OR GE OR Honeywell OR JPMorgan OR Mastercard OR Morgan Stanley OR Visa OR Wells Fargo OR PROCTER &amp; GAMBLE COMPANY OR Coca-Cola OR Colgate OR Pepsico Inc OR WALMART INC.</v>
      </c>
    </row>
    <row r="533">
      <c r="A533" s="2">
        <v>0.0</v>
      </c>
      <c r="B533" s="2" t="s">
        <v>1444</v>
      </c>
      <c r="C533" s="2" t="s">
        <v>1514</v>
      </c>
      <c r="D533" s="2" t="s">
        <v>1515</v>
      </c>
      <c r="E533" s="4" t="s">
        <v>317</v>
      </c>
      <c r="F533" s="2" t="s">
        <v>318</v>
      </c>
      <c r="G533" s="2" t="s">
        <v>2378</v>
      </c>
      <c r="H533" s="37" t="s">
        <v>318</v>
      </c>
      <c r="I533" s="37" t="s">
        <v>319</v>
      </c>
      <c r="O533" s="6" t="str">
        <f t="shared" si="1"/>
        <v>COSAN OR DOMMO OR ENAUTA PART OR PET MANGUINHOS OR PETROBRAS OR Petrobras Distribuidora OR PETRORIO OR ULTRAPAR OR LUPATECH OR OSX BRASIL OR BRADESPAR OR LITEL OR LITELA OR MMX Mineração OR VALE OR FERBASA OR GERDAU OR GERDAU MET OR CSN OR USIMINAS OR MANGELS INDL OR PANATLANTICA OR TEKNO OR PARANAPANEMA OR BRASKEM OR GPC PART OR FER HERINGER OR NUTRIPLANT OR CRISTAL OR UNIPAR OR DURATEX OR EUCATEX OR Celulose Irani OR KLABIN S/A OR MELHOR SP OR SANTHER OR Suzano Holding OR Suzano Papel OR METAL IGUACU OR SANSUY OR ETERNIT OR HAGA S/A OR PORTOBELLO OR AZEVEDO OR SONDOTECNICA OR TECNOSOLO OR MILLS OR EMBRAER OR FRAS-LE OR MARCOPOLO OR RANDON PART OR RECRUSUL OR RIOSULENSE OR TUPY OR WETZEL S/A OR SCHULZ OR WEG OR AÇO ALTONA OR BARDELLA OR INDS ROMI OR INEPAR OR KEPLER WEBER OR METALFRIO OR NORDON MET OR PRATICA OR METISA OR STARA OR TAURUS ARMAS OR AZUL OR GOL OR ALL NORTE OR ALL PAULISTA OR COSAN LOG OR FER C ATLANT OR MRS LOGIST OR RUMO S.A. OR Hidrovias do Brasil OR LOG-IN OR TREVISA OR JSL OR TEGMA OR AUTOBAN OR CCR SA OR CONC RAPOSO OR CONC RIO TER OR ECON OR ECONORTE OR ECOPISTAS OR ECORODOVIAS OR ECOVIAS OR ROD COLINAS OR ROD TIETE OR RT BANDEIRAS OR TRIANGULOSOL OR TRIUNFO PART OR VIAOESTE OR GRUAIRPORT OR PORTO VM OR INVEPAR OR SALUS INFRA OR Santos Brasil Participações OR WILSON SONS OR ATMASA OR AMBIPAR OR BBMLOGISTICA OR CSU CARDSYST OR DTCOM-DIRECT OR ESTAPAR OR FLEX S/A OR PRINER OR SEQUOIA LOG OR VALID OR BATTISTELLA OR MINASMAQUINA OR WLM IND COM OR ALIPERTI OR BRASILAGRO OR POMIFRUTAS OR SLC AGRICOLA OR TERRA SANTA OR BIOSEV OR RAIZEN ENERG OR SÃO MARTINHO OR BRF OR EXCELSIOR OR JBS OR MARFRIG OR MINERVA OR MINUPAR OR CAMIL OR J.MACEDO OR JOSAPAR OR MDIASBRANCO OR ODERICH OR AMBEV S/A OR GRUPO NATURA OR BOMBRIL OR Carrefour OR GRUPO MATEUS OR Pão de Açúcar OR CONST A LIND OR CR2 OR CURY S/A OR Cyrela Realty OR DIRECIONAL OR EVEN OR Ez Tec OR GAFISA OR HELBOR OR INTER SA OR JHSF OR JOAO FORTES OR Lavvi Incorporadora OR MELNICK OR MITRE REALTY OR MOURA DUBEUX OR MRV Engenharia OR PDG Realty OR Plano &amp; Plano OR Rodobens OR ROSSI RESID OR TECNISA OR TENDA OR TRISUL OR VIVER OR CEDRO OR COTEMINAS OR DOHLER OR ENCORPAR OR IND CATAGUAS OR KARSTEN OR PETTENATI OR SANTANENSE OR SPRINGS OR TEKA OR TEX RENAUX OR CIA HERING OR ALPARGATAS OR CAMBUCI OR GRENDENE OR VULCABRAS OR MUNDIAL OR TECHNOS OR VIVARA S.A. OR Whirpool OR UNICASA OR HERCULES OR Iochpe-Maxion OR METAL LEVE OR PLASCAR PART OR HOTEIS OTHON OR BK BRASIL OR IMC S/A OR BIC MONARK OR ESTRELA OR SPTURIS OR TIME FOR FUN OR CVC BRASIL OR SMART FIT OR ANIMA OR BAHEMA OR COGNA OR Ser Educacional OR YDUQS OR LOCALIZA OR LOCAMERICA OR MAESTROLOC OR MOVIDA OR UNIDAS OR SMILES OR AREZZO CO OR C&amp;A OR GRAZZIOTIN OR GRUPO SOMA OR GUARARAPES OR LE LIS BLANC OR LOJAS MARISA OR LOJAS RENNER OR Magazine Luiza OR VIA VAREJO OR B2W DIGITAL OR CENTAURO OR Lojas Americanas OR PETZ OR QUERO-QUERO OR SARAIVA LIVR OR BIOMM OR BIOTOSCANA OR NORTCQUIMICA OR OUROFINO S/A OR ADVANCED-DH OR ALLIAR OR DASA OR FLEURY OR HAPVIDA OR Instituto Hermes Pardini SA OR INTERMEDICA OR ODONTOPREV OR QUALICORP OR BAUMER OR LIFEMED OR DIMED OR D1000VFARMA OR Hypera Pharma OR PAGUE MENOS OR PROFARMA OR RAIADROGASIL OR Positivo Inf OR BRQ OR LINX OR LOCAWEB OR QUALITY SOFT OR SINQIA OR TOTVS OR ALGAR TELEC OR OI OR TELEBRAS OR Telefônica Brasil S.A OR TIM OR Tim Participações OR CINESYSTEM OR AES SUL OR AES Tietê OR AFLUENTE T OR Alupar Investimento OR AMPLA ENERG OR CACHOEIRA OR CEB OR CEEE-D OR CEEE-GT OR CELESC OR CELGPAR OR CELPE OR CEMIG OR CEMIG DIST OR CEMIG GT OR CESP OR COELBA OR COELCE OR COPEL OR COSERN OR CPFL ENERGIA OR CPFL GERACAO OR CPFL PIRATIN OR CPFL RENOVAV OR EBE OR ELEKTRO OR ELETROBRAS OR ELETROPAR OR EMAE OR ENERGIAS BR OR ENERGISA OR ENERGISA MT OR ENERSUL OR ENEVA OR ENGIE BRASIL OR EQTL PARA OR EQTLMARANHAO OR EQUATORIAL OR ESCELSA OR FGENERGIA OR Ger Paranapanema OR ITAPEBI OR LIGHT S/A OR NEOENERGIA OR OMEGA GER OR PAUL F LUZ OR PROMAN OR REDE ENERGIA OR RENOVA OR STATKRAFT OR STO ANTONIO OR TAESA OR TERMOPE OR TERM. PE III OR TRAN PAULISTA OR UPTICK OR CASAN OR COPASA OR IGUA SA OR SABESP OR SANEPAR OR SANESALTO OR CEG OR COMGÁS OR ABC BRASIL OR ALFA HOLDING OR ALFA INVEST OR AMAZONIA OR BMG OR BANCO INTER OR BANCO PAN OR BANESE OR BANESTES OR BANPARA OR BANRISUL OR BRADESCO OR Banco do Brasil OR BRB BANCO OR BTGP BANCO OR INDUSVAL OR ITAÚSA OR Itaú Unibanco OR MERC BRASIL OR Banco Mercantil de Investimentos OR NORD BRASIL OR PARANA OR PINE OR SANTANDER BR OR ALFA FINANC OR FINANSINOS OR Mercantil do Brasil Financeira OR BRADESCO LSG OR DIBENS LSG OR BRAZIL REALT OR BRAZILIAN SC OR BRPR 56 SEC OR CIBRASEC OR ECO SEC AGRO OR GAIA AGRO OR GAIA SECURIT OR OCTANTE SEC OR PDG SECURIT OR POLO CAP SEC OR RBCAPITALRES OR TRUESEC OR VERTCIASEC OR WTORRE PIC OR BNDESPAR OR BRAZILIAN FR OR GP INVEST OR PADTEC OR PPLA OR B3 OR BOA VISTA SCPC OR CIELO OR ALFA CONSORC OR BBSEGURIDADE OR IRB Brasil RE OR PORTO SEGURO OR SEG AL BAHIA OR SUL AMERICA OR ALPER S.A. OR WIZ S.A. OR Aliansce Sonae OR brMalls OR BR Properties OR COR RIBEIRO OR CYRE COM-CCP OR General Shopping OR HABITASUL OR Gradiente OR IGUATEMI OR JEREISSATI OR LOG OR MENEZES CORT OR MULTIPLAN OR SAO CARLOS OR Brasil Brokers OR LOPES BRASIL OR MONT ARANHA OR PAR AL BAHIA OR SIMPAR OR CEPAC - CTBA OR CEPAC - MCRJ OR CEPAC - PMSP OR 524 PARTICIP OR ALEF S/A OR ATOMPAR OR BETAPART OR CABINDA PART OR CACONDE PART OR CEMEPE OR CIMS OR GAMA PART OR INVEST BEMGE OR J B DUARTE OR MGI PARTICIP OR OPPORT ENERG OR POLPAR OR PROMPT PART OR SELECTPART OR SUDESTE S/A OR SUL 116 PART OR Compass OR Att Inc OR Verizon OR Ebay OR Apple OR Cisco OR HP Company OR Intel OR IBM OR Microsoft OR Oracle OR Qualcomm OR Xerox OR Abbott Laboratories OR Bristolmyers OR Johnson OR Merck OR Pfizer OR Exxon Mobile OR Chevron OR Cophillips OR Halliburton OR Schlumberger OR Tyson Foods OR Twitter OR Ternium sa OR Under Armour OR United Airlines OR Uber OR Udr Inc OR Universal Health OR Ulta Beauty OR Unum Group OR UPS OR Lockheed OR FEDEX CORPORATION OR United Rentals OR Ubs Group OR Unilever OR Caterpillar OR Boeing OR ARCELORMITTAL OR American Express OR Unitedhealth OR Unionpacific OR Us Bancorp OR US Steel OR Varian Medic OR Vulcan Mater OR Vornado Real OR Verisk Analy OR Ventas Inc OR VF Corp OR Netflix OR Valero Ener OR Nike OR MC Donald's OR Valley Ntion OR Verising Inc OR Vertex Pharm OR Wabtec Corp OR Workday Inc OR Western Dig OR Wec Energy G OR Welltower In OR Whirlpool Co OR Willis Tower OR Williams Cos OR Waste Manag OR Westrock Co OR Weyerhaeuser OR Wynn Resorts OR Western Bcor OR Waters Corp OR Walgreens OR Westernunion OR TRACK &amp; FIELD OR Xcel Energy OR Home Depot OR Ford Motors OR Comcast OR Amazon OR Starbucks OR Xilinx Inc OR Xylem Inc OR Dentsply Sir OR Yum Brands OR Zimmer Biome OR Zionsbancorp OR ZOETIS INC OR Freeport OR BB Seguridade OR 3M OR Bank America OR Citigroup OR Goldman Sachs OR GE OR Honeywell OR JPMorgan OR Mastercard OR Morgan Stanley OR Visa OR Wells Fargo OR PROCTER &amp; GAMBLE COMPANY OR Coca-Cola OR Colgate OR Pepsico Inc OR WALMART INC. OR </v>
      </c>
    </row>
    <row r="535">
      <c r="O535" s="2" t="s">
        <v>2504</v>
      </c>
    </row>
  </sheetData>
  <autoFilter ref="$A$1:$M$533"/>
  <customSheetViews>
    <customSheetView guid="{B6B21839-C3D4-4CE6-9153-5B03C56252CC}" filter="1" showAutoFilter="1">
      <autoFilter ref="$A$1:$M$425">
        <filterColumn colId="0">
          <filters>
            <filter val="1"/>
          </filters>
        </filterColumn>
      </autoFilter>
    </customSheetView>
    <customSheetView guid="{AAB0FE73-7724-42EF-8104-7F9501FD80CF}" filter="1" showAutoFilter="1">
      <autoFilter ref="$A$1:$L$500">
        <filterColumn colId="7">
          <filters>
            <filter val="ASCP"/>
            <filter val="TEPE"/>
            <filter val="MMAQ3"/>
            <filter val="WABC34"/>
            <filter val="DTCY3"/>
            <filter val="OMGE3"/>
            <filter val="REDE3"/>
            <filter val="BBSE3"/>
            <filter val="U1AI34F"/>
            <filter val="MILS3"/>
            <filter val="TRIA"/>
            <filter val="U1HS34F"/>
            <filter val="BETP3B"/>
            <filter val="UCAS3"/>
            <filter val="CEEB5"/>
            <filter val="PINE3"/>
            <filter val="W1EL34"/>
            <filter val="PATI3"/>
            <filter val="CABI3B"/>
            <filter val="RDVT"/>
            <filter val="OPGM3B"/>
            <filter val="SHOW3"/>
            <filter val="MGIP"/>
            <filter val="BMKS3"/>
            <filter val="FRRN3B"/>
            <filter val="CTBA"/>
            <filter val="WSON33"/>
            <filter val="RBRA"/>
            <filter val="TIMS3"/>
            <filter val="ITPB"/>
            <filter val="STTZ"/>
            <filter val="BZRS"/>
            <filter val="GASC"/>
            <filter val="MEAL3"/>
            <filter val="FIGE3"/>
            <filter val="STKF3"/>
            <filter val="GPAR3"/>
            <filter val="MSPA3"/>
            <filter val="GOAU3"/>
            <filter val="FNCN3"/>
            <filter val="BSCS"/>
            <filter val="BAUH4"/>
            <filter val="FLEX3"/>
            <filter val="DOHL3"/>
            <filter val="JPSA3"/>
            <filter val="LTEL3B"/>
            <filter val="PPAR3"/>
            <filter val="ELET3"/>
            <filter val="DTEX3"/>
            <filter val="W1AB34"/>
            <filter val="CSMG3"/>
            <filter val="MAPT3"/>
            <filter val="APCS"/>
            <filter val="JMCD"/>
            <filter val="JOPA3"/>
            <filter val="MGEL3"/>
            <filter val="BMEB3"/>
            <filter val="CSRN3"/>
            <filter val="CSAN3"/>
            <filter val="EKTR3"/>
            <filter val="WIZS3"/>
            <filter val="W1LT34"/>
            <filter val="CRBD"/>
            <filter val="ABCB10"/>
            <filter val="AGRU"/>
            <filter val="MTSA3"/>
            <filter val="LCAM3"/>
            <filter val="GPIV33"/>
            <filter val="GGBR3"/>
            <filter val="FGEN"/>
            <filter val="TGMA3"/>
            <filter val="RPTA"/>
            <filter val="VOES"/>
            <filter val="EMAE4"/>
            <filter val="VERT"/>
            <filter val="CBEE3"/>
            <filter val="PRNR3"/>
            <filter val="MOAR3"/>
            <filter val="CMSA3"/>
            <filter val="QUSW3"/>
            <filter val="PMSP"/>
            <filter val="TEKA4"/>
            <filter val="MNPR3"/>
            <filter val="SEQL3"/>
            <filter val="BDLS"/>
            <filter val="PRPT3B"/>
            <filter val="PPLA11"/>
            <filter val="HETA4"/>
            <filter val="TXRX4"/>
            <filter val="NRTQ3"/>
            <filter val="IDVL3"/>
            <filter val="BFRE"/>
            <filter val="PLSC"/>
            <filter val="BAHI3"/>
            <filter val="AZEV3"/>
            <filter val="TKNO3F"/>
            <filter val="TCNO3"/>
            <filter val="CATA3"/>
            <filter val="SLCT3B"/>
            <filter val="RCSL3"/>
            <filter val="CIEL3"/>
            <filter val="CNSY3"/>
            <filter val="CRPG3"/>
            <filter val="BRIV3"/>
            <filter val="TESA12"/>
            <filter val="ESCE"/>
            <filter val="BOBR4"/>
            <filter val="PDTC3"/>
            <filter val="ENGI3"/>
            <filter val="DBEN"/>
            <filter val="VIVR3"/>
            <filter val="JBDU3"/>
            <filter val="WTPI"/>
            <filter val="SULA11"/>
            <filter val="PDGS"/>
            <filter val="BNDP"/>
            <filter val="TRIS3"/>
            <filter val="WGBA34"/>
            <filter val="BNBR3"/>
            <filter val="CORR3"/>
            <filter val="OPTS3B"/>
            <filter val="VRSN34"/>
            <filter val="ENMT4"/>
            <filter val="DASA3"/>
            <filter val="SOND3"/>
            <filter val="TECN3"/>
            <filter val="SNST"/>
            <filter val="RPAD3"/>
            <filter val="JFEN3"/>
            <filter val="CCPR3"/>
            <filter val="ERDV"/>
            <filter val="BEES3"/>
            <filter val="AESL3"/>
            <filter val="LUXM3"/>
            <filter val="PRBC"/>
            <filter val="RANI4"/>
            <filter val="CPFP"/>
            <filter val="TEND3"/>
            <filter val="TUPY3"/>
            <filter val="W1HR34"/>
            <filter val="CPFG"/>
            <filter val="BBML3"/>
            <filter val="ANHB"/>
            <filter val="PRMN3B"/>
            <filter val="VLYB34"/>
            <filter val="LMED3"/>
            <filter val="CRIV3"/>
            <filter val="TMPE"/>
            <filter val="GNDI3"/>
            <filter val="W1DA34"/>
            <filter val="ROMI3"/>
            <filter val="CSAB3"/>
            <filter val="LIGT3"/>
            <filter val="AZUL4"/>
            <filter val="AHEB3"/>
            <filter val="PTNT4"/>
            <filter val="EBEN"/>
            <filter val="RSUL3"/>
            <filter val="VSPT1"/>
            <filter val="BPAC11"/>
            <filter val="U1BE34F"/>
            <filter val="UPKP3B"/>
            <filter val="BRQB3"/>
            <filter val="NUTR3"/>
            <filter val="PTCA11"/>
            <filter val="ALEF3B"/>
            <filter val="CTSA3"/>
            <filter val="BGIP3"/>
            <filter val="ALGT"/>
            <filter val="INTT3"/>
            <filter val="U1DR34F"/>
            <filter val="SQIA3"/>
            <filter val="PLAS3"/>
            <filter val="HBTS3"/>
            <filter val="ABEV3"/>
            <filter val="MSRO3"/>
            <filter val="LTLA3B"/>
            <filter val="GUAR3"/>
            <filter val="ATMP3"/>
            <filter val="MCRJ"/>
            <filter val="B3SA3"/>
            <filter val="BTOW3"/>
            <filter val="WTVR"/>
            <filter val="W1EC34"/>
            <filter val="APTI3"/>
            <filter val="BRGE11"/>
            <filter val="BAZA3"/>
            <filter val="NORD3"/>
            <filter val="U1NM34F"/>
            <filter val="TXSA34F"/>
            <filter val="MRSA"/>
            <filter val="PEAB3"/>
            <filter val="KEPL11"/>
            <filter val="VULC3"/>
            <filter val="W1YN34"/>
            <filter val="PSVM11"/>
            <filter val="ECOR3"/>
            <filter val="ATOM3"/>
            <filter val="ECNT"/>
            <filter val="CMGT"/>
            <filter val="ECOA"/>
            <filter val="CRDE3"/>
            <filter val="FHER3"/>
            <filter val="CMGD"/>
            <filter val="OPHE3B"/>
            <filter val="SNSY3"/>
            <filter val="U1LT34F"/>
            <filter val="WATC34"/>
            <filter val="STEN"/>
            <filter val="CBSC"/>
            <filter val="COLN"/>
            <filter val="CALI3"/>
            <filter val="CCRO3"/>
            <filter val="OPSE3B"/>
            <filter val="ECPR3"/>
            <filter val="GAFL"/>
            <filter val="PALF"/>
            <filter val="SGPS3"/>
            <filter val="HAGA3"/>
            <filter val="CNTO3"/>
            <filter val="FRTA3"/>
            <filter val="MWET3"/>
            <filter val="ECOV"/>
            <filter val="PFRM3"/>
            <filter val="CACO3B"/>
            <filter val="ENER"/>
            <filter val="W1MB34"/>
            <filter val="BKBR3"/>
            <filter val="HAPV3"/>
            <filter val="ODER3"/>
            <filter val="GAIA"/>
            <filter val="W1RK34"/>
            <filter val="JSLG11"/>
            <filter val="QVQP3B"/>
            <filter val="ENBR3"/>
            <filter val="CRTE3B"/>
            <filter val="WLMM4"/>
            <filter val="OCTS"/>
            <filter val="ADHM3"/>
            <filter val="IGSN3"/>
            <filter val="EQTL3"/>
            <filter val="W1MC34"/>
            <filter val="FRIO3"/>
            <filter val="CPTE"/>
            <filter val="LIPR3"/>
            <filter val="W1DC34"/>
            <filter val="LOGN3"/>
            <filter val="MNZC3B"/>
            <filter val="MTIG3"/>
            <filter val="SLCE3"/>
            <filter val="UNHH34F"/>
            <filter val="GMAT3"/>
            <filter val="EQPA5"/>
            <filter val="VRTX34"/>
            <filter val="EMBR3"/>
            <filter val="STTR3"/>
            <filter val="GPCP3"/>
            <filter val="SMTF3"/>
            <filter val="SAIP"/>
            <filter val="RESA"/>
            <filter val="IVPR3B"/>
            <filter val="CAMB3"/>
            <filter val="W1YC34"/>
            <filter val="EQMA3B"/>
          </filters>
        </filterColumn>
      </autoFilter>
    </customSheetView>
  </customSheetViews>
  <hyperlinks>
    <hyperlink r:id="rId2" ref="I186"/>
    <hyperlink r:id="rId3" ref="J186"/>
    <hyperlink r:id="rId4" ref="I221"/>
    <hyperlink r:id="rId5" ref="H451"/>
    <hyperlink r:id="rId6" ref="I451"/>
    <hyperlink r:id="rId7" ref="H452"/>
    <hyperlink r:id="rId8" ref="I452"/>
    <hyperlink r:id="rId9" ref="H454"/>
    <hyperlink r:id="rId10" ref="I454"/>
    <hyperlink r:id="rId11" ref="H455"/>
    <hyperlink r:id="rId12" ref="I455"/>
    <hyperlink r:id="rId13" ref="H456"/>
    <hyperlink r:id="rId14" ref="I456"/>
    <hyperlink r:id="rId15" ref="H457"/>
    <hyperlink r:id="rId16" ref="I457"/>
    <hyperlink r:id="rId17" ref="H458"/>
    <hyperlink r:id="rId18" ref="I458"/>
    <hyperlink r:id="rId19" ref="H469"/>
    <hyperlink r:id="rId20" ref="I469"/>
    <hyperlink r:id="rId21" ref="H504"/>
    <hyperlink r:id="rId22" ref="I504"/>
    <hyperlink r:id="rId23" ref="H505"/>
    <hyperlink r:id="rId24" ref="I505"/>
    <hyperlink r:id="rId25" ref="H506"/>
    <hyperlink r:id="rId26" ref="I506"/>
    <hyperlink r:id="rId27" ref="H507"/>
    <hyperlink r:id="rId28" ref="H509"/>
    <hyperlink r:id="rId29" ref="I509"/>
    <hyperlink r:id="rId30" ref="H510"/>
    <hyperlink r:id="rId31" ref="I510"/>
    <hyperlink r:id="rId32" ref="H511"/>
    <hyperlink r:id="rId33" ref="I511"/>
    <hyperlink r:id="rId34" ref="H512"/>
    <hyperlink r:id="rId35" ref="I512"/>
    <hyperlink r:id="rId36" ref="H513"/>
    <hyperlink r:id="rId37" ref="I513"/>
    <hyperlink r:id="rId38" ref="H514"/>
    <hyperlink r:id="rId39" ref="I514"/>
    <hyperlink r:id="rId40" ref="H515"/>
    <hyperlink r:id="rId41" ref="I515"/>
    <hyperlink r:id="rId42" ref="H516"/>
    <hyperlink r:id="rId43" ref="I516"/>
    <hyperlink r:id="rId44" ref="H517"/>
    <hyperlink r:id="rId45" ref="H518"/>
    <hyperlink r:id="rId46" ref="I518"/>
    <hyperlink r:id="rId47" ref="H519"/>
    <hyperlink r:id="rId48" ref="H520"/>
    <hyperlink r:id="rId49" ref="H521"/>
    <hyperlink r:id="rId50" ref="I521"/>
    <hyperlink r:id="rId51" ref="H522"/>
    <hyperlink r:id="rId52" ref="I522"/>
    <hyperlink r:id="rId53" ref="H523"/>
    <hyperlink r:id="rId54" ref="I523"/>
    <hyperlink r:id="rId55" ref="H524"/>
    <hyperlink r:id="rId56" ref="I524"/>
    <hyperlink r:id="rId57" ref="H525"/>
    <hyperlink r:id="rId58" ref="I525"/>
    <hyperlink r:id="rId59" ref="H526"/>
    <hyperlink r:id="rId60" ref="I526"/>
    <hyperlink r:id="rId61" ref="H527"/>
    <hyperlink r:id="rId62" ref="H528"/>
    <hyperlink r:id="rId63" ref="I528"/>
    <hyperlink r:id="rId64" ref="H529"/>
    <hyperlink r:id="rId65" ref="H530"/>
    <hyperlink r:id="rId66" ref="H531"/>
    <hyperlink r:id="rId67" ref="H532"/>
    <hyperlink r:id="rId68" ref="H533"/>
    <hyperlink r:id="rId69" ref="I533"/>
  </hyperlinks>
  <drawing r:id="rId70"/>
  <legacyDrawing r:id="rId7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38"/>
    <col customWidth="1" min="2" max="2" width="25.63"/>
    <col customWidth="1" min="4" max="4" width="18.13"/>
    <col customWidth="1" min="5" max="5" width="21.5"/>
    <col customWidth="1" min="6" max="6" width="9.25"/>
    <col customWidth="1" min="7" max="7" width="11.5"/>
    <col hidden="1" min="8" max="21" width="12.63"/>
    <col customWidth="1" min="22" max="22" width="73.75"/>
  </cols>
  <sheetData>
    <row r="1">
      <c r="A1" s="2" t="s">
        <v>985</v>
      </c>
      <c r="B1" s="2" t="s">
        <v>986</v>
      </c>
      <c r="C1" s="2" t="s">
        <v>987</v>
      </c>
      <c r="D1" s="2" t="s">
        <v>988</v>
      </c>
      <c r="E1" s="6" t="s">
        <v>989</v>
      </c>
      <c r="F1" s="2" t="s">
        <v>990</v>
      </c>
      <c r="G1" s="2" t="s">
        <v>988</v>
      </c>
      <c r="H1" s="2" t="s">
        <v>991</v>
      </c>
      <c r="I1" s="2" t="s">
        <v>992</v>
      </c>
      <c r="J1" s="2" t="s">
        <v>993</v>
      </c>
      <c r="K1" s="2" t="s">
        <v>994</v>
      </c>
      <c r="L1" s="2" t="s">
        <v>995</v>
      </c>
      <c r="M1" s="2" t="s">
        <v>996</v>
      </c>
      <c r="N1" s="2" t="s">
        <v>2505</v>
      </c>
      <c r="O1" s="2" t="s">
        <v>2506</v>
      </c>
      <c r="P1" s="2" t="s">
        <v>2507</v>
      </c>
      <c r="Q1" s="2" t="s">
        <v>2508</v>
      </c>
      <c r="R1" s="2" t="s">
        <v>2509</v>
      </c>
      <c r="S1" s="2" t="s">
        <v>2510</v>
      </c>
      <c r="T1" s="2" t="s">
        <v>2511</v>
      </c>
      <c r="U1" s="2" t="s">
        <v>2512</v>
      </c>
      <c r="V1" s="2" t="s">
        <v>2513</v>
      </c>
    </row>
    <row r="2">
      <c r="A2" s="2">
        <v>2.0</v>
      </c>
      <c r="B2" s="2" t="s">
        <v>997</v>
      </c>
      <c r="C2" s="2" t="s">
        <v>997</v>
      </c>
      <c r="D2" s="2" t="s">
        <v>998</v>
      </c>
      <c r="E2" s="6" t="s">
        <v>999</v>
      </c>
      <c r="F2" s="2" t="s">
        <v>1000</v>
      </c>
      <c r="G2" s="2" t="s">
        <v>1001</v>
      </c>
      <c r="H2" s="2" t="s">
        <v>1002</v>
      </c>
      <c r="I2" s="2" t="s">
        <v>1003</v>
      </c>
      <c r="V2" s="6" t="str">
        <f>"(Ação da Cosan|Ações da Cosan|"&amp;H2&amp;"|"&amp;I2&amp;")"</f>
        <v>(Ação da Cosan|Ações da Cosan|CSAN3|CSAN3F)</v>
      </c>
    </row>
    <row r="3">
      <c r="A3" s="2">
        <v>1.0</v>
      </c>
      <c r="B3" s="2" t="s">
        <v>997</v>
      </c>
      <c r="C3" s="2" t="s">
        <v>997</v>
      </c>
      <c r="D3" s="2" t="s">
        <v>998</v>
      </c>
      <c r="E3" s="6" t="s">
        <v>1004</v>
      </c>
      <c r="F3" s="2" t="s">
        <v>1005</v>
      </c>
      <c r="G3" s="2"/>
      <c r="H3" s="22" t="str">
        <f>VLOOKUP(E3,'Lista Infomoney'!B:H,2,FALSE)</f>
        <v>DMMO11</v>
      </c>
      <c r="I3" s="22" t="str">
        <f>VLOOKUP(E3,'Lista Infomoney'!B:F,3,FALSE)</f>
        <v>DMMO3F</v>
      </c>
      <c r="J3" s="22" t="str">
        <f>VLOOKUP(E3,'Lista Infomoney'!B:F,4,FALSE)</f>
        <v>DMMO3</v>
      </c>
      <c r="K3" s="2" t="s">
        <v>1006</v>
      </c>
      <c r="V3" s="6" t="str">
        <f>"(Ação da Dommo|Ações da Dommo|"&amp;H3&amp;"|"&amp;I3&amp;"|"&amp;J3&amp;"|"&amp;K3&amp;")"</f>
        <v>(Ação da Dommo|Ações da Dommo|DMMO11|DMMO3F|DMMO3|DMMO1)</v>
      </c>
    </row>
    <row r="4">
      <c r="A4" s="2">
        <v>1.0</v>
      </c>
      <c r="B4" s="2" t="s">
        <v>997</v>
      </c>
      <c r="C4" s="2" t="s">
        <v>997</v>
      </c>
      <c r="D4" s="2" t="s">
        <v>998</v>
      </c>
      <c r="E4" s="6" t="s">
        <v>1007</v>
      </c>
      <c r="F4" s="2" t="s">
        <v>1008</v>
      </c>
      <c r="G4" s="2" t="s">
        <v>1001</v>
      </c>
      <c r="H4" s="22" t="str">
        <f>VLOOKUP(E4,'Lista Infomoney'!B:H,2,FALSE)</f>
        <v>ENAT3</v>
      </c>
      <c r="I4" s="6" t="str">
        <f>VLOOKUP(E4,'Lista Infomoney'!B:F,3,FALSE)</f>
        <v/>
      </c>
      <c r="J4" s="6" t="str">
        <f>VLOOKUP(E4,'Lista Infomoney'!B:F,4,FALSE)</f>
        <v/>
      </c>
      <c r="K4" s="6" t="str">
        <f>VLOOKUP(E4,'Lista Infomoney'!B:F,5,FALSE)</f>
        <v/>
      </c>
      <c r="V4" s="6" t="str">
        <f>"(Ação da Enauta|Ações da Enauta|Ação da Enauta Part|Ações Enauta Part|"&amp;H4&amp;")"</f>
        <v>(Ação da Enauta|Ações da Enauta|Ação da Enauta Part|Ações Enauta Part|ENAT3)</v>
      </c>
    </row>
    <row r="5">
      <c r="A5" s="2">
        <v>1.0</v>
      </c>
      <c r="B5" s="2" t="s">
        <v>997</v>
      </c>
      <c r="C5" s="2" t="s">
        <v>997</v>
      </c>
      <c r="D5" s="2" t="s">
        <v>998</v>
      </c>
      <c r="E5" s="2" t="s">
        <v>1009</v>
      </c>
      <c r="F5" s="2" t="s">
        <v>1010</v>
      </c>
      <c r="G5" s="2"/>
      <c r="H5" s="22" t="str">
        <f>VLOOKUP(E5,'Lista Infomoney'!B:H,2,FALSE)</f>
        <v>RPMG3F</v>
      </c>
      <c r="I5" s="22" t="str">
        <f>VLOOKUP(E5,'Lista Infomoney'!B:F,3,FALSE)</f>
        <v>RPMG3</v>
      </c>
      <c r="J5" s="6" t="str">
        <f>VLOOKUP(E5,'Lista Infomoney'!B:F,4,FALSE)</f>
        <v/>
      </c>
      <c r="K5" s="6" t="str">
        <f>VLOOKUP(E5,'Lista Infomoney'!B:F,5,FALSE)</f>
        <v/>
      </c>
      <c r="V5" s="6" t="str">
        <f>"(Ação da Pet Manguinhos|Ações da Pet Manguinhos|"&amp;H5&amp;"|"&amp;I5&amp;")"</f>
        <v>(Ação da Pet Manguinhos|Ações da Pet Manguinhos|RPMG3F|RPMG3)</v>
      </c>
    </row>
    <row r="6">
      <c r="A6" s="2">
        <v>1.0</v>
      </c>
      <c r="B6" s="2" t="s">
        <v>997</v>
      </c>
      <c r="C6" s="2" t="s">
        <v>997</v>
      </c>
      <c r="D6" s="2" t="s">
        <v>998</v>
      </c>
      <c r="E6" s="6" t="s">
        <v>1011</v>
      </c>
      <c r="F6" s="2" t="s">
        <v>1012</v>
      </c>
      <c r="G6" s="2" t="s">
        <v>1013</v>
      </c>
      <c r="H6" s="22" t="str">
        <f>VLOOKUP(E6,'Lista Infomoney'!B:H,2,FALSE)</f>
        <v>PETR4F</v>
      </c>
      <c r="I6" s="22" t="str">
        <f>VLOOKUP(E6,'Lista Infomoney'!B:F,3,FALSE)</f>
        <v>PETR4</v>
      </c>
      <c r="J6" s="22" t="str">
        <f>VLOOKUP(E6,'Lista Infomoney'!B:F,4,FALSE)</f>
        <v>PETR3F</v>
      </c>
      <c r="K6" s="22" t="str">
        <f>VLOOKUP(E6,'Lista Infomoney'!B:F,5,FALSE)</f>
        <v>PETR3</v>
      </c>
      <c r="V6" s="6" t="str">
        <f>"(Ação da Petrobras|Ações da Petrobras|"&amp;H6&amp;"|"&amp;I6&amp;"|"&amp;J6&amp;"|"&amp;K6&amp;")"</f>
        <v>(Ação da Petrobras|Ações da Petrobras|PETR4F|PETR4|PETR3F|PETR3)</v>
      </c>
    </row>
    <row r="7">
      <c r="A7" s="2">
        <v>1.0</v>
      </c>
      <c r="B7" s="2" t="s">
        <v>997</v>
      </c>
      <c r="C7" s="2" t="s">
        <v>997</v>
      </c>
      <c r="D7" s="2" t="s">
        <v>998</v>
      </c>
      <c r="E7" s="2" t="s">
        <v>751</v>
      </c>
      <c r="F7" s="2" t="s">
        <v>1014</v>
      </c>
      <c r="G7" s="2" t="s">
        <v>1001</v>
      </c>
      <c r="H7" s="22" t="str">
        <f>VLOOKUP(E7,'Lista Infomoney'!B:H,2,FALSE)</f>
        <v>BRDT3</v>
      </c>
      <c r="I7" s="6" t="str">
        <f>VLOOKUP(E7,'Lista Infomoney'!B:F,3,FALSE)</f>
        <v/>
      </c>
      <c r="J7" s="6" t="str">
        <f>VLOOKUP(E7,'Lista Infomoney'!B:F,4,FALSE)</f>
        <v/>
      </c>
      <c r="K7" s="6" t="str">
        <f>VLOOKUP(E7,'Lista Infomoney'!B:F,5,FALSE)</f>
        <v/>
      </c>
      <c r="V7" s="6" t="str">
        <f>"(Ação da Petrobras Distribuidora|Ações da Petrobras Distribuidora|"&amp;H7&amp;")"</f>
        <v>(Ação da Petrobras Distribuidora|Ações da Petrobras Distribuidora|BRDT3)</v>
      </c>
    </row>
    <row r="8">
      <c r="A8" s="2">
        <v>1.0</v>
      </c>
      <c r="B8" s="2" t="s">
        <v>997</v>
      </c>
      <c r="C8" s="2" t="s">
        <v>997</v>
      </c>
      <c r="D8" s="2" t="s">
        <v>998</v>
      </c>
      <c r="E8" s="2" t="s">
        <v>730</v>
      </c>
      <c r="F8" s="2" t="s">
        <v>1015</v>
      </c>
      <c r="G8" s="2" t="s">
        <v>1001</v>
      </c>
      <c r="H8" s="22" t="str">
        <f>VLOOKUP(E8,'Lista Infomoney'!B:H,2,FALSE)</f>
        <v>PRIO3F</v>
      </c>
      <c r="I8" s="22" t="str">
        <f>VLOOKUP(E8,'Lista Infomoney'!B:F,3,FALSE)</f>
        <v>PRIO3</v>
      </c>
      <c r="J8" s="6" t="str">
        <f>VLOOKUP(E8,'Lista Infomoney'!B:F,4,FALSE)</f>
        <v/>
      </c>
      <c r="K8" s="6" t="str">
        <f>VLOOKUP(E8,'Lista Infomoney'!B:F,5,FALSE)</f>
        <v/>
      </c>
      <c r="V8" s="6" t="str">
        <f>"(Ação da Petrorio|Ações da Petrorio|"&amp;H8&amp;"|"&amp;I8&amp;")"</f>
        <v>(Ação da Petrorio|Ações da Petrorio|PRIO3F|PRIO3)</v>
      </c>
    </row>
    <row r="9">
      <c r="A9" s="2">
        <v>1.0</v>
      </c>
      <c r="B9" s="2" t="s">
        <v>997</v>
      </c>
      <c r="C9" s="2" t="s">
        <v>997</v>
      </c>
      <c r="D9" s="2" t="s">
        <v>998</v>
      </c>
      <c r="E9" s="2" t="s">
        <v>1016</v>
      </c>
      <c r="F9" s="2" t="s">
        <v>1017</v>
      </c>
      <c r="G9" s="2" t="s">
        <v>1001</v>
      </c>
      <c r="H9" s="22" t="str">
        <f>VLOOKUP(E9,'Lista Infomoney'!B:H,2,FALSE)</f>
        <v>UGPA3</v>
      </c>
      <c r="I9" s="22" t="str">
        <f>VLOOKUP(E9,'Lista Infomoney'!B:F,3,FALSE)</f>
        <v>UGPA3F</v>
      </c>
      <c r="J9" s="6" t="str">
        <f>VLOOKUP(E9,'Lista Infomoney'!B:F,4,FALSE)</f>
        <v/>
      </c>
      <c r="K9" s="6" t="str">
        <f>VLOOKUP(E9,'Lista Infomoney'!B:F,5,FALSE)</f>
        <v/>
      </c>
      <c r="V9" s="6" t="str">
        <f>"(Ação da Ultrapar|Ações da Ultrapar|"&amp;H9&amp;"|"&amp;I9&amp;")"</f>
        <v>(Ação da Ultrapar|Ações da Ultrapar|UGPA3|UGPA3F)</v>
      </c>
    </row>
    <row r="10">
      <c r="A10" s="2">
        <v>1.0</v>
      </c>
      <c r="B10" s="2" t="s">
        <v>997</v>
      </c>
      <c r="C10" s="2" t="s">
        <v>997</v>
      </c>
      <c r="D10" s="2" t="s">
        <v>1018</v>
      </c>
      <c r="E10" s="2" t="s">
        <v>1019</v>
      </c>
      <c r="F10" s="2" t="s">
        <v>1020</v>
      </c>
      <c r="G10" s="2" t="s">
        <v>1001</v>
      </c>
      <c r="H10" s="22" t="str">
        <f>VLOOKUP(E10,'Lista Infomoney'!B:H,2,FALSE)</f>
        <v>LUPA3F</v>
      </c>
      <c r="I10" s="22" t="str">
        <f>VLOOKUP(E10,'Lista Infomoney'!B:F,3,FALSE)</f>
        <v>LUPA3</v>
      </c>
      <c r="J10" s="2" t="s">
        <v>1021</v>
      </c>
      <c r="K10" s="6" t="str">
        <f>VLOOKUP(E10,'Lista Infomoney'!B:F,5,FALSE)</f>
        <v/>
      </c>
      <c r="V10" s="6" t="str">
        <f>"(Ação da Lupatech|Ações da Lupatech|"&amp;H10&amp;"|"&amp;I10&amp;"|"&amp;J10&amp;")"</f>
        <v>(Ação da Lupatech|Ações da Lupatech|LUPA3F|LUPA3|LUPA11)</v>
      </c>
    </row>
    <row r="11">
      <c r="A11" s="2">
        <v>1.0</v>
      </c>
      <c r="B11" s="2" t="s">
        <v>997</v>
      </c>
      <c r="C11" s="2" t="s">
        <v>997</v>
      </c>
      <c r="D11" s="2" t="s">
        <v>1018</v>
      </c>
      <c r="E11" s="2" t="s">
        <v>1022</v>
      </c>
      <c r="F11" s="2" t="s">
        <v>1023</v>
      </c>
      <c r="G11" s="2" t="s">
        <v>1001</v>
      </c>
      <c r="H11" s="22" t="str">
        <f>VLOOKUP(E11,'Lista Infomoney'!B:H,2,FALSE)</f>
        <v>OSXB3F</v>
      </c>
      <c r="I11" s="22" t="str">
        <f>VLOOKUP(E11,'Lista Infomoney'!B:F,3,FALSE)</f>
        <v>OSXB3</v>
      </c>
      <c r="J11" s="6" t="str">
        <f>VLOOKUP(E11,'Lista Infomoney'!B:F,4,FALSE)</f>
        <v/>
      </c>
      <c r="K11" s="6" t="str">
        <f>VLOOKUP(E11,'Lista Infomoney'!B:F,5,FALSE)</f>
        <v/>
      </c>
      <c r="V11" s="6" t="str">
        <f>"(Ação da OSX Brasil|Ação da OSX|Ações da OSX Brasil|Ações da OSX|"&amp;H11&amp;"|"&amp;I11&amp;")"</f>
        <v>(Ação da OSX Brasil|Ação da OSX|Ações da OSX Brasil|Ações da OSX|OSXB3F|OSXB3)</v>
      </c>
    </row>
    <row r="12">
      <c r="A12" s="2">
        <v>1.0</v>
      </c>
      <c r="B12" s="2" t="s">
        <v>1024</v>
      </c>
      <c r="C12" s="2" t="s">
        <v>1025</v>
      </c>
      <c r="D12" s="2" t="s">
        <v>1026</v>
      </c>
      <c r="E12" s="2" t="s">
        <v>1027</v>
      </c>
      <c r="F12" s="2" t="s">
        <v>1028</v>
      </c>
      <c r="G12" s="2" t="s">
        <v>1029</v>
      </c>
      <c r="H12" s="22" t="str">
        <f>VLOOKUP(E12,'Lista Infomoney'!B:H,2,FALSE)</f>
        <v>BRAP4F</v>
      </c>
      <c r="I12" s="22" t="str">
        <f>VLOOKUP(E12,'Lista Infomoney'!B:F,3,FALSE)</f>
        <v>BRAP4</v>
      </c>
      <c r="J12" s="22" t="str">
        <f>VLOOKUP(E12,'Lista Infomoney'!B:F,4,FALSE)</f>
        <v>BRAP3F</v>
      </c>
      <c r="K12" s="22" t="str">
        <f>VLOOKUP(E12,'Lista Infomoney'!B:F,5,FALSE)</f>
        <v>BRAP3</v>
      </c>
      <c r="V12" s="6" t="str">
        <f>"(Ação da Bradespar|Ações da Bradespar|"&amp;H12&amp;"|"&amp;I12&amp;"|"&amp;J12&amp;"|"&amp;K12&amp;")"</f>
        <v>(Ação da Bradespar|Ações da Bradespar|BRAP4F|BRAP4|BRAP3F|BRAP3)</v>
      </c>
    </row>
    <row r="13">
      <c r="A13" s="2">
        <v>2.0</v>
      </c>
      <c r="B13" s="2" t="s">
        <v>1024</v>
      </c>
      <c r="C13" s="2" t="s">
        <v>1025</v>
      </c>
      <c r="D13" s="2" t="s">
        <v>1026</v>
      </c>
      <c r="E13" s="2" t="s">
        <v>1030</v>
      </c>
      <c r="F13" s="2" t="s">
        <v>1031</v>
      </c>
      <c r="G13" s="2" t="s">
        <v>1032</v>
      </c>
      <c r="H13" s="2" t="s">
        <v>1033</v>
      </c>
      <c r="I13" s="2" t="s">
        <v>1034</v>
      </c>
      <c r="J13" s="2" t="s">
        <v>1035</v>
      </c>
      <c r="K13" s="2" t="s">
        <v>1036</v>
      </c>
      <c r="V13" s="6" t="str">
        <f>"(Ação da Litel|Ações da Litel|"&amp;H13&amp;"|"&amp;I13&amp;"|"&amp;J13&amp;"|"&amp;K13&amp;")"</f>
        <v>(Ação da Litel|Ações da Litel|LTEL3B|LTEL11BF|LTEL3BF|LTEL5BF)</v>
      </c>
    </row>
    <row r="14">
      <c r="A14" s="2">
        <v>2.0</v>
      </c>
      <c r="B14" s="2" t="s">
        <v>1024</v>
      </c>
      <c r="C14" s="2" t="s">
        <v>1025</v>
      </c>
      <c r="D14" s="2" t="s">
        <v>1026</v>
      </c>
      <c r="E14" s="2" t="s">
        <v>1037</v>
      </c>
      <c r="F14" s="2" t="s">
        <v>1038</v>
      </c>
      <c r="G14" s="2" t="s">
        <v>1032</v>
      </c>
      <c r="H14" s="2" t="s">
        <v>1039</v>
      </c>
      <c r="V14" s="6" t="str">
        <f>"(Ação da Litela|Ações da Litela|"&amp;H14&amp;")"</f>
        <v>(Ação da Litela|Ações da Litela|LTLA3B)</v>
      </c>
    </row>
    <row r="15">
      <c r="A15" s="2">
        <v>1.0</v>
      </c>
      <c r="B15" s="2" t="s">
        <v>1024</v>
      </c>
      <c r="C15" s="2" t="s">
        <v>1025</v>
      </c>
      <c r="D15" s="2" t="s">
        <v>1026</v>
      </c>
      <c r="E15" s="2" t="s">
        <v>79</v>
      </c>
      <c r="F15" s="2" t="s">
        <v>1040</v>
      </c>
      <c r="G15" s="2" t="s">
        <v>1001</v>
      </c>
      <c r="H15" s="22" t="str">
        <f>VLOOKUP(E15,'Lista Infomoney'!B:H,2,FALSE)</f>
        <v>MMXM11F</v>
      </c>
      <c r="I15" s="22" t="str">
        <f>VLOOKUP(E15,'Lista Infomoney'!B:F,3,FALSE)</f>
        <v>MMXM3F</v>
      </c>
      <c r="J15" s="2" t="s">
        <v>547</v>
      </c>
      <c r="K15" s="2" t="s">
        <v>546</v>
      </c>
      <c r="V15" s="6" t="str">
        <f>"(Ação da MMX Mineração|Ações da MMX Mineração|"&amp;H15&amp;"|"&amp;I15&amp;"|"&amp;J15&amp;"|"&amp;K15&amp;")"</f>
        <v>(Ação da MMX Mineração|Ações da MMX Mineração|MMXM11F|MMXM3F|MMXM11|MMXM3)</v>
      </c>
    </row>
    <row r="16">
      <c r="A16" s="2">
        <v>1.0</v>
      </c>
      <c r="B16" s="2" t="s">
        <v>1024</v>
      </c>
      <c r="C16" s="2" t="s">
        <v>1025</v>
      </c>
      <c r="D16" s="2" t="s">
        <v>1026</v>
      </c>
      <c r="E16" s="2" t="s">
        <v>1041</v>
      </c>
      <c r="F16" s="2" t="s">
        <v>1041</v>
      </c>
      <c r="G16" s="2" t="s">
        <v>1001</v>
      </c>
      <c r="H16" s="22" t="str">
        <f>VLOOKUP(E16,'Lista Infomoney'!B:H,2,FALSE)</f>
        <v>VALE3</v>
      </c>
      <c r="I16" s="2" t="s">
        <v>1042</v>
      </c>
      <c r="J16" s="6" t="str">
        <f>VLOOKUP(E16,'Lista Infomoney'!B:F,4,FALSE)</f>
        <v/>
      </c>
      <c r="K16" s="6" t="str">
        <f>VLOOKUP(E16,'Lista Infomoney'!B:F,5,FALSE)</f>
        <v/>
      </c>
      <c r="V16" s="6" t="str">
        <f>"(Ação da Vale|Ações da Vale|"&amp;H16&amp;"|"&amp;I16&amp;")"</f>
        <v>(Ação da Vale|Ações da Vale|VALE3|VALE3F)</v>
      </c>
    </row>
    <row r="17">
      <c r="A17" s="2">
        <v>1.0</v>
      </c>
      <c r="B17" s="2" t="s">
        <v>1024</v>
      </c>
      <c r="C17" s="2" t="s">
        <v>1043</v>
      </c>
      <c r="D17" s="2" t="s">
        <v>1044</v>
      </c>
      <c r="E17" s="2" t="s">
        <v>1045</v>
      </c>
      <c r="F17" s="2" t="s">
        <v>1046</v>
      </c>
      <c r="G17" s="2" t="s">
        <v>1029</v>
      </c>
      <c r="H17" s="22" t="str">
        <f>VLOOKUP(E17,'Lista Infomoney'!B:H,2,FALSE)</f>
        <v>FESA4F</v>
      </c>
      <c r="I17" s="22" t="str">
        <f>VLOOKUP(E17,'Lista Infomoney'!B:F,3,FALSE)</f>
        <v>FESA3F</v>
      </c>
      <c r="J17" s="22" t="str">
        <f>VLOOKUP(E17,'Lista Infomoney'!B:F,4,FALSE)</f>
        <v>FESA4</v>
      </c>
      <c r="K17" s="22" t="str">
        <f>VLOOKUP(E17,'Lista Infomoney'!B:F,5,FALSE)</f>
        <v>FESA3</v>
      </c>
      <c r="V17" s="6" t="str">
        <f>"(Ação da Ferbasa|Ações da Ferbasa|"&amp;H17&amp;"|"&amp;I17&amp;"|"&amp;J17&amp;"|"&amp;K17&amp;")"</f>
        <v>(Ação da Ferbasa|Ações da Ferbasa|FESA4F|FESA3F|FESA4|FESA3)</v>
      </c>
    </row>
    <row r="18">
      <c r="A18" s="2">
        <v>1.0</v>
      </c>
      <c r="B18" s="2" t="s">
        <v>1024</v>
      </c>
      <c r="C18" s="2" t="s">
        <v>1043</v>
      </c>
      <c r="D18" s="2" t="s">
        <v>1044</v>
      </c>
      <c r="E18" s="2" t="s">
        <v>1047</v>
      </c>
      <c r="F18" s="2" t="s">
        <v>1048</v>
      </c>
      <c r="G18" s="2" t="s">
        <v>1029</v>
      </c>
      <c r="H18" s="23" t="s">
        <v>1049</v>
      </c>
      <c r="I18" s="2" t="s">
        <v>1050</v>
      </c>
      <c r="J18" s="2" t="s">
        <v>1051</v>
      </c>
      <c r="K18" s="2" t="s">
        <v>1052</v>
      </c>
      <c r="V18" s="6" t="str">
        <f>"(Ação da Gerdau|Ações da Gerdau|"&amp;H18&amp;"|"&amp;I18&amp;"|"&amp;J18&amp;"|"&amp;K18&amp;")"</f>
        <v>(Ação da Gerdau|Ações da Gerdau|GGBR3|GGBR4|GGBR3F|GGBR4F)</v>
      </c>
    </row>
    <row r="19">
      <c r="A19" s="2">
        <v>2.0</v>
      </c>
      <c r="B19" s="2" t="s">
        <v>1024</v>
      </c>
      <c r="C19" s="2" t="s">
        <v>1043</v>
      </c>
      <c r="D19" s="2" t="s">
        <v>1044</v>
      </c>
      <c r="E19" s="2" t="s">
        <v>1053</v>
      </c>
      <c r="F19" s="2" t="s">
        <v>1054</v>
      </c>
      <c r="G19" s="2" t="s">
        <v>1029</v>
      </c>
      <c r="H19" s="2" t="s">
        <v>1055</v>
      </c>
      <c r="I19" s="2" t="s">
        <v>549</v>
      </c>
      <c r="J19" s="2" t="s">
        <v>1056</v>
      </c>
      <c r="K19" s="2" t="s">
        <v>1057</v>
      </c>
      <c r="V19" s="6" t="str">
        <f>"(Ação da Gerdau Met|Ações da Gerdau Met|"&amp;H19&amp;"|"&amp;I19&amp;"|"&amp;J19&amp;"|"&amp;K19&amp;")"</f>
        <v>(Ação da Gerdau Met|Ações da Gerdau Met|GOAU3|GOAU4|GOAU3F|GOAU4F)</v>
      </c>
    </row>
    <row r="20">
      <c r="A20" s="2">
        <v>1.0</v>
      </c>
      <c r="B20" s="2" t="s">
        <v>1024</v>
      </c>
      <c r="C20" s="2" t="s">
        <v>1043</v>
      </c>
      <c r="D20" s="2" t="s">
        <v>1044</v>
      </c>
      <c r="E20" s="2" t="s">
        <v>550</v>
      </c>
      <c r="F20" s="2" t="s">
        <v>1058</v>
      </c>
      <c r="G20" s="2"/>
      <c r="H20" s="22" t="str">
        <f>VLOOKUP(E20,'Lista Infomoney'!B:H,2,FALSE)</f>
        <v>CSNA3F</v>
      </c>
      <c r="I20" s="22" t="str">
        <f>VLOOKUP(E20,'Lista Infomoney'!B:F,3,FALSE)</f>
        <v>CSNA3</v>
      </c>
      <c r="J20" s="6" t="str">
        <f>VLOOKUP(E20,'Lista Infomoney'!B:F,4,FALSE)</f>
        <v/>
      </c>
      <c r="K20" s="6" t="str">
        <f>VLOOKUP(E20,'Lista Infomoney'!B:F,5,FALSE)</f>
        <v/>
      </c>
      <c r="V20" s="6" t="str">
        <f>"(Ação da CSN|Ações da CSN|"&amp;H20&amp;"|"&amp;I20&amp;")"</f>
        <v>(Ação da CSN|Ações da CSN|CSNA3F|CSNA3)</v>
      </c>
    </row>
    <row r="21">
      <c r="A21" s="2">
        <v>1.0</v>
      </c>
      <c r="B21" s="2" t="s">
        <v>1024</v>
      </c>
      <c r="C21" s="2" t="s">
        <v>1043</v>
      </c>
      <c r="D21" s="2" t="s">
        <v>1044</v>
      </c>
      <c r="E21" s="2" t="s">
        <v>1059</v>
      </c>
      <c r="F21" s="2" t="s">
        <v>1060</v>
      </c>
      <c r="G21" s="2" t="s">
        <v>1029</v>
      </c>
      <c r="H21" s="22" t="str">
        <f>VLOOKUP(E21,'Lista Infomoney'!B:H,2,FALSE)</f>
        <v>USIM6</v>
      </c>
      <c r="I21" s="22" t="str">
        <f>VLOOKUP(E21,'Lista Infomoney'!B:F,3,FALSE)</f>
        <v>USIM5</v>
      </c>
      <c r="J21" s="22" t="str">
        <f>VLOOKUP(E21,'Lista Infomoney'!B:F,4,FALSE)</f>
        <v>USIM3</v>
      </c>
      <c r="K21" s="2" t="s">
        <v>1061</v>
      </c>
      <c r="L21" s="2" t="s">
        <v>1062</v>
      </c>
      <c r="M21" s="2" t="s">
        <v>1063</v>
      </c>
      <c r="V21" s="6" t="str">
        <f>"(Ação da Usiminas|Ações da Usiminas|"&amp;H21&amp;"|"&amp;I21&amp;"|"&amp;J21&amp;"|"&amp;K21&amp;"|"&amp;L21&amp;"|"&amp;M21&amp;")"</f>
        <v>(Ação da Usiminas|Ações da Usiminas|USIM6|USIM5|USIM3|USIM3F|USIM5F|USIM6F)</v>
      </c>
    </row>
    <row r="22">
      <c r="A22" s="2">
        <v>2.0</v>
      </c>
      <c r="B22" s="2" t="s">
        <v>1024</v>
      </c>
      <c r="C22" s="2" t="s">
        <v>1043</v>
      </c>
      <c r="D22" s="2" t="s">
        <v>1064</v>
      </c>
      <c r="E22" s="2" t="s">
        <v>1065</v>
      </c>
      <c r="F22" s="2" t="s">
        <v>1066</v>
      </c>
      <c r="G22" s="2"/>
      <c r="H22" s="2" t="s">
        <v>1067</v>
      </c>
      <c r="I22" s="2" t="s">
        <v>1068</v>
      </c>
      <c r="J22" s="2" t="s">
        <v>1069</v>
      </c>
      <c r="K22" s="2" t="s">
        <v>1070</v>
      </c>
      <c r="V22" s="6" t="str">
        <f>"(Ação da Mangels Indl|Ações da Mangels indl|"&amp;H22&amp;"|"&amp;I22&amp;"|"&amp;J22&amp;"|"&amp;K22&amp;")"</f>
        <v>(Ação da Mangels Indl|Ações da Mangels indl|MGEL3|MGEL4|MGEL3F|MGEL4F)</v>
      </c>
    </row>
    <row r="23">
      <c r="A23" s="2">
        <v>2.0</v>
      </c>
      <c r="B23" s="2" t="s">
        <v>1024</v>
      </c>
      <c r="C23" s="2" t="s">
        <v>1043</v>
      </c>
      <c r="D23" s="2" t="s">
        <v>1064</v>
      </c>
      <c r="E23" s="2" t="s">
        <v>1071</v>
      </c>
      <c r="F23" s="2" t="s">
        <v>1072</v>
      </c>
      <c r="G23" s="2"/>
      <c r="H23" s="2" t="s">
        <v>1073</v>
      </c>
      <c r="I23" s="2" t="s">
        <v>1074</v>
      </c>
      <c r="J23" s="2" t="s">
        <v>1075</v>
      </c>
      <c r="K23" s="2" t="s">
        <v>1076</v>
      </c>
      <c r="L23" s="2" t="s">
        <v>1077</v>
      </c>
      <c r="M23" s="2" t="s">
        <v>1078</v>
      </c>
      <c r="V23" s="6" t="str">
        <f>"(Ação da Panatlantica|Ações da Planatlantica|"&amp;H23&amp;"|"&amp;I23&amp;"|"&amp;J23&amp;"|"&amp;K23&amp;"|"&amp;L23&amp;"|"&amp;M23&amp;")"</f>
        <v>(Ação da Panatlantica|Ações da Planatlantica|PATI3|PATI4|PATI0F|PATI3F|PATI4F|PATI9F)</v>
      </c>
    </row>
    <row r="24">
      <c r="A24" s="2">
        <v>2.0</v>
      </c>
      <c r="B24" s="2" t="s">
        <v>1024</v>
      </c>
      <c r="C24" s="2" t="s">
        <v>1043</v>
      </c>
      <c r="D24" s="2" t="s">
        <v>1064</v>
      </c>
      <c r="E24" s="2" t="s">
        <v>1079</v>
      </c>
      <c r="F24" s="2" t="s">
        <v>1080</v>
      </c>
      <c r="G24" s="2"/>
      <c r="H24" s="2" t="s">
        <v>1081</v>
      </c>
      <c r="I24" s="2" t="s">
        <v>1082</v>
      </c>
      <c r="J24" s="2" t="s">
        <v>1083</v>
      </c>
      <c r="K24" s="2" t="s">
        <v>1084</v>
      </c>
      <c r="V24" s="6" t="str">
        <f>"(Ação da Tekno|Ações da Tekno|"&amp;H24&amp;"|"&amp;I24&amp;"|"&amp;J24&amp;"|"&amp;K24&amp;")"</f>
        <v>(Ação da Tekno|Ações da Tekno|TKNO3F|TKNO4F|TKNO3|TKNO4)</v>
      </c>
    </row>
    <row r="25">
      <c r="A25" s="2">
        <v>1.0</v>
      </c>
      <c r="B25" s="2" t="s">
        <v>1024</v>
      </c>
      <c r="C25" s="2" t="s">
        <v>1043</v>
      </c>
      <c r="D25" s="2" t="s">
        <v>1085</v>
      </c>
      <c r="E25" s="2" t="s">
        <v>1086</v>
      </c>
      <c r="F25" s="2" t="s">
        <v>1087</v>
      </c>
      <c r="G25" s="2" t="s">
        <v>1001</v>
      </c>
      <c r="H25" s="22" t="str">
        <f>VLOOKUP(E25,'Lista Infomoney'!B:H,2,FALSE)</f>
        <v>PMAM3F</v>
      </c>
      <c r="I25" s="22" t="str">
        <f>VLOOKUP(E25,'Lista Infomoney'!B:F,3,FALSE)</f>
        <v>PMAM3</v>
      </c>
      <c r="J25" s="6" t="str">
        <f>VLOOKUP(E25,'Lista Infomoney'!B:F,4,FALSE)</f>
        <v/>
      </c>
      <c r="K25" s="6" t="str">
        <f>VLOOKUP(E25,'Lista Infomoney'!B:F,5,FALSE)</f>
        <v/>
      </c>
      <c r="V25" s="6" t="str">
        <f>"(Ação da Paranapanema|Ações da Paranapanema|"&amp;H25&amp;"|"&amp;I25&amp;")"</f>
        <v>(Ação da Paranapanema|Ações da Paranapanema|PMAM3F|PMAM3)</v>
      </c>
    </row>
    <row r="26">
      <c r="A26" s="2">
        <v>1.0</v>
      </c>
      <c r="B26" s="2" t="s">
        <v>1024</v>
      </c>
      <c r="C26" s="2" t="s">
        <v>1088</v>
      </c>
      <c r="D26" s="2" t="s">
        <v>1089</v>
      </c>
      <c r="E26" s="2" t="s">
        <v>1090</v>
      </c>
      <c r="F26" s="2" t="s">
        <v>1091</v>
      </c>
      <c r="G26" s="2" t="s">
        <v>1029</v>
      </c>
      <c r="H26" s="22" t="str">
        <f>VLOOKUP(E26,'Lista Infomoney'!B:H,2,FALSE)</f>
        <v>BRKM6</v>
      </c>
      <c r="I26" s="22" t="str">
        <f>VLOOKUP(E26,'Lista Infomoney'!B:F,3,FALSE)</f>
        <v>BRKM5F</v>
      </c>
      <c r="J26" s="22" t="str">
        <f>VLOOKUP(E26,'Lista Infomoney'!B:F,4,FALSE)</f>
        <v>BRKM5</v>
      </c>
      <c r="K26" s="22" t="str">
        <f>VLOOKUP(E26,'Lista Infomoney'!B:F,5,FALSE)</f>
        <v>BRKM3</v>
      </c>
      <c r="L26" s="2" t="s">
        <v>1092</v>
      </c>
      <c r="M26" s="2" t="s">
        <v>1093</v>
      </c>
      <c r="V26" s="6" t="str">
        <f>"(Ação da Braskem|Ações da Braskem"&amp;H26&amp;"|"&amp;I26&amp;"|"&amp;J26&amp;"|"&amp;K26&amp;"|"&amp;L26&amp;"|"&amp;M26&amp;")"</f>
        <v>(Ação da Braskem|Ações da BraskemBRKM6|BRKM5F|BRKM5|BRKM3|BRKM3F|BRKM6F)</v>
      </c>
    </row>
    <row r="27">
      <c r="A27" s="2">
        <v>2.0</v>
      </c>
      <c r="B27" s="2" t="s">
        <v>1024</v>
      </c>
      <c r="C27" s="2" t="s">
        <v>1088</v>
      </c>
      <c r="D27" s="2" t="s">
        <v>1089</v>
      </c>
      <c r="E27" s="2" t="s">
        <v>1094</v>
      </c>
      <c r="F27" s="2" t="s">
        <v>1095</v>
      </c>
      <c r="G27" s="2"/>
      <c r="H27" s="2" t="s">
        <v>1096</v>
      </c>
      <c r="I27" s="2" t="s">
        <v>1097</v>
      </c>
      <c r="J27" s="2" t="s">
        <v>1098</v>
      </c>
      <c r="K27" s="2" t="s">
        <v>1099</v>
      </c>
      <c r="V27" s="6" t="str">
        <f>"(Ação da GPC Part|Ações da GPC part|"&amp;H27&amp;"|"&amp;I27&amp;"|"&amp;J27&amp;"|"&amp;K27&amp;")"</f>
        <v>(Ação da GPC Part|Ações da GPC part|GPCP3|GPCP4|GPCP3F|GPCP4F)</v>
      </c>
    </row>
    <row r="28">
      <c r="A28" s="2">
        <v>2.0</v>
      </c>
      <c r="B28" s="2" t="s">
        <v>1024</v>
      </c>
      <c r="C28" s="2" t="s">
        <v>1088</v>
      </c>
      <c r="D28" s="2" t="s">
        <v>1100</v>
      </c>
      <c r="E28" s="2" t="s">
        <v>1101</v>
      </c>
      <c r="F28" s="2" t="s">
        <v>1102</v>
      </c>
      <c r="G28" s="2" t="s">
        <v>1001</v>
      </c>
      <c r="H28" s="2" t="s">
        <v>1103</v>
      </c>
      <c r="I28" s="2" t="s">
        <v>1104</v>
      </c>
      <c r="V28" s="6" t="str">
        <f>"(Ação da Fer Heringer|Ações da Heringer|"&amp;H28&amp;"|"&amp;I28&amp;")"</f>
        <v>(Ação da Fer Heringer|Ações da Heringer|FHER3|FHER3F)</v>
      </c>
    </row>
    <row r="29">
      <c r="A29" s="2">
        <v>2.0</v>
      </c>
      <c r="B29" s="2" t="s">
        <v>1024</v>
      </c>
      <c r="C29" s="2" t="s">
        <v>1088</v>
      </c>
      <c r="D29" s="2" t="s">
        <v>1100</v>
      </c>
      <c r="E29" s="2" t="s">
        <v>1105</v>
      </c>
      <c r="F29" s="2" t="s">
        <v>1106</v>
      </c>
      <c r="G29" s="2" t="s">
        <v>1107</v>
      </c>
      <c r="H29" s="2" t="s">
        <v>1108</v>
      </c>
      <c r="I29" s="2" t="s">
        <v>1109</v>
      </c>
      <c r="V29" s="6" t="str">
        <f>"(Ação da Nutriplant|Ações da Nutriplant|"&amp;H29&amp;"|"&amp;I29&amp;")"</f>
        <v>(Ação da Nutriplant|Ações da Nutriplant|NUTR3|NUTR3F)</v>
      </c>
    </row>
    <row r="30">
      <c r="A30" s="2">
        <v>2.0</v>
      </c>
      <c r="B30" s="2" t="s">
        <v>1024</v>
      </c>
      <c r="C30" s="2" t="s">
        <v>1088</v>
      </c>
      <c r="D30" s="2" t="s">
        <v>1110</v>
      </c>
      <c r="E30" s="2" t="s">
        <v>1111</v>
      </c>
      <c r="F30" s="2" t="s">
        <v>1112</v>
      </c>
      <c r="G30" s="2"/>
      <c r="H30" s="2" t="s">
        <v>1113</v>
      </c>
      <c r="I30" s="2" t="s">
        <v>1114</v>
      </c>
      <c r="J30" s="2" t="s">
        <v>1115</v>
      </c>
      <c r="K30" s="2" t="s">
        <v>1116</v>
      </c>
      <c r="L30" s="2" t="s">
        <v>1117</v>
      </c>
      <c r="M30" s="2" t="s">
        <v>1118</v>
      </c>
      <c r="V30" s="6" t="str">
        <f>"(Ação da Cristal|Ações da Cristal|"&amp;H30&amp;"|"&amp;I30&amp;"|"&amp;J30&amp;"|"&amp;K30&amp;"|"&amp;L30&amp;"|"&amp;M30&amp;")"</f>
        <v>(Ação da Cristal|Ações da Cristal|CRPG3|CRPG5|CRPG6|CRPG3F|CRPG5F|CRPG6F)</v>
      </c>
    </row>
    <row r="31">
      <c r="A31" s="2">
        <v>1.0</v>
      </c>
      <c r="B31" s="2" t="s">
        <v>1024</v>
      </c>
      <c r="C31" s="2" t="s">
        <v>1088</v>
      </c>
      <c r="D31" s="2" t="s">
        <v>1110</v>
      </c>
      <c r="E31" s="2" t="s">
        <v>1119</v>
      </c>
      <c r="F31" s="2" t="s">
        <v>1120</v>
      </c>
      <c r="G31" s="2"/>
      <c r="H31" s="22" t="str">
        <f>VLOOKUP(E31,'Lista Infomoney'!B:H,2,FALSE)</f>
        <v>UNIP3F</v>
      </c>
      <c r="I31" s="2" t="s">
        <v>540</v>
      </c>
      <c r="J31" s="2" t="s">
        <v>538</v>
      </c>
      <c r="K31" s="2" t="s">
        <v>542</v>
      </c>
      <c r="L31" s="2" t="s">
        <v>541</v>
      </c>
      <c r="M31" s="2" t="s">
        <v>539</v>
      </c>
      <c r="V31" s="6" t="str">
        <f>"(Ação da Unipar|Ações da Unipar|"&amp;H31&amp;"|"&amp;I31&amp;"|"&amp;J31&amp;"|"&amp;K31&amp;"|"&amp;L31&amp;"|"&amp;M31&amp;")"</f>
        <v>(Ação da Unipar|Ações da Unipar|UNIP3F|UNIP5F|UNIP6F|UNIP3|UNIP5|UNIP6)</v>
      </c>
    </row>
    <row r="32">
      <c r="A32" s="2">
        <v>2.0</v>
      </c>
      <c r="B32" s="2" t="s">
        <v>1024</v>
      </c>
      <c r="C32" s="2" t="s">
        <v>1121</v>
      </c>
      <c r="D32" s="2" t="s">
        <v>1122</v>
      </c>
      <c r="E32" s="2" t="s">
        <v>1123</v>
      </c>
      <c r="F32" s="2" t="s">
        <v>1124</v>
      </c>
      <c r="G32" s="2" t="s">
        <v>1001</v>
      </c>
      <c r="H32" s="2" t="s">
        <v>1125</v>
      </c>
      <c r="I32" s="2" t="s">
        <v>1126</v>
      </c>
      <c r="V32" s="6" t="str">
        <f>"(Ação da Duratex|Ações da Duratex|"&amp;H32&amp;"|"&amp;I32&amp;")"</f>
        <v>(Ação da Duratex|Ações da Duratex|DTEX3|DTEX3F)</v>
      </c>
    </row>
    <row r="33">
      <c r="A33" s="2">
        <v>1.0</v>
      </c>
      <c r="B33" s="2" t="s">
        <v>1024</v>
      </c>
      <c r="C33" s="2" t="s">
        <v>1121</v>
      </c>
      <c r="D33" s="2" t="s">
        <v>1122</v>
      </c>
      <c r="E33" s="2" t="s">
        <v>1127</v>
      </c>
      <c r="F33" s="2" t="s">
        <v>1128</v>
      </c>
      <c r="G33" s="2" t="s">
        <v>1029</v>
      </c>
      <c r="H33" s="22" t="str">
        <f>VLOOKUP(E33,'Lista Infomoney'!B:H,2,FALSE)</f>
        <v>EUCA4F</v>
      </c>
      <c r="I33" s="22" t="str">
        <f>VLOOKUP(E33,'Lista Infomoney'!B:F,3,FALSE)</f>
        <v>EUCA3F</v>
      </c>
      <c r="J33" s="22" t="str">
        <f>VLOOKUP(E33,'Lista Infomoney'!B:F,4,FALSE)</f>
        <v>EUCA4</v>
      </c>
      <c r="K33" s="22" t="str">
        <f>VLOOKUP(E33,'Lista Infomoney'!B:F,5,FALSE)</f>
        <v>EUCA3</v>
      </c>
      <c r="V33" s="6" t="str">
        <f>"(Ação da Eucatex|Ações da Eucatex|"&amp;H33&amp;"|"&amp;I33&amp;"|"&amp;J33&amp;"|"&amp;K33&amp;")"</f>
        <v>(Ação da Eucatex|Ações da Eucatex|EUCA4F|EUCA3F|EUCA4|EUCA3)</v>
      </c>
    </row>
    <row r="34">
      <c r="A34" s="2">
        <v>1.0</v>
      </c>
      <c r="B34" s="2" t="s">
        <v>1024</v>
      </c>
      <c r="C34" s="2" t="s">
        <v>1121</v>
      </c>
      <c r="D34" s="2" t="s">
        <v>1129</v>
      </c>
      <c r="E34" s="2" t="s">
        <v>553</v>
      </c>
      <c r="F34" s="2" t="s">
        <v>1130</v>
      </c>
      <c r="G34" s="2"/>
      <c r="H34" s="22" t="str">
        <f>VLOOKUP(E34,'Lista Infomoney'!B:H,2,FALSE)</f>
        <v>RANI4</v>
      </c>
      <c r="I34" s="2" t="s">
        <v>1131</v>
      </c>
      <c r="J34" s="2" t="s">
        <v>510</v>
      </c>
      <c r="K34" s="2" t="s">
        <v>509</v>
      </c>
      <c r="V34" s="6" t="str">
        <f>"(Ação da Celulose Irani|Ações da Celulose Irani|"&amp;H34&amp;"|"&amp;I34&amp;"|"&amp;J34&amp;"|"&amp;K34&amp;")"</f>
        <v>(Ação da Celulose Irani|Ações da Celulose Irani|RANI4|RANI3|RANI4F|RANI3F)</v>
      </c>
    </row>
    <row r="35">
      <c r="A35" s="2">
        <v>1.0</v>
      </c>
      <c r="B35" s="2" t="s">
        <v>1024</v>
      </c>
      <c r="C35" s="2" t="s">
        <v>1121</v>
      </c>
      <c r="D35" s="2" t="s">
        <v>1129</v>
      </c>
      <c r="E35" s="2" t="s">
        <v>1132</v>
      </c>
      <c r="F35" s="2" t="s">
        <v>1133</v>
      </c>
      <c r="G35" s="2" t="s">
        <v>1013</v>
      </c>
      <c r="H35" s="22" t="str">
        <f>VLOOKUP(E35,'Lista Infomoney'!B:H,2,FALSE)</f>
        <v>KLBN4F</v>
      </c>
      <c r="I35" s="22" t="str">
        <f>VLOOKUP(E35,'Lista Infomoney'!B:F,3,FALSE)</f>
        <v>KLBN3F</v>
      </c>
      <c r="J35" s="22" t="str">
        <f>VLOOKUP(E35,'Lista Infomoney'!B:F,4,FALSE)</f>
        <v>KLBN11F</v>
      </c>
      <c r="K35" s="22" t="str">
        <f>VLOOKUP(E35,'Lista Infomoney'!B:F,5,FALSE)</f>
        <v>KLBN4</v>
      </c>
      <c r="L35" s="2" t="s">
        <v>535</v>
      </c>
      <c r="M35" s="2" t="s">
        <v>536</v>
      </c>
      <c r="V35" s="6" t="str">
        <f>"(Ação da Klabin|Ações da Klabin|"&amp;H35&amp;"|"&amp;I35&amp;"|"&amp;J35&amp;"|"&amp;K35&amp;"|"&amp;L35&amp;"|"&amp;M35&amp;")"</f>
        <v>(Ação da Klabin|Ações da Klabin|KLBN4F|KLBN3F|KLBN11F|KLBN4|KLBN3|KLBN11)</v>
      </c>
    </row>
    <row r="36">
      <c r="A36" s="2">
        <v>2.0</v>
      </c>
      <c r="B36" s="2" t="s">
        <v>1024</v>
      </c>
      <c r="C36" s="2" t="s">
        <v>1121</v>
      </c>
      <c r="D36" s="2" t="s">
        <v>1129</v>
      </c>
      <c r="E36" s="2" t="s">
        <v>1134</v>
      </c>
      <c r="F36" s="2" t="s">
        <v>1135</v>
      </c>
      <c r="G36" s="2"/>
      <c r="H36" s="2" t="s">
        <v>1136</v>
      </c>
      <c r="I36" s="2" t="s">
        <v>1137</v>
      </c>
      <c r="J36" s="2" t="s">
        <v>1138</v>
      </c>
      <c r="K36" s="2" t="s">
        <v>1139</v>
      </c>
      <c r="V36" s="6" t="str">
        <f>"(Ação da Melhor SP|Ações da Melhor SP|"&amp;H36&amp;"|"&amp;I36&amp;"|"&amp;J36&amp;"|"&amp;K36&amp;")"</f>
        <v>(Ação da Melhor SP|Ações da Melhor SP|MSPA3|MSPA4|MSPA3F|MSPA4F)</v>
      </c>
    </row>
    <row r="37">
      <c r="A37" s="2">
        <v>2.0</v>
      </c>
      <c r="B37" s="2" t="s">
        <v>1024</v>
      </c>
      <c r="C37" s="2" t="s">
        <v>1121</v>
      </c>
      <c r="D37" s="2" t="s">
        <v>1129</v>
      </c>
      <c r="E37" s="2" t="s">
        <v>1140</v>
      </c>
      <c r="F37" s="24" t="s">
        <v>1141</v>
      </c>
      <c r="G37" s="2"/>
      <c r="H37" s="6" t="s">
        <v>1141</v>
      </c>
      <c r="V37" s="6" t="str">
        <f>"(Ação da Santher|Ações da Santher|"&amp;H37&amp;")"</f>
        <v>(Ação da Santher|Ações da Santher|STTZ)</v>
      </c>
    </row>
    <row r="38">
      <c r="A38" s="2">
        <v>1.0</v>
      </c>
      <c r="B38" s="2" t="s">
        <v>1024</v>
      </c>
      <c r="C38" s="2" t="s">
        <v>1121</v>
      </c>
      <c r="D38" s="2" t="s">
        <v>1129</v>
      </c>
      <c r="E38" s="2" t="s">
        <v>102</v>
      </c>
      <c r="F38" s="2" t="s">
        <v>1142</v>
      </c>
      <c r="G38" s="2"/>
      <c r="H38" s="22" t="str">
        <f>VLOOKUP(E38,'Lista Infomoney'!B:H,2,FALSE)</f>
        <v>NEMO5F</v>
      </c>
      <c r="I38" s="2" t="s">
        <v>544</v>
      </c>
      <c r="J38" s="2" t="s">
        <v>1143</v>
      </c>
      <c r="K38" s="2" t="s">
        <v>545</v>
      </c>
      <c r="L38" s="2" t="s">
        <v>1144</v>
      </c>
      <c r="M38" s="2" t="s">
        <v>543</v>
      </c>
      <c r="V38" s="6" t="str">
        <f>"(Ação da Suzano Holding|Ações da Suzano Holding|"&amp;H38&amp;"|"&amp;I38&amp;"|"&amp;J38&amp;"|"&amp;K38&amp;"|"&amp;L38&amp;"|"&amp;M38&amp;")"</f>
        <v>(Ação da Suzano Holding|Ações da Suzano Holding|NEMO5F|NEMO5|NEMO3F|NEMO3|NEMO6F|NEMO6)</v>
      </c>
    </row>
    <row r="39">
      <c r="A39" s="2">
        <v>1.0</v>
      </c>
      <c r="B39" s="2" t="s">
        <v>1024</v>
      </c>
      <c r="C39" s="2" t="s">
        <v>1121</v>
      </c>
      <c r="D39" s="2" t="s">
        <v>1129</v>
      </c>
      <c r="E39" s="2" t="s">
        <v>527</v>
      </c>
      <c r="F39" s="2" t="s">
        <v>1145</v>
      </c>
      <c r="G39" s="2" t="s">
        <v>1001</v>
      </c>
      <c r="H39" s="22" t="str">
        <f>VLOOKUP(E39,'Lista Infomoney'!B:H,2,FALSE)</f>
        <v>SUZB3F</v>
      </c>
      <c r="I39" s="22" t="str">
        <f>VLOOKUP(E39,'Lista Infomoney'!B:F,3,FALSE)</f>
        <v>SUZB3</v>
      </c>
      <c r="J39" s="6" t="str">
        <f>VLOOKUP(E39,'Lista Infomoney'!B:F,4,FALSE)</f>
        <v/>
      </c>
      <c r="K39" s="6" t="str">
        <f>VLOOKUP(E39,'Lista Infomoney'!B:F,5,FALSE)</f>
        <v/>
      </c>
      <c r="V39" s="6" t="str">
        <f>"(Ação da Suzano Papel|Ações da Suzano Papel|"&amp;H39&amp;"|"&amp;I39&amp;")"</f>
        <v>(Ação da Suzano Papel|Ações da Suzano Papel|SUZB3F|SUZB3)</v>
      </c>
    </row>
    <row r="40">
      <c r="A40" s="2">
        <v>2.0</v>
      </c>
      <c r="B40" s="2" t="s">
        <v>1024</v>
      </c>
      <c r="C40" s="2" t="s">
        <v>1146</v>
      </c>
      <c r="D40" s="2" t="s">
        <v>1146</v>
      </c>
      <c r="E40" s="2" t="s">
        <v>1147</v>
      </c>
      <c r="F40" s="2" t="s">
        <v>1148</v>
      </c>
      <c r="G40" s="2"/>
      <c r="H40" s="2" t="s">
        <v>1149</v>
      </c>
      <c r="I40" s="2" t="s">
        <v>1150</v>
      </c>
      <c r="J40" s="2" t="s">
        <v>1151</v>
      </c>
      <c r="K40" s="2" t="s">
        <v>1152</v>
      </c>
      <c r="V40" s="6" t="str">
        <f>"(Ação da Metal Iguaçu|Ações da Metal Iguaçu|"&amp;H40&amp;"|"&amp;I40&amp;"|"&amp;J40&amp;"|"&amp;K40&amp;")"</f>
        <v>(Ação da Metal Iguaçu|Ações da Metal Iguaçu|MTIG3|MTIG4|MTIG3F|MTIG4F)</v>
      </c>
    </row>
    <row r="41">
      <c r="A41" s="2">
        <v>2.0</v>
      </c>
      <c r="B41" s="2" t="s">
        <v>1024</v>
      </c>
      <c r="C41" s="2" t="s">
        <v>1153</v>
      </c>
      <c r="D41" s="2" t="s">
        <v>1153</v>
      </c>
      <c r="E41" s="2" t="s">
        <v>1154</v>
      </c>
      <c r="F41" s="2" t="s">
        <v>1155</v>
      </c>
      <c r="G41" s="2"/>
      <c r="H41" s="2" t="s">
        <v>1156</v>
      </c>
      <c r="I41" s="2" t="s">
        <v>1157</v>
      </c>
      <c r="J41" s="2" t="s">
        <v>1158</v>
      </c>
      <c r="K41" s="2" t="s">
        <v>1159</v>
      </c>
      <c r="L41" s="2" t="s">
        <v>1160</v>
      </c>
      <c r="M41" s="2" t="s">
        <v>1161</v>
      </c>
      <c r="V41" s="6" t="str">
        <f>"(Ação da Sansuy|Ações da Sansuy|"&amp;H41&amp;"|"&amp;I41&amp;"|"&amp;J41&amp;"|"&amp;K41&amp;"|"&amp;L41&amp;"|"&amp;M41&amp;")"</f>
        <v>(Ação da Sansuy|Ações da Sansuy|SNSY3|SNSY5|SNSY6|SNSY3F|SNSY5F|SNSY6F)</v>
      </c>
    </row>
    <row r="42">
      <c r="A42" s="2">
        <v>1.0</v>
      </c>
      <c r="B42" s="2" t="s">
        <v>1162</v>
      </c>
      <c r="C42" s="2" t="s">
        <v>1163</v>
      </c>
      <c r="D42" s="2" t="s">
        <v>1164</v>
      </c>
      <c r="E42" s="2" t="s">
        <v>1165</v>
      </c>
      <c r="F42" s="2" t="s">
        <v>1166</v>
      </c>
      <c r="G42" s="2" t="s">
        <v>1001</v>
      </c>
      <c r="H42" s="22" t="str">
        <f>VLOOKUP(E42,'Lista Infomoney'!B:H,2,FALSE)</f>
        <v>ETER3F</v>
      </c>
      <c r="I42" s="22" t="str">
        <f>VLOOKUP(E42,'Lista Infomoney'!B:F,3,FALSE)</f>
        <v>ETER3</v>
      </c>
      <c r="J42" s="6" t="str">
        <f>VLOOKUP(E42,'Lista Infomoney'!B:F,4,FALSE)</f>
        <v/>
      </c>
      <c r="K42" s="6" t="str">
        <f>VLOOKUP(E42,'Lista Infomoney'!B:F,5,FALSE)</f>
        <v/>
      </c>
      <c r="V42" s="6" t="str">
        <f>"(Ação da Eternit|Ações da Eternit|"&amp;H42&amp;"|"&amp;I42&amp;")"</f>
        <v>(Ação da Eternit|Ações da Eternit|ETER3F|ETER3)</v>
      </c>
    </row>
    <row r="43">
      <c r="A43" s="2">
        <v>2.0</v>
      </c>
      <c r="B43" s="2" t="s">
        <v>1162</v>
      </c>
      <c r="C43" s="2" t="s">
        <v>1163</v>
      </c>
      <c r="D43" s="2"/>
      <c r="E43" s="2" t="s">
        <v>1167</v>
      </c>
      <c r="F43" s="2" t="s">
        <v>1168</v>
      </c>
      <c r="G43" s="2"/>
      <c r="H43" s="2" t="s">
        <v>1169</v>
      </c>
      <c r="I43" s="2" t="s">
        <v>1170</v>
      </c>
      <c r="J43" s="2" t="s">
        <v>1171</v>
      </c>
      <c r="K43" s="2" t="s">
        <v>1172</v>
      </c>
      <c r="V43" s="6" t="str">
        <f>"(Ação da Haga|Ações da Haga|"&amp;H43&amp;"|"&amp;I43&amp;"|"&amp;J43&amp;"|"&amp;K43&amp;")"</f>
        <v>(Ação da Haga|Ações da Haga|HAGA3|HAGA4|HAGA3F|HAGA4F)</v>
      </c>
    </row>
    <row r="44">
      <c r="A44" s="2">
        <v>1.0</v>
      </c>
      <c r="B44" s="2" t="s">
        <v>1162</v>
      </c>
      <c r="C44" s="2" t="s">
        <v>1163</v>
      </c>
      <c r="D44" s="2"/>
      <c r="E44" s="2" t="s">
        <v>131</v>
      </c>
      <c r="F44" s="2" t="s">
        <v>1173</v>
      </c>
      <c r="G44" s="2" t="s">
        <v>1001</v>
      </c>
      <c r="H44" s="22" t="str">
        <f>VLOOKUP(E44,'Lista Infomoney'!B:H,2,FALSE)</f>
        <v>PTBL3F</v>
      </c>
      <c r="I44" s="2" t="s">
        <v>1174</v>
      </c>
      <c r="J44" s="6" t="str">
        <f>VLOOKUP(E44,'Lista Infomoney'!B:F,4,FALSE)</f>
        <v/>
      </c>
      <c r="K44" s="6" t="str">
        <f>VLOOKUP(E44,'Lista Infomoney'!B:F,5,FALSE)</f>
        <v/>
      </c>
      <c r="V44" s="6" t="str">
        <f>"(Ação da Portobello|Ações da Portobello|"&amp;H44&amp;"|"&amp;I44&amp;")"</f>
        <v>(Ação da Portobello|Ações da Portobello|PTBL3F|PTBL3)</v>
      </c>
    </row>
    <row r="45">
      <c r="A45" s="2">
        <v>2.0</v>
      </c>
      <c r="B45" s="2" t="s">
        <v>1162</v>
      </c>
      <c r="C45" s="2" t="s">
        <v>1163</v>
      </c>
      <c r="D45" s="2" t="s">
        <v>1175</v>
      </c>
      <c r="E45" s="2" t="s">
        <v>1176</v>
      </c>
      <c r="F45" s="2" t="s">
        <v>1177</v>
      </c>
      <c r="G45" s="2"/>
      <c r="H45" s="2" t="s">
        <v>1178</v>
      </c>
      <c r="I45" s="2" t="s">
        <v>1179</v>
      </c>
      <c r="J45" s="2" t="s">
        <v>1180</v>
      </c>
      <c r="K45" s="2" t="s">
        <v>1181</v>
      </c>
      <c r="V45" s="6" t="str">
        <f>"(Ação da Azevedo|Ações da Azevedo|"&amp;H45&amp;"|"&amp;I45&amp;"|"&amp;J45&amp;"|"&amp;K45&amp;")"</f>
        <v>(Ação da Azevedo|Ações da Azevedo|AZEV3|AZEV4|AZEV3F|AZEV4F)</v>
      </c>
    </row>
    <row r="46">
      <c r="A46" s="2">
        <v>2.0</v>
      </c>
      <c r="B46" s="2" t="s">
        <v>1162</v>
      </c>
      <c r="C46" s="2" t="s">
        <v>1163</v>
      </c>
      <c r="D46" s="2" t="s">
        <v>1182</v>
      </c>
      <c r="E46" s="2" t="s">
        <v>1183</v>
      </c>
      <c r="F46" s="2" t="s">
        <v>1184</v>
      </c>
      <c r="G46" s="2"/>
      <c r="H46" s="2" t="s">
        <v>1185</v>
      </c>
      <c r="I46" s="2" t="s">
        <v>1186</v>
      </c>
      <c r="J46" s="2" t="s">
        <v>1187</v>
      </c>
      <c r="K46" s="2" t="s">
        <v>1188</v>
      </c>
      <c r="L46" s="2" t="s">
        <v>1189</v>
      </c>
      <c r="M46" s="2" t="s">
        <v>1190</v>
      </c>
      <c r="V46" s="6" t="str">
        <f>"(Ação da Sondotecnica|Ações da Sondotecnica|"&amp;H46&amp;"|"&amp;I46&amp;"|"&amp;J46&amp;"|"&amp;K46&amp;"|"&amp;L46&amp;"|"&amp;M46&amp;")"</f>
        <v>(Ação da Sondotecnica|Ações da Sondotecnica|SOND3|SOND5|SOND6|SOND3F|SOND5F|SOND6F)</v>
      </c>
    </row>
    <row r="47">
      <c r="A47" s="2">
        <v>2.0</v>
      </c>
      <c r="B47" s="2" t="s">
        <v>1162</v>
      </c>
      <c r="C47" s="2" t="s">
        <v>1163</v>
      </c>
      <c r="D47" s="2"/>
      <c r="E47" s="2" t="s">
        <v>1191</v>
      </c>
      <c r="F47" s="2" t="s">
        <v>1192</v>
      </c>
      <c r="G47" s="2"/>
      <c r="H47" s="2" t="s">
        <v>1193</v>
      </c>
      <c r="I47" s="2" t="s">
        <v>1194</v>
      </c>
      <c r="J47" s="2" t="s">
        <v>1195</v>
      </c>
      <c r="K47" s="2" t="s">
        <v>1196</v>
      </c>
      <c r="V47" s="6" t="str">
        <f>"(Ação da Tecnosolo|Ações da Tecnosolo|"&amp;H47&amp;"|"&amp;I47&amp;"|"&amp;J47&amp;"|"&amp;K47&amp;")"</f>
        <v>(Ação da Tecnosolo|Ações da Tecnosolo|TCNO3|TCNO4|TCNO3F|TCNO4F)</v>
      </c>
    </row>
    <row r="48">
      <c r="A48" s="2">
        <v>2.0</v>
      </c>
      <c r="B48" s="2" t="s">
        <v>1162</v>
      </c>
      <c r="C48" s="2" t="s">
        <v>1163</v>
      </c>
      <c r="D48" s="2" t="s">
        <v>1197</v>
      </c>
      <c r="E48" s="2" t="s">
        <v>1198</v>
      </c>
      <c r="F48" s="2" t="s">
        <v>1199</v>
      </c>
      <c r="G48" s="2" t="s">
        <v>1001</v>
      </c>
      <c r="H48" s="2" t="s">
        <v>1200</v>
      </c>
      <c r="I48" s="2" t="s">
        <v>1201</v>
      </c>
      <c r="V48" s="6" t="str">
        <f>"(Ação da Mills|Ações da Mills|"&amp;H48&amp;"|"&amp;I48&amp;")"</f>
        <v>(Ação da Mills|Ações da Mills|MILS3|MILS3F)</v>
      </c>
    </row>
    <row r="49">
      <c r="A49" s="2">
        <v>2.0</v>
      </c>
      <c r="B49" s="2" t="s">
        <v>1162</v>
      </c>
      <c r="C49" s="2" t="s">
        <v>1202</v>
      </c>
      <c r="D49" s="2" t="s">
        <v>1203</v>
      </c>
      <c r="E49" s="2" t="s">
        <v>1204</v>
      </c>
      <c r="F49" s="2" t="s">
        <v>1205</v>
      </c>
      <c r="G49" s="2" t="s">
        <v>1001</v>
      </c>
      <c r="H49" s="2" t="s">
        <v>1206</v>
      </c>
      <c r="I49" s="2" t="s">
        <v>1207</v>
      </c>
      <c r="V49" s="6" t="str">
        <f>"(Ação da Embraer|Ações da Embraer|"&amp;H49&amp;"|"&amp;I49&amp;")"</f>
        <v>(Ação da Embraer|Ações da Embraer|EMBR3|EMBR3F)</v>
      </c>
    </row>
    <row r="50">
      <c r="A50" s="2">
        <v>1.0</v>
      </c>
      <c r="B50" s="2" t="s">
        <v>1162</v>
      </c>
      <c r="C50" s="2" t="s">
        <v>1202</v>
      </c>
      <c r="D50" s="2" t="s">
        <v>1208</v>
      </c>
      <c r="E50" s="2" t="s">
        <v>1209</v>
      </c>
      <c r="F50" s="2" t="s">
        <v>1210</v>
      </c>
      <c r="G50" s="2" t="s">
        <v>1029</v>
      </c>
      <c r="H50" s="22" t="str">
        <f>VLOOKUP(E50,'Lista Infomoney'!B:H,2,FALSE)</f>
        <v>FRAS3F</v>
      </c>
      <c r="I50" s="22" t="str">
        <f>VLOOKUP(E50,'Lista Infomoney'!B:F,3,FALSE)</f>
        <v>FRAS3</v>
      </c>
      <c r="J50" s="6" t="str">
        <f>VLOOKUP(E50,'Lista Infomoney'!B:F,4,FALSE)</f>
        <v/>
      </c>
      <c r="K50" s="6" t="str">
        <f>VLOOKUP(E50,'Lista Infomoney'!B:F,5,FALSE)</f>
        <v/>
      </c>
      <c r="V50" s="6" t="str">
        <f>"(Ação da Fras-le|Ações da Fras-le|"&amp;H50&amp;"|"&amp;I50&amp;")"</f>
        <v>(Ação da Fras-le|Ações da Fras-le|FRAS3F|FRAS3)</v>
      </c>
    </row>
    <row r="51">
      <c r="A51" s="2">
        <v>1.0</v>
      </c>
      <c r="B51" s="2" t="s">
        <v>1162</v>
      </c>
      <c r="C51" s="2" t="s">
        <v>1202</v>
      </c>
      <c r="D51" s="2"/>
      <c r="E51" s="2" t="s">
        <v>1211</v>
      </c>
      <c r="F51" s="2" t="s">
        <v>1212</v>
      </c>
      <c r="G51" s="2" t="s">
        <v>1013</v>
      </c>
      <c r="H51" s="22" t="str">
        <f>VLOOKUP(E51,'Lista Infomoney'!B:H,2,FALSE)</f>
        <v>POMO4F</v>
      </c>
      <c r="I51" s="22" t="str">
        <f>VLOOKUP(E51,'Lista Infomoney'!B:F,3,FALSE)</f>
        <v>POMO3F</v>
      </c>
      <c r="J51" s="22" t="str">
        <f>VLOOKUP(E51,'Lista Infomoney'!B:F,4,FALSE)</f>
        <v>POMO4</v>
      </c>
      <c r="K51" s="22" t="str">
        <f>VLOOKUP(E51,'Lista Infomoney'!B:F,5,FALSE)</f>
        <v>POMO3</v>
      </c>
      <c r="V51" s="6" t="str">
        <f>"(Ação da Marcopolo|Ações da Marcopolo"&amp;H51&amp;"|"&amp;I51&amp;"|"&amp;J51&amp;"|"&amp;K51&amp;")"</f>
        <v>(Ação da Marcopolo|Ações da MarcopoloPOMO4F|POMO3F|POMO4|POMO3)</v>
      </c>
    </row>
    <row r="52">
      <c r="A52" s="2">
        <v>1.0</v>
      </c>
      <c r="B52" s="2" t="s">
        <v>1162</v>
      </c>
      <c r="C52" s="2" t="s">
        <v>1202</v>
      </c>
      <c r="D52" s="2"/>
      <c r="E52" s="2" t="s">
        <v>1213</v>
      </c>
      <c r="F52" s="2" t="s">
        <v>1214</v>
      </c>
      <c r="G52" s="2" t="s">
        <v>1029</v>
      </c>
      <c r="H52" s="22" t="str">
        <f>VLOOKUP(E52,'Lista Infomoney'!B:H,2,FALSE)</f>
        <v>RAPT3F</v>
      </c>
      <c r="I52" s="22" t="str">
        <f>VLOOKUP(E52,'Lista Infomoney'!B:F,3,FALSE)</f>
        <v>RAPT4F</v>
      </c>
      <c r="J52" s="22" t="str">
        <f>VLOOKUP(E52,'Lista Infomoney'!B:F,4,FALSE)</f>
        <v>RAPT4</v>
      </c>
      <c r="K52" s="22" t="str">
        <f>VLOOKUP(E52,'Lista Infomoney'!B:F,5,FALSE)</f>
        <v>RAPT3</v>
      </c>
      <c r="V52" s="6" t="str">
        <f>"(Ação da Randon Part|Ações da Randon Part|"&amp;H52&amp;"|"&amp;I52&amp;"|"&amp;J52&amp;"|"&amp;K52&amp;")"</f>
        <v>(Ação da Randon Part|Ações da Randon Part|RAPT3F|RAPT4F|RAPT4|RAPT3)</v>
      </c>
    </row>
    <row r="53">
      <c r="A53" s="2">
        <v>2.0</v>
      </c>
      <c r="B53" s="2" t="s">
        <v>1162</v>
      </c>
      <c r="C53" s="2" t="s">
        <v>1202</v>
      </c>
      <c r="D53" s="2"/>
      <c r="E53" s="2" t="s">
        <v>1215</v>
      </c>
      <c r="F53" s="2" t="s">
        <v>1216</v>
      </c>
      <c r="G53" s="2"/>
      <c r="H53" s="2" t="s">
        <v>1217</v>
      </c>
      <c r="I53" s="2" t="s">
        <v>1218</v>
      </c>
      <c r="J53" s="2" t="s">
        <v>1219</v>
      </c>
      <c r="K53" s="2" t="s">
        <v>1220</v>
      </c>
      <c r="V53" s="6" t="str">
        <f>"(Ação da Recrusul|Ações da Recrusul"&amp;H53&amp;"|"&amp;I53&amp;"|"&amp;J53&amp;"|"&amp;K53&amp;")"</f>
        <v>(Ação da Recrusul|Ações da RecrusulRCSL3|RCSL4|RCSL3F|RCSL4F)</v>
      </c>
    </row>
    <row r="54">
      <c r="A54" s="2">
        <v>2.0</v>
      </c>
      <c r="B54" s="2" t="s">
        <v>1162</v>
      </c>
      <c r="C54" s="2" t="s">
        <v>1202</v>
      </c>
      <c r="D54" s="2"/>
      <c r="E54" s="2" t="s">
        <v>1221</v>
      </c>
      <c r="F54" s="2" t="s">
        <v>1222</v>
      </c>
      <c r="G54" s="2"/>
      <c r="H54" s="2" t="s">
        <v>1223</v>
      </c>
      <c r="I54" s="2" t="s">
        <v>1224</v>
      </c>
      <c r="J54" s="2" t="s">
        <v>1225</v>
      </c>
      <c r="K54" s="2" t="s">
        <v>1226</v>
      </c>
      <c r="V54" s="6" t="str">
        <f>"(Ação da Riosulense|Ações da Riosilense|"&amp;H54&amp;"|"&amp;I54&amp;"|"&amp;J54&amp;"|"&amp;K54&amp;")"</f>
        <v>(Ação da Riosulense|Ações da Riosilense|RSUL3|RSUL4|RSUL3F|RSUL4F)</v>
      </c>
    </row>
    <row r="55">
      <c r="A55" s="2">
        <v>2.0</v>
      </c>
      <c r="B55" s="2" t="s">
        <v>1162</v>
      </c>
      <c r="C55" s="2" t="s">
        <v>1202</v>
      </c>
      <c r="D55" s="2"/>
      <c r="E55" s="2" t="s">
        <v>1227</v>
      </c>
      <c r="F55" s="2" t="s">
        <v>1227</v>
      </c>
      <c r="G55" s="2" t="s">
        <v>1001</v>
      </c>
      <c r="H55" s="2" t="s">
        <v>1228</v>
      </c>
      <c r="I55" s="2" t="s">
        <v>1229</v>
      </c>
      <c r="V55" s="6" t="str">
        <f>"(Ação da Tupy|Ações da Tupy|"&amp;H55&amp;"|"&amp;I55&amp;")"</f>
        <v>(Ação da Tupy|Ações da Tupy|TUPY3|TUPY3F)</v>
      </c>
    </row>
    <row r="56">
      <c r="A56" s="2">
        <v>2.0</v>
      </c>
      <c r="B56" s="2" t="s">
        <v>1162</v>
      </c>
      <c r="C56" s="2" t="s">
        <v>1202</v>
      </c>
      <c r="D56" s="2"/>
      <c r="E56" s="2" t="s">
        <v>1230</v>
      </c>
      <c r="F56" s="2" t="s">
        <v>1231</v>
      </c>
      <c r="G56" s="2"/>
      <c r="H56" s="2" t="s">
        <v>1232</v>
      </c>
      <c r="I56" s="2" t="s">
        <v>1233</v>
      </c>
      <c r="J56" s="2" t="s">
        <v>1234</v>
      </c>
      <c r="K56" s="2" t="s">
        <v>1235</v>
      </c>
      <c r="V56" s="6" t="str">
        <f>"(Ação da Wetzel|Ações da Wetzel|"&amp;H56&amp;"|"&amp;I56&amp;"|"&amp;J56&amp;"|"&amp;K56&amp;")"</f>
        <v>(Ação da Wetzel|Ações da Wetzel|MWET3|MWET4|MWET3F|MWET4F)</v>
      </c>
    </row>
    <row r="57">
      <c r="A57" s="2">
        <v>1.0</v>
      </c>
      <c r="B57" s="2" t="s">
        <v>1162</v>
      </c>
      <c r="C57" s="2" t="s">
        <v>1236</v>
      </c>
      <c r="D57" s="2" t="s">
        <v>1237</v>
      </c>
      <c r="E57" s="2" t="s">
        <v>1238</v>
      </c>
      <c r="F57" s="2" t="s">
        <v>1239</v>
      </c>
      <c r="G57" s="2"/>
      <c r="H57" s="22" t="str">
        <f>VLOOKUP(E57,'Lista Infomoney'!B:H,2,FALSE)</f>
        <v>SHUL4F</v>
      </c>
      <c r="I57" s="22" t="str">
        <f>VLOOKUP(E57,'Lista Infomoney'!B:F,3,FALSE)</f>
        <v>SHUL4</v>
      </c>
      <c r="J57" s="22" t="str">
        <f>VLOOKUP(E57,'Lista Infomoney'!B:F,4,FALSE)</f>
        <v>SHUL3</v>
      </c>
      <c r="K57" s="2" t="s">
        <v>1240</v>
      </c>
      <c r="V57" s="6" t="str">
        <f>"(Ação da Schulz|Ações da Schulz|"&amp;H57&amp;"|"&amp;I57&amp;"|"&amp;J57&amp;"|"&amp;K57&amp;")"</f>
        <v>(Ação da Schulz|Ações da Schulz|SHUL4F|SHUL4|SHUL3|SHUL3F)</v>
      </c>
    </row>
    <row r="58">
      <c r="A58" s="2">
        <v>1.0</v>
      </c>
      <c r="B58" s="2" t="s">
        <v>1162</v>
      </c>
      <c r="C58" s="2" t="s">
        <v>1236</v>
      </c>
      <c r="D58" s="2"/>
      <c r="E58" s="2" t="s">
        <v>1241</v>
      </c>
      <c r="F58" s="2" t="s">
        <v>1242</v>
      </c>
      <c r="G58" s="2" t="s">
        <v>1001</v>
      </c>
      <c r="H58" s="22" t="str">
        <f>VLOOKUP(E58,'Lista Infomoney'!B:H,2,FALSE)</f>
        <v>WEGE3F</v>
      </c>
      <c r="I58" s="22" t="str">
        <f>VLOOKUP(E58,'Lista Infomoney'!B:F,3,FALSE)</f>
        <v>WEGE3</v>
      </c>
      <c r="J58" s="6" t="str">
        <f>VLOOKUP(E58,'Lista Infomoney'!B:F,4,FALSE)</f>
        <v/>
      </c>
      <c r="K58" s="6" t="str">
        <f>VLOOKUP(E58,'Lista Infomoney'!B:F,5,FALSE)</f>
        <v/>
      </c>
      <c r="V58" s="6" t="str">
        <f>"(Ação da Weg|Ações da Weg|"&amp;H58&amp;"|"&amp;I58&amp;")"</f>
        <v>(Ação da Weg|Ações da Weg|WEGE3F|WEGE3)</v>
      </c>
    </row>
    <row r="59">
      <c r="A59" s="2">
        <v>1.0</v>
      </c>
      <c r="B59" s="2" t="s">
        <v>1162</v>
      </c>
      <c r="C59" s="2" t="s">
        <v>1236</v>
      </c>
      <c r="D59" s="2" t="s">
        <v>1243</v>
      </c>
      <c r="E59" s="2" t="s">
        <v>1244</v>
      </c>
      <c r="F59" s="2" t="s">
        <v>1245</v>
      </c>
      <c r="G59" s="2"/>
      <c r="H59" s="22" t="str">
        <f>VLOOKUP(E59,'Lista Infomoney'!B:H,2,FALSE)</f>
        <v>EALT3F</v>
      </c>
      <c r="I59" s="22" t="str">
        <f>VLOOKUP(E59,'Lista Infomoney'!B:F,3,FALSE)</f>
        <v>EALT4F</v>
      </c>
      <c r="J59" s="2" t="s">
        <v>1246</v>
      </c>
      <c r="K59" s="2" t="s">
        <v>1247</v>
      </c>
      <c r="V59" s="6" t="str">
        <f>"(Ação da Aço Altona|Ações da Aço Altona|"&amp;H59&amp;"|"&amp;I59&amp;"|"&amp;J59&amp;"|"&amp;K59&amp;")"</f>
        <v>(Ação da Aço Altona|Ações da Aço Altona|EALT3F|EALT4F|EALT3|EALT4)</v>
      </c>
    </row>
    <row r="60">
      <c r="A60" s="2">
        <v>1.0</v>
      </c>
      <c r="B60" s="2" t="s">
        <v>1162</v>
      </c>
      <c r="C60" s="2" t="s">
        <v>1236</v>
      </c>
      <c r="D60" s="2"/>
      <c r="E60" s="2" t="s">
        <v>1248</v>
      </c>
      <c r="F60" s="2" t="s">
        <v>1249</v>
      </c>
      <c r="G60" s="2"/>
      <c r="H60" s="22" t="str">
        <f>VLOOKUP(E60,'Lista Infomoney'!B:H,2,FALSE)</f>
        <v>BDLL4F</v>
      </c>
      <c r="I60" s="22" t="str">
        <f>VLOOKUP(E60,'Lista Infomoney'!B:F,3,FALSE)</f>
        <v>BDLL3F</v>
      </c>
      <c r="J60" s="2" t="s">
        <v>1250</v>
      </c>
      <c r="K60" s="2" t="s">
        <v>1251</v>
      </c>
      <c r="V60" s="6" t="str">
        <f>"(Ação da Bardella|Ações da bardella|"&amp;H60&amp;"|"&amp;I60&amp;"|"&amp;J60&amp;"|"&amp;K60&amp;")"</f>
        <v>(Ação da Bardella|Ações da bardella|BDLL4F|BDLL3F|BDLL3|BDLL4)</v>
      </c>
    </row>
    <row r="61">
      <c r="A61" s="2">
        <v>2.0</v>
      </c>
      <c r="B61" s="2" t="s">
        <v>1162</v>
      </c>
      <c r="C61" s="2" t="s">
        <v>1236</v>
      </c>
      <c r="D61" s="2"/>
      <c r="E61" s="2" t="s">
        <v>1252</v>
      </c>
      <c r="F61" s="2" t="s">
        <v>1253</v>
      </c>
      <c r="G61" s="2" t="s">
        <v>1001</v>
      </c>
      <c r="H61" s="2" t="s">
        <v>1254</v>
      </c>
      <c r="I61" s="2" t="s">
        <v>1255</v>
      </c>
      <c r="V61" s="6" t="str">
        <f>"(Ação da Inds Romi|Ações da Inds Romi|"&amp;H61&amp;"|"&amp;I61&amp;")"</f>
        <v>(Ação da Inds Romi|Ações da Inds Romi|ROMI3|ROMI3F)</v>
      </c>
    </row>
    <row r="62">
      <c r="A62" s="2">
        <v>1.0</v>
      </c>
      <c r="B62" s="2" t="s">
        <v>1162</v>
      </c>
      <c r="C62" s="2" t="s">
        <v>1236</v>
      </c>
      <c r="D62" s="2"/>
      <c r="E62" s="2" t="s">
        <v>1256</v>
      </c>
      <c r="F62" s="2" t="s">
        <v>1257</v>
      </c>
      <c r="G62" s="2"/>
      <c r="H62" s="22" t="str">
        <f>VLOOKUP(E62,'Lista Infomoney'!B:H,2,FALSE)</f>
        <v>INEP4F</v>
      </c>
      <c r="I62" s="22" t="str">
        <f>VLOOKUP(E62,'Lista Infomoney'!B:F,3,FALSE)</f>
        <v>INEP3F</v>
      </c>
      <c r="J62" s="22" t="str">
        <f>VLOOKUP(E62,'Lista Infomoney'!B:F,4,FALSE)</f>
        <v>INEP4</v>
      </c>
      <c r="K62" s="22" t="str">
        <f>VLOOKUP(E62,'Lista Infomoney'!B:F,5,FALSE)</f>
        <v>INEP3</v>
      </c>
      <c r="V62" s="6" t="str">
        <f>"(Ação da Inepar|Ações da Inepar|"&amp;H62&amp;"|"&amp;I62&amp;"|"&amp;J62&amp;"|"&amp;K62&amp;")"</f>
        <v>(Ação da Inepar|Ações da Inepar|INEP4F|INEP3F|INEP4|INEP3)</v>
      </c>
    </row>
    <row r="63">
      <c r="A63" s="2">
        <v>2.0</v>
      </c>
      <c r="B63" s="2" t="s">
        <v>1162</v>
      </c>
      <c r="C63" s="2" t="s">
        <v>1236</v>
      </c>
      <c r="D63" s="2"/>
      <c r="E63" s="2" t="s">
        <v>1258</v>
      </c>
      <c r="F63" s="2" t="s">
        <v>1259</v>
      </c>
      <c r="G63" s="2"/>
      <c r="H63" s="2" t="s">
        <v>1260</v>
      </c>
      <c r="I63" s="2" t="s">
        <v>1261</v>
      </c>
      <c r="J63" s="2" t="s">
        <v>1262</v>
      </c>
      <c r="K63" s="2" t="s">
        <v>1263</v>
      </c>
      <c r="V63" s="6" t="str">
        <f>"(Ação da Kepler Weber|Ações da Kepler Weber|"&amp;H63&amp;"|"&amp;I63&amp;"|"&amp;J63&amp;"|"&amp;K63&amp;")"</f>
        <v>(Ação da Kepler Weber|Ações da Kepler Weber|KEPL11|KEPL3|KEPL11F|KEPL3F)</v>
      </c>
    </row>
    <row r="64">
      <c r="A64" s="2">
        <v>2.0</v>
      </c>
      <c r="B64" s="2" t="s">
        <v>1162</v>
      </c>
      <c r="C64" s="2" t="s">
        <v>1236</v>
      </c>
      <c r="D64" s="2"/>
      <c r="E64" s="2" t="s">
        <v>1264</v>
      </c>
      <c r="F64" s="2" t="s">
        <v>1265</v>
      </c>
      <c r="G64" s="2" t="s">
        <v>1001</v>
      </c>
      <c r="H64" s="2" t="s">
        <v>1266</v>
      </c>
      <c r="I64" s="2" t="s">
        <v>1267</v>
      </c>
      <c r="V64" s="6" t="str">
        <f>"(Ação da Metalfrio|Ações da Metalfrio|"&amp;H64&amp;"|"&amp;I64&amp;")"</f>
        <v>(Ação da Metalfrio|Ações da Metalfrio|FRIO3|FRIO3F)</v>
      </c>
    </row>
    <row r="65">
      <c r="A65" s="2">
        <v>2.0</v>
      </c>
      <c r="B65" s="2" t="s">
        <v>1162</v>
      </c>
      <c r="C65" s="2" t="s">
        <v>1236</v>
      </c>
      <c r="D65" s="2"/>
      <c r="E65" s="2" t="s">
        <v>1268</v>
      </c>
      <c r="F65" s="2" t="s">
        <v>1269</v>
      </c>
      <c r="G65" s="2"/>
      <c r="H65" s="2" t="s">
        <v>1270</v>
      </c>
      <c r="I65" s="2" t="s">
        <v>1271</v>
      </c>
      <c r="V65" s="6" t="str">
        <f>"(Ação da Nordon Met|Ações da Nordon Met|"&amp;H65&amp;"|"&amp;I65&amp;")"</f>
        <v>(Ação da Nordon Met|Ações da Nordon Met|NORD3|NORD3F)</v>
      </c>
    </row>
    <row r="66">
      <c r="A66" s="2">
        <v>2.0</v>
      </c>
      <c r="B66" s="2" t="s">
        <v>1162</v>
      </c>
      <c r="C66" s="2" t="s">
        <v>1236</v>
      </c>
      <c r="D66" s="2"/>
      <c r="E66" s="2" t="s">
        <v>1272</v>
      </c>
      <c r="F66" s="2" t="s">
        <v>1273</v>
      </c>
      <c r="G66" s="2" t="s">
        <v>1274</v>
      </c>
      <c r="H66" s="2" t="s">
        <v>1275</v>
      </c>
      <c r="I66" s="2" t="s">
        <v>1276</v>
      </c>
      <c r="V66" s="6" t="str">
        <f>"(Ação da Pratica|Ações da Pratica|"&amp;H66&amp;"|"&amp;I66&amp;")"</f>
        <v>(Ação da Pratica|Ações da Pratica|PTCA11|PTCA3)</v>
      </c>
    </row>
    <row r="67">
      <c r="A67" s="2">
        <v>2.0</v>
      </c>
      <c r="B67" s="2" t="s">
        <v>1162</v>
      </c>
      <c r="C67" s="2" t="s">
        <v>1236</v>
      </c>
      <c r="D67" s="2" t="s">
        <v>1277</v>
      </c>
      <c r="E67" s="2" t="s">
        <v>1278</v>
      </c>
      <c r="F67" s="2" t="s">
        <v>1279</v>
      </c>
      <c r="G67" s="2"/>
      <c r="H67" s="2" t="s">
        <v>1280</v>
      </c>
      <c r="I67" s="2" t="s">
        <v>1281</v>
      </c>
      <c r="J67" s="2" t="s">
        <v>1282</v>
      </c>
      <c r="K67" s="2" t="s">
        <v>1283</v>
      </c>
      <c r="V67" s="6" t="str">
        <f>"(Ação da Metisa|Ações da Metisa|"&amp;H67&amp;"|"&amp;I67&amp;"|"&amp;J67&amp;"|"&amp;K67&amp;")"</f>
        <v>(Ação da Metisa|Ações da Metisa|MTSA3|MTSA4|MTSA3F|MTSA4F)</v>
      </c>
    </row>
    <row r="68">
      <c r="A68" s="2">
        <v>2.0</v>
      </c>
      <c r="B68" s="2" t="s">
        <v>1162</v>
      </c>
      <c r="C68" s="2" t="s">
        <v>1236</v>
      </c>
      <c r="D68" s="2" t="s">
        <v>1277</v>
      </c>
      <c r="E68" s="2" t="s">
        <v>1284</v>
      </c>
      <c r="F68" s="2" t="s">
        <v>1285</v>
      </c>
      <c r="G68" s="2" t="s">
        <v>1107</v>
      </c>
      <c r="H68" s="2" t="s">
        <v>1286</v>
      </c>
      <c r="I68" s="2" t="s">
        <v>1287</v>
      </c>
      <c r="V68" s="6" t="str">
        <f>"(Ação da Stara|Ações da Stara|"&amp;H68&amp;"|"&amp;I68&amp;")"</f>
        <v>(Ação da Stara|Ações da Stara|STTR3|STTR3F)</v>
      </c>
    </row>
    <row r="69">
      <c r="A69" s="2">
        <v>1.0</v>
      </c>
      <c r="B69" s="2" t="s">
        <v>1162</v>
      </c>
      <c r="C69" s="2" t="s">
        <v>1236</v>
      </c>
      <c r="D69" s="2" t="s">
        <v>1288</v>
      </c>
      <c r="E69" s="2" t="s">
        <v>1289</v>
      </c>
      <c r="F69" s="2" t="s">
        <v>1290</v>
      </c>
      <c r="G69" s="2" t="s">
        <v>1013</v>
      </c>
      <c r="H69" s="22" t="str">
        <f>VLOOKUP(E69,'Lista Infomoney'!B:H,2,FALSE)</f>
        <v>TASA4F</v>
      </c>
      <c r="I69" s="22" t="str">
        <f>VLOOKUP(E69,'Lista Infomoney'!B:F,3,FALSE)</f>
        <v>TASA3F</v>
      </c>
      <c r="J69" s="22" t="str">
        <f>VLOOKUP(E69,'Lista Infomoney'!B:F,4,FALSE)</f>
        <v>TASA4</v>
      </c>
      <c r="K69" s="22" t="str">
        <f>VLOOKUP(E69,'Lista Infomoney'!B:F,5,FALSE)</f>
        <v>TASA3</v>
      </c>
      <c r="L69" s="2" t="s">
        <v>1291</v>
      </c>
      <c r="M69" s="2" t="s">
        <v>1292</v>
      </c>
      <c r="N69" s="2" t="s">
        <v>1293</v>
      </c>
      <c r="V69" s="6" t="str">
        <f>"(Ação da Taurus Armas|Ações da Taurus Armas|"&amp;H69&amp;"|"&amp;I69&amp;"|"&amp;J69&amp;"|"&amp;K69&amp;"|"&amp;L69&amp;"|"&amp;M69&amp;"|"&amp;N69&amp;")"</f>
        <v>(Ação da Taurus Armas|Ações da Taurus Armas|TASA4F|TASA3F|TASA4|TASA3|TASA13|TASA15|TASA17)</v>
      </c>
    </row>
    <row r="70">
      <c r="A70" s="2">
        <v>2.0</v>
      </c>
      <c r="B70" s="2" t="s">
        <v>1162</v>
      </c>
      <c r="C70" s="2" t="s">
        <v>1294</v>
      </c>
      <c r="D70" s="2" t="s">
        <v>1295</v>
      </c>
      <c r="E70" s="2" t="s">
        <v>1296</v>
      </c>
      <c r="F70" s="2" t="s">
        <v>1296</v>
      </c>
      <c r="G70" s="2" t="s">
        <v>1013</v>
      </c>
      <c r="H70" s="2" t="s">
        <v>1297</v>
      </c>
      <c r="I70" s="2" t="s">
        <v>1298</v>
      </c>
      <c r="V70" s="6" t="str">
        <f>"(Ação da Azul|Ações da Azul|"&amp;H70&amp;"|"&amp;I70&amp;")"</f>
        <v>(Ação da Azul|Ações da Azul|AZUL4|AZUL4F)</v>
      </c>
    </row>
    <row r="71">
      <c r="A71" s="2">
        <v>1.0</v>
      </c>
      <c r="B71" s="2" t="s">
        <v>1162</v>
      </c>
      <c r="C71" s="2" t="s">
        <v>1294</v>
      </c>
      <c r="D71" s="2" t="s">
        <v>1295</v>
      </c>
      <c r="E71" s="2" t="s">
        <v>118</v>
      </c>
      <c r="F71" s="2" t="s">
        <v>1299</v>
      </c>
      <c r="G71" s="2" t="s">
        <v>1013</v>
      </c>
      <c r="H71" s="22" t="str">
        <f>VLOOKUP(E71,'Lista Infomoney'!B:H,2,FALSE)</f>
        <v>GOLL11</v>
      </c>
      <c r="I71" s="22" t="str">
        <f>VLOOKUP(E71,'Lista Infomoney'!B:F,3,FALSE)</f>
        <v>GOL4F</v>
      </c>
      <c r="J71" s="22" t="str">
        <f>VLOOKUP(E71,'Lista Infomoney'!B:F,4,FALSE)</f>
        <v>GOLL4</v>
      </c>
      <c r="K71" s="2" t="s">
        <v>1300</v>
      </c>
      <c r="V71" s="6" t="str">
        <f>"(Ação da Gol|Ações da Gol|"&amp;H71&amp;"|"&amp;I71&amp;"|"&amp;J71&amp;"|"&amp;K71&amp;")"</f>
        <v>(Ação da Gol|Ações da Gol|GOLL11|GOL4F|GOLL4|GOLL12)</v>
      </c>
    </row>
    <row r="72">
      <c r="A72" s="2">
        <v>2.0</v>
      </c>
      <c r="B72" s="2" t="s">
        <v>1162</v>
      </c>
      <c r="C72" s="2" t="s">
        <v>1294</v>
      </c>
      <c r="D72" s="2" t="s">
        <v>1301</v>
      </c>
      <c r="E72" s="2" t="s">
        <v>1302</v>
      </c>
      <c r="F72" s="2" t="s">
        <v>1303</v>
      </c>
      <c r="G72" s="2" t="s">
        <v>1032</v>
      </c>
      <c r="H72" s="2" t="s">
        <v>1304</v>
      </c>
      <c r="I72" s="2" t="s">
        <v>1305</v>
      </c>
      <c r="J72" s="2" t="s">
        <v>1306</v>
      </c>
      <c r="K72" s="2" t="s">
        <v>1307</v>
      </c>
      <c r="L72" s="2" t="s">
        <v>1308</v>
      </c>
      <c r="M72" s="2" t="s">
        <v>1309</v>
      </c>
      <c r="V72" s="6" t="str">
        <f>"(Ação da All Norte|Ações da All Norte|"&amp;H72&amp;"|"&amp;I72&amp;"|"&amp;J72&amp;"|"&amp;K72&amp;"|"&amp;L72&amp;"|"&amp;M72&amp;")"</f>
        <v>(Ação da All Norte|Ações da All Norte|FRRN3B|FRRN5B|FRRN6B|FRRN3BF|FRRN5BF|FRRN6BF)</v>
      </c>
    </row>
    <row r="73">
      <c r="A73" s="2">
        <v>2.0</v>
      </c>
      <c r="B73" s="2" t="s">
        <v>1162</v>
      </c>
      <c r="C73" s="2" t="s">
        <v>1294</v>
      </c>
      <c r="D73" s="2" t="s">
        <v>1301</v>
      </c>
      <c r="E73" s="2" t="s">
        <v>1310</v>
      </c>
      <c r="F73" s="24" t="s">
        <v>1311</v>
      </c>
      <c r="G73" s="2" t="s">
        <v>1032</v>
      </c>
      <c r="H73" s="6" t="s">
        <v>1311</v>
      </c>
      <c r="V73" s="6" t="str">
        <f>"(Ação da All Paulista|Ações da All Paulista|"&amp;H73&amp;")"</f>
        <v>(Ação da All Paulista|Ações da All Paulista|GASC)</v>
      </c>
    </row>
    <row r="74">
      <c r="A74" s="2">
        <v>1.0</v>
      </c>
      <c r="B74" s="2" t="s">
        <v>1162</v>
      </c>
      <c r="C74" s="2" t="s">
        <v>1294</v>
      </c>
      <c r="D74" s="2" t="s">
        <v>1301</v>
      </c>
      <c r="E74" s="2" t="s">
        <v>1312</v>
      </c>
      <c r="F74" s="2" t="s">
        <v>1313</v>
      </c>
      <c r="G74" s="2" t="s">
        <v>1001</v>
      </c>
      <c r="H74" s="22" t="str">
        <f>VLOOKUP(E74,'Lista Infomoney'!B:H,2,FALSE)</f>
        <v>RLOG3F</v>
      </c>
      <c r="I74" s="22" t="str">
        <f>VLOOKUP(E74,'Lista Infomoney'!B:F,3,FALSE)</f>
        <v>RLOG3</v>
      </c>
      <c r="J74" s="6" t="str">
        <f>VLOOKUP(E74,'Lista Infomoney'!B:F,4,FALSE)</f>
        <v/>
      </c>
      <c r="K74" s="6" t="str">
        <f>VLOOKUP(E74,'Lista Infomoney'!B:F,5,FALSE)</f>
        <v/>
      </c>
      <c r="V74" s="6" t="str">
        <f>"(Ação da Cosan Log|Ações da Cosan Log|"&amp;H74&amp;"|"&amp;I74&amp;")"</f>
        <v>(Ação da Cosan Log|Ações da Cosan Log|RLOG3F|RLOG3)</v>
      </c>
    </row>
    <row r="75">
      <c r="A75" s="2">
        <v>2.0</v>
      </c>
      <c r="B75" s="2" t="s">
        <v>1162</v>
      </c>
      <c r="C75" s="2" t="s">
        <v>1294</v>
      </c>
      <c r="D75" s="2" t="s">
        <v>1301</v>
      </c>
      <c r="E75" s="2" t="s">
        <v>1314</v>
      </c>
      <c r="F75" s="2" t="s">
        <v>1315</v>
      </c>
      <c r="G75" s="2"/>
      <c r="H75" s="2" t="s">
        <v>1316</v>
      </c>
      <c r="I75" s="2" t="s">
        <v>1317</v>
      </c>
      <c r="J75" s="2" t="s">
        <v>1318</v>
      </c>
      <c r="K75" s="2" t="s">
        <v>1319</v>
      </c>
      <c r="L75" s="2" t="s">
        <v>1320</v>
      </c>
      <c r="V75" s="6" t="str">
        <f>"(Ação da Fer C Atlant|Ações da Fer C Atlant|"&amp;H75&amp;"|"&amp;I75&amp;"|"&amp;J75&amp;"|"&amp;K75&amp;"|"&amp;L75&amp;")"</f>
        <v>(Ação da Fer C Atlant|Ações da Fer C Atlant|VSPT1|VSPT3|VSPT4|VSPT3F|VSPT4F)</v>
      </c>
    </row>
    <row r="76">
      <c r="A76" s="2">
        <v>2.0</v>
      </c>
      <c r="B76" s="2" t="s">
        <v>1162</v>
      </c>
      <c r="C76" s="2" t="s">
        <v>1294</v>
      </c>
      <c r="D76" s="2" t="s">
        <v>1301</v>
      </c>
      <c r="E76" s="2" t="s">
        <v>1321</v>
      </c>
      <c r="F76" s="2" t="s">
        <v>1322</v>
      </c>
      <c r="G76" s="2" t="s">
        <v>1032</v>
      </c>
      <c r="H76" s="2" t="s">
        <v>1322</v>
      </c>
      <c r="V76" s="6" t="str">
        <f>"(Ação da MRS Logist|Ações da MRS Logist|"&amp;H76&amp;")"</f>
        <v>(Ação da MRS Logist|Ações da MRS Logist|MRSA)</v>
      </c>
    </row>
    <row r="77">
      <c r="A77" s="2">
        <v>1.0</v>
      </c>
      <c r="B77" s="2" t="s">
        <v>1162</v>
      </c>
      <c r="C77" s="2" t="s">
        <v>1294</v>
      </c>
      <c r="D77" s="2" t="s">
        <v>1301</v>
      </c>
      <c r="E77" s="2" t="s">
        <v>154</v>
      </c>
      <c r="F77" s="2" t="s">
        <v>1323</v>
      </c>
      <c r="G77" s="2" t="s">
        <v>1001</v>
      </c>
      <c r="H77" s="22" t="str">
        <f>VLOOKUP(E77,'Lista Infomoney'!B:H,2,FALSE)</f>
        <v>RAIL3F</v>
      </c>
      <c r="I77" s="22" t="str">
        <f>VLOOKUP(E77,'Lista Infomoney'!B:F,3,FALSE)</f>
        <v>RAIL3</v>
      </c>
      <c r="J77" s="6" t="str">
        <f>VLOOKUP(E77,'Lista Infomoney'!B:F,4,FALSE)</f>
        <v/>
      </c>
      <c r="K77" s="6" t="str">
        <f>VLOOKUP(E77,'Lista Infomoney'!B:F,5,FALSE)</f>
        <v/>
      </c>
      <c r="V77" s="6" t="str">
        <f>"(Ações da Rumo|Ações da Rumo|"&amp;H77&amp;"|"&amp;I77&amp;")"</f>
        <v>(Ações da Rumo|Ações da Rumo|RAIL3F|RAIL3)</v>
      </c>
    </row>
    <row r="78">
      <c r="A78" s="2">
        <v>1.0</v>
      </c>
      <c r="B78" s="2" t="s">
        <v>1162</v>
      </c>
      <c r="C78" s="2" t="s">
        <v>1294</v>
      </c>
      <c r="D78" s="2" t="s">
        <v>1324</v>
      </c>
      <c r="E78" s="2" t="s">
        <v>11</v>
      </c>
      <c r="F78" s="2" t="s">
        <v>1325</v>
      </c>
      <c r="G78" s="2" t="s">
        <v>1001</v>
      </c>
      <c r="H78" s="22" t="str">
        <f>VLOOKUP(E78,'Lista Infomoney'!B:H,2,FALSE)</f>
        <v>HBSA3</v>
      </c>
      <c r="I78" s="6" t="str">
        <f>VLOOKUP(E78,'Lista Infomoney'!B:F,3,FALSE)</f>
        <v/>
      </c>
      <c r="J78" s="6" t="str">
        <f>VLOOKUP(E78,'Lista Infomoney'!B:F,4,FALSE)</f>
        <v/>
      </c>
      <c r="K78" s="6" t="str">
        <f>VLOOKUP(E78,'Lista Infomoney'!B:F,5,FALSE)</f>
        <v/>
      </c>
      <c r="V78" s="6" t="str">
        <f>"(Ação da Hidrovias do Brasil|Ações da Hidrovias do Brasil|"&amp;H78&amp;")"</f>
        <v>(Ação da Hidrovias do Brasil|Ações da Hidrovias do Brasil|HBSA3)</v>
      </c>
    </row>
    <row r="79">
      <c r="A79" s="2">
        <v>2.0</v>
      </c>
      <c r="B79" s="2" t="s">
        <v>1162</v>
      </c>
      <c r="C79" s="2" t="s">
        <v>1294</v>
      </c>
      <c r="D79" s="2" t="s">
        <v>1324</v>
      </c>
      <c r="E79" s="2" t="s">
        <v>1326</v>
      </c>
      <c r="F79" s="2" t="s">
        <v>1327</v>
      </c>
      <c r="G79" s="2" t="s">
        <v>1001</v>
      </c>
      <c r="H79" s="2" t="s">
        <v>1328</v>
      </c>
      <c r="I79" s="2" t="s">
        <v>1329</v>
      </c>
      <c r="J79" s="2" t="s">
        <v>1330</v>
      </c>
      <c r="V79" s="6" t="str">
        <f>"(Ação da Log-in|Ações da Log-in|"&amp;H79&amp;"|"&amp;I79&amp;"|"&amp;J79&amp;")"</f>
        <v>(Ação da Log-in|Ações da Log-in|LOGN3|LOGN12F|LOGN3F)</v>
      </c>
    </row>
    <row r="80">
      <c r="A80" s="2">
        <v>2.0</v>
      </c>
      <c r="B80" s="2" t="s">
        <v>1162</v>
      </c>
      <c r="C80" s="2" t="s">
        <v>1294</v>
      </c>
      <c r="D80" s="2" t="s">
        <v>1324</v>
      </c>
      <c r="E80" s="2" t="s">
        <v>1331</v>
      </c>
      <c r="F80" s="2" t="s">
        <v>1332</v>
      </c>
      <c r="G80" s="2"/>
      <c r="H80" s="2" t="s">
        <v>1333</v>
      </c>
      <c r="I80" s="2" t="s">
        <v>1334</v>
      </c>
      <c r="J80" s="2" t="s">
        <v>1335</v>
      </c>
      <c r="K80" s="2" t="s">
        <v>1336</v>
      </c>
      <c r="V80" s="6" t="str">
        <f>"(Ação da Trevisa|Ações da Trevisa|"&amp;H80&amp;"|"&amp;I80&amp;"|"&amp;J80&amp;"|"&amp;K80&amp;")"</f>
        <v>(Ação da Trevisa|Ações da Trevisa|LUXM3|LUXM4|LUXM3F|LUXM4F)</v>
      </c>
    </row>
    <row r="81">
      <c r="A81" s="2">
        <v>2.0</v>
      </c>
      <c r="B81" s="2" t="s">
        <v>1162</v>
      </c>
      <c r="C81" s="2" t="s">
        <v>1294</v>
      </c>
      <c r="D81" s="2" t="s">
        <v>1337</v>
      </c>
      <c r="E81" s="2" t="s">
        <v>1338</v>
      </c>
      <c r="F81" s="2" t="s">
        <v>1339</v>
      </c>
      <c r="G81" s="2" t="s">
        <v>1001</v>
      </c>
      <c r="H81" s="2" t="s">
        <v>1340</v>
      </c>
      <c r="I81" s="2" t="s">
        <v>1341</v>
      </c>
      <c r="V81" s="6" t="str">
        <f>"(Ação da JSL|Ações da JSL|"&amp;H81&amp;"|"&amp;I81&amp;")"</f>
        <v>(Ação da JSL|Ações da JSL|JSLG11|JSLG3F)</v>
      </c>
    </row>
    <row r="82">
      <c r="A82" s="2">
        <v>2.0</v>
      </c>
      <c r="B82" s="2" t="s">
        <v>1162</v>
      </c>
      <c r="C82" s="2" t="s">
        <v>1294</v>
      </c>
      <c r="D82" s="2" t="s">
        <v>1337</v>
      </c>
      <c r="E82" s="2" t="s">
        <v>1342</v>
      </c>
      <c r="F82" s="2" t="s">
        <v>1343</v>
      </c>
      <c r="G82" s="2" t="s">
        <v>1001</v>
      </c>
      <c r="H82" s="2" t="s">
        <v>1344</v>
      </c>
      <c r="I82" s="2" t="s">
        <v>1345</v>
      </c>
      <c r="V82" s="6" t="str">
        <f>"(Ação da Tegma|Ações da Tegma|"&amp;H82&amp;"|"&amp;I82&amp;")"</f>
        <v>(Ação da Tegma|Ações da Tegma|TGMA3|TGMA3F)</v>
      </c>
    </row>
    <row r="83">
      <c r="A83" s="2">
        <v>2.0</v>
      </c>
      <c r="B83" s="2" t="s">
        <v>1162</v>
      </c>
      <c r="C83" s="2" t="s">
        <v>1294</v>
      </c>
      <c r="D83" s="2" t="s">
        <v>1346</v>
      </c>
      <c r="E83" s="2" t="s">
        <v>1347</v>
      </c>
      <c r="F83" s="2" t="s">
        <v>1348</v>
      </c>
      <c r="G83" s="2"/>
      <c r="H83" s="2" t="s">
        <v>1348</v>
      </c>
      <c r="V83" s="6" t="str">
        <f>"(Ação da Autoban|Ações da Autoban|"&amp;H83&amp;")"</f>
        <v>(Ação da Autoban|Ações da Autoban|ANHB)</v>
      </c>
    </row>
    <row r="84">
      <c r="A84" s="2">
        <v>2.0</v>
      </c>
      <c r="B84" s="2" t="s">
        <v>1162</v>
      </c>
      <c r="C84" s="2" t="s">
        <v>1294</v>
      </c>
      <c r="D84" s="2" t="s">
        <v>1346</v>
      </c>
      <c r="E84" s="2" t="s">
        <v>1349</v>
      </c>
      <c r="F84" s="2" t="s">
        <v>1350</v>
      </c>
      <c r="G84" s="2" t="s">
        <v>1001</v>
      </c>
      <c r="H84" s="2" t="s">
        <v>1351</v>
      </c>
      <c r="I84" s="2" t="s">
        <v>1352</v>
      </c>
      <c r="V84" s="6" t="str">
        <f>"(Ação da CCR SA|Ações da CCR SA|"&amp;H84&amp;"|"&amp;I84&amp;")"</f>
        <v>(Ação da CCR SA|Ações da CCR SA|CCRO3|CCRO3F)</v>
      </c>
    </row>
    <row r="85">
      <c r="A85" s="2">
        <v>2.0</v>
      </c>
      <c r="B85" s="2" t="s">
        <v>1162</v>
      </c>
      <c r="C85" s="2" t="s">
        <v>1294</v>
      </c>
      <c r="D85" s="2" t="s">
        <v>1346</v>
      </c>
      <c r="E85" s="2" t="s">
        <v>1353</v>
      </c>
      <c r="F85" s="24" t="s">
        <v>1354</v>
      </c>
      <c r="G85" s="2"/>
      <c r="H85" s="6" t="s">
        <v>1354</v>
      </c>
      <c r="V85" s="6" t="str">
        <f>"(Ação da Conc Raposo|Ações da Conc Raposo|"&amp;H85&amp;")"</f>
        <v>(Ação da Conc Raposo|Ações da Conc Raposo|RPTA)</v>
      </c>
    </row>
    <row r="86">
      <c r="A86" s="2">
        <v>2.0</v>
      </c>
      <c r="B86" s="2" t="s">
        <v>1162</v>
      </c>
      <c r="C86" s="2" t="s">
        <v>1294</v>
      </c>
      <c r="D86" s="2" t="s">
        <v>1346</v>
      </c>
      <c r="E86" s="2" t="s">
        <v>1355</v>
      </c>
      <c r="F86" s="2" t="s">
        <v>1356</v>
      </c>
      <c r="G86" s="2" t="s">
        <v>1032</v>
      </c>
      <c r="H86" s="2" t="s">
        <v>1357</v>
      </c>
      <c r="I86" s="2" t="s">
        <v>1358</v>
      </c>
      <c r="J86" s="2" t="s">
        <v>1359</v>
      </c>
      <c r="K86" s="2" t="s">
        <v>1360</v>
      </c>
      <c r="V86" s="6" t="str">
        <f>"(Ação da Conc Rio Ter|Ações da Conc Rio Ter|"&amp;H86&amp;"|"&amp;I86&amp;"|"&amp;J86&amp;"|"&amp;K86&amp;")"</f>
        <v>(Ação da Conc Rio Ter|Ações da Conc Rio Ter|CRTE3B|CRTE5B|CRTE3BF|CRTE5BF)</v>
      </c>
    </row>
    <row r="87">
      <c r="A87" s="2">
        <v>2.0</v>
      </c>
      <c r="B87" s="2" t="s">
        <v>1162</v>
      </c>
      <c r="C87" s="2" t="s">
        <v>1294</v>
      </c>
      <c r="D87" s="2" t="s">
        <v>1346</v>
      </c>
      <c r="E87" s="2" t="s">
        <v>1361</v>
      </c>
      <c r="F87" s="24" t="s">
        <v>1362</v>
      </c>
      <c r="G87" s="2"/>
      <c r="H87" s="6" t="s">
        <v>1362</v>
      </c>
      <c r="V87" s="6" t="str">
        <f>"(Ação da Econ|Ações da Econ|"&amp;H87&amp;")"</f>
        <v>(Ação da Econ|Ações da Econ|ERDV)</v>
      </c>
    </row>
    <row r="88">
      <c r="A88" s="2">
        <v>2.0</v>
      </c>
      <c r="B88" s="2" t="s">
        <v>1162</v>
      </c>
      <c r="C88" s="2" t="s">
        <v>1294</v>
      </c>
      <c r="D88" s="2" t="s">
        <v>1346</v>
      </c>
      <c r="E88" s="2" t="s">
        <v>1363</v>
      </c>
      <c r="F88" s="24" t="s">
        <v>1364</v>
      </c>
      <c r="G88" s="2"/>
      <c r="H88" s="6" t="s">
        <v>1364</v>
      </c>
      <c r="V88" s="6" t="str">
        <f>"(Ação da Econorte|Ações da Econorte|"&amp;H88&amp;")"</f>
        <v>(Ação da Econorte|Ações da Econorte|ECNT)</v>
      </c>
    </row>
    <row r="89">
      <c r="A89" s="2">
        <v>2.0</v>
      </c>
      <c r="B89" s="2" t="s">
        <v>1162</v>
      </c>
      <c r="C89" s="2" t="s">
        <v>1294</v>
      </c>
      <c r="D89" s="2" t="s">
        <v>1346</v>
      </c>
      <c r="E89" s="2" t="s">
        <v>1365</v>
      </c>
      <c r="F89" s="24" t="s">
        <v>1366</v>
      </c>
      <c r="G89" s="2"/>
      <c r="H89" s="6" t="s">
        <v>1366</v>
      </c>
      <c r="V89" s="6" t="str">
        <f>"(Ação da Ecopistas|Ações da Ecopistas|"&amp;H89&amp;")"</f>
        <v>(Ação da Ecopistas|Ações da Ecopistas|ASCP)</v>
      </c>
    </row>
    <row r="90">
      <c r="A90" s="2">
        <v>2.0</v>
      </c>
      <c r="B90" s="2" t="s">
        <v>1162</v>
      </c>
      <c r="C90" s="2" t="s">
        <v>1294</v>
      </c>
      <c r="D90" s="2" t="s">
        <v>1346</v>
      </c>
      <c r="E90" s="2" t="s">
        <v>1367</v>
      </c>
      <c r="F90" s="2" t="s">
        <v>1368</v>
      </c>
      <c r="G90" s="2" t="s">
        <v>1001</v>
      </c>
      <c r="H90" s="2" t="s">
        <v>1369</v>
      </c>
      <c r="I90" s="2" t="s">
        <v>1370</v>
      </c>
      <c r="V90" s="6" t="str">
        <f>"(Ação da Ecorodovias|Ações da Ecorodovias|"&amp;H90&amp;"|"&amp;I90&amp;")"</f>
        <v>(Ação da Ecorodovias|Ações da Ecorodovias|ECOR3|ECOR3F)</v>
      </c>
    </row>
    <row r="91">
      <c r="A91" s="2">
        <v>2.0</v>
      </c>
      <c r="B91" s="2" t="s">
        <v>1162</v>
      </c>
      <c r="C91" s="2" t="s">
        <v>1294</v>
      </c>
      <c r="D91" s="2" t="s">
        <v>1346</v>
      </c>
      <c r="E91" s="2" t="s">
        <v>1371</v>
      </c>
      <c r="F91" s="2" t="s">
        <v>1372</v>
      </c>
      <c r="G91" s="2"/>
      <c r="H91" s="2" t="s">
        <v>1372</v>
      </c>
      <c r="V91" s="6" t="str">
        <f>"(Ação da Ecovias|Ações da Ecovias|"&amp;H91&amp;")"</f>
        <v>(Ação da Ecovias|Ações da Ecovias|ECOV)</v>
      </c>
    </row>
    <row r="92">
      <c r="A92" s="2">
        <v>2.0</v>
      </c>
      <c r="B92" s="2" t="s">
        <v>1162</v>
      </c>
      <c r="C92" s="2" t="s">
        <v>1294</v>
      </c>
      <c r="D92" s="2" t="s">
        <v>1346</v>
      </c>
      <c r="E92" s="2" t="s">
        <v>1373</v>
      </c>
      <c r="F92" s="24" t="s">
        <v>1374</v>
      </c>
      <c r="G92" s="2"/>
      <c r="H92" s="6" t="s">
        <v>1374</v>
      </c>
      <c r="V92" s="6" t="str">
        <f>"(Ação da Rod Colinas|Ações da Rod Colinas|"&amp;H92&amp;")"</f>
        <v>(Ação da Rod Colinas|Ações da Rod Colinas|COLN)</v>
      </c>
    </row>
    <row r="93">
      <c r="A93" s="2">
        <v>2.0</v>
      </c>
      <c r="B93" s="2" t="s">
        <v>1162</v>
      </c>
      <c r="C93" s="2" t="s">
        <v>1294</v>
      </c>
      <c r="D93" s="2" t="s">
        <v>1346</v>
      </c>
      <c r="E93" s="2" t="s">
        <v>1375</v>
      </c>
      <c r="F93" s="2" t="s">
        <v>1376</v>
      </c>
      <c r="G93" s="2"/>
      <c r="H93" s="2" t="s">
        <v>1376</v>
      </c>
      <c r="V93" s="6" t="str">
        <f>"(Ação da Rod Tiete|Ações da Rod Tiete|"&amp;H93&amp;")"</f>
        <v>(Ação da Rod Tiete|Ações da Rod Tiete|RDVT)</v>
      </c>
    </row>
    <row r="94">
      <c r="A94" s="2">
        <v>2.0</v>
      </c>
      <c r="B94" s="2" t="s">
        <v>1162</v>
      </c>
      <c r="C94" s="2" t="s">
        <v>1294</v>
      </c>
      <c r="D94" s="2" t="s">
        <v>1346</v>
      </c>
      <c r="E94" s="2" t="s">
        <v>1377</v>
      </c>
      <c r="F94" s="24" t="s">
        <v>1378</v>
      </c>
      <c r="G94" s="2"/>
      <c r="H94" s="6" t="s">
        <v>1378</v>
      </c>
      <c r="V94" s="6" t="str">
        <f>"(Ação da RT Bandeiras|Ações da RT Bandeiras|"&amp;H94&amp;")"</f>
        <v>(Ação da RT Bandeiras|Ações da RT Bandeiras|CRBD)</v>
      </c>
    </row>
    <row r="95">
      <c r="A95" s="2">
        <v>2.0</v>
      </c>
      <c r="B95" s="2" t="s">
        <v>1162</v>
      </c>
      <c r="C95" s="2" t="s">
        <v>1294</v>
      </c>
      <c r="D95" s="2" t="s">
        <v>1346</v>
      </c>
      <c r="E95" s="2" t="s">
        <v>1379</v>
      </c>
      <c r="F95" s="24" t="s">
        <v>1380</v>
      </c>
      <c r="G95" s="2"/>
      <c r="H95" s="6" t="s">
        <v>1380</v>
      </c>
      <c r="V95" s="6" t="str">
        <f>"(Ação de Triangulosol|Ações da Triangulosol|"&amp;H95&amp;")"</f>
        <v>(Ação de Triangulosol|Ações da Triangulosol|TRIA)</v>
      </c>
    </row>
    <row r="96">
      <c r="A96" s="2">
        <v>1.0</v>
      </c>
      <c r="B96" s="2" t="s">
        <v>1162</v>
      </c>
      <c r="C96" s="2" t="s">
        <v>1294</v>
      </c>
      <c r="D96" s="2" t="s">
        <v>1346</v>
      </c>
      <c r="E96" s="2" t="s">
        <v>1381</v>
      </c>
      <c r="F96" s="2" t="s">
        <v>1382</v>
      </c>
      <c r="G96" s="2" t="s">
        <v>1001</v>
      </c>
      <c r="H96" s="22" t="str">
        <f>VLOOKUP(E96,'Lista Infomoney'!B:H,2,FALSE)</f>
        <v>TPIS3F</v>
      </c>
      <c r="I96" s="22" t="str">
        <f>VLOOKUP(E96,'Lista Infomoney'!B:F,3,FALSE)</f>
        <v>TPIS3</v>
      </c>
      <c r="J96" s="6" t="str">
        <f>VLOOKUP(E96,'Lista Infomoney'!B:F,4,FALSE)</f>
        <v/>
      </c>
      <c r="K96" s="6" t="str">
        <f>VLOOKUP(E96,'Lista Infomoney'!B:F,5,FALSE)</f>
        <v/>
      </c>
      <c r="V96" s="6" t="str">
        <f>"(Ação da Triunfo Part|Ações da Triunfo Part|"&amp;H96&amp;"|"&amp;I96&amp;")"</f>
        <v>(Ação da Triunfo Part|Ações da Triunfo Part|TPIS3F|TPIS3)</v>
      </c>
    </row>
    <row r="97">
      <c r="A97" s="2">
        <v>2.0</v>
      </c>
      <c r="B97" s="2" t="s">
        <v>1162</v>
      </c>
      <c r="C97" s="2" t="s">
        <v>1294</v>
      </c>
      <c r="D97" s="2" t="s">
        <v>1346</v>
      </c>
      <c r="E97" s="2" t="s">
        <v>1383</v>
      </c>
      <c r="F97" s="24" t="s">
        <v>1384</v>
      </c>
      <c r="G97" s="2"/>
      <c r="H97" s="6" t="s">
        <v>1384</v>
      </c>
      <c r="V97" s="6" t="str">
        <f>"(Ação da Viaoeste|Ações da Viaoeste|"&amp;H97&amp;")"</f>
        <v>(Ação da Viaoeste|Ações da Viaoeste|VOES)</v>
      </c>
    </row>
    <row r="98">
      <c r="A98" s="2">
        <v>2.0</v>
      </c>
      <c r="B98" s="2" t="s">
        <v>1162</v>
      </c>
      <c r="C98" s="2" t="s">
        <v>1294</v>
      </c>
      <c r="D98" s="2" t="s">
        <v>1385</v>
      </c>
      <c r="E98" s="2" t="s">
        <v>1386</v>
      </c>
      <c r="F98" s="2" t="s">
        <v>1387</v>
      </c>
      <c r="G98" s="2" t="s">
        <v>1032</v>
      </c>
      <c r="H98" s="2" t="s">
        <v>1387</v>
      </c>
      <c r="V98" s="6" t="str">
        <f>"(Ação da Gruairport|Ações da Gruairport|"&amp;H98&amp;")"</f>
        <v>(Ação da Gruairport|Ações da Gruairport|AGRU)</v>
      </c>
    </row>
    <row r="99">
      <c r="A99" s="2">
        <v>2.0</v>
      </c>
      <c r="B99" s="2" t="s">
        <v>1162</v>
      </c>
      <c r="C99" s="2" t="s">
        <v>1294</v>
      </c>
      <c r="D99" s="2" t="s">
        <v>1385</v>
      </c>
      <c r="E99" s="2" t="s">
        <v>1388</v>
      </c>
      <c r="F99" s="2" t="s">
        <v>1389</v>
      </c>
      <c r="G99" s="2"/>
      <c r="H99" s="25" t="s">
        <v>1390</v>
      </c>
      <c r="V99" s="6" t="str">
        <f>"(Ação da Porto VM|Ações da Porto VM|"&amp;H99&amp;")"</f>
        <v>(Ação da Porto VM|Ações da Porto VM|PSVM11)</v>
      </c>
    </row>
    <row r="100">
      <c r="A100" s="2">
        <v>2.0</v>
      </c>
      <c r="B100" s="2" t="s">
        <v>1162</v>
      </c>
      <c r="C100" s="2" t="s">
        <v>1294</v>
      </c>
      <c r="D100" s="2" t="s">
        <v>1385</v>
      </c>
      <c r="E100" s="2" t="s">
        <v>1391</v>
      </c>
      <c r="F100" s="2" t="s">
        <v>1392</v>
      </c>
      <c r="G100" s="2" t="s">
        <v>1032</v>
      </c>
      <c r="H100" s="2" t="s">
        <v>1393</v>
      </c>
      <c r="I100" s="2" t="s">
        <v>1394</v>
      </c>
      <c r="J100" s="2" t="s">
        <v>1395</v>
      </c>
      <c r="K100" s="2" t="s">
        <v>1396</v>
      </c>
      <c r="V100" s="6" t="str">
        <f>"(Ação da Invepar|Ações da Invepar|"&amp;H100&amp;"|"&amp;I100&amp;"|"&amp;J100&amp;"|"&amp;K100&amp;")"</f>
        <v>(Ação da Invepar|Ações da Invepar|IVPR3B|IVPR4B|IVPR3BF|IVPR4BF)</v>
      </c>
    </row>
    <row r="101">
      <c r="A101" s="2">
        <v>2.0</v>
      </c>
      <c r="B101" s="2" t="s">
        <v>1162</v>
      </c>
      <c r="C101" s="2" t="s">
        <v>1294</v>
      </c>
      <c r="D101" s="2" t="s">
        <v>1385</v>
      </c>
      <c r="E101" s="2" t="s">
        <v>1397</v>
      </c>
      <c r="F101" s="24" t="s">
        <v>1398</v>
      </c>
      <c r="G101" s="2"/>
      <c r="H101" s="6" t="s">
        <v>1398</v>
      </c>
      <c r="V101" s="6" t="str">
        <f>"(Ação da Salus Infra|Ações da Salus Infra|"&amp;H101&amp;")"</f>
        <v>(Ação da Salus Infra|Ações da Salus Infra|SAIP)</v>
      </c>
    </row>
    <row r="102">
      <c r="A102" s="2">
        <v>1.0</v>
      </c>
      <c r="B102" s="2" t="s">
        <v>1162</v>
      </c>
      <c r="C102" s="2" t="s">
        <v>1294</v>
      </c>
      <c r="D102" s="2" t="s">
        <v>1385</v>
      </c>
      <c r="E102" s="2" t="s">
        <v>70</v>
      </c>
      <c r="F102" s="2" t="s">
        <v>163</v>
      </c>
      <c r="G102" s="2" t="s">
        <v>1001</v>
      </c>
      <c r="H102" s="22" t="str">
        <f>VLOOKUP(E102,'Lista Infomoney'!B:H,2,FALSE)</f>
        <v>STBP3F</v>
      </c>
      <c r="I102" s="2" t="s">
        <v>163</v>
      </c>
      <c r="J102" s="6" t="str">
        <f>VLOOKUP(E102,'Lista Infomoney'!B:F,4,FALSE)</f>
        <v/>
      </c>
      <c r="K102" s="6" t="str">
        <f>VLOOKUP(E102,'Lista Infomoney'!B:F,5,FALSE)</f>
        <v/>
      </c>
      <c r="V102" s="6" t="str">
        <f>"(Ação da Santos Brasil Participações|Ações da Santos Brasil Participações|"&amp;H102&amp;"|"&amp;I102&amp;")"</f>
        <v>(Ação da Santos Brasil Participações|Ações da Santos Brasil Participações|STBP3F|STBP3)</v>
      </c>
    </row>
    <row r="103">
      <c r="A103" s="2">
        <v>2.0</v>
      </c>
      <c r="B103" s="2" t="s">
        <v>1162</v>
      </c>
      <c r="C103" s="2" t="s">
        <v>1294</v>
      </c>
      <c r="D103" s="2" t="s">
        <v>1385</v>
      </c>
      <c r="E103" s="2" t="s">
        <v>1399</v>
      </c>
      <c r="F103" s="2" t="s">
        <v>1400</v>
      </c>
      <c r="G103" s="2" t="s">
        <v>1401</v>
      </c>
      <c r="H103" s="2" t="s">
        <v>1402</v>
      </c>
      <c r="I103" s="2" t="s">
        <v>1403</v>
      </c>
      <c r="V103" s="6" t="str">
        <f>"(Ação da Wilson Sons|Ações da Wilson Sons|"&amp;H103&amp;"|"&amp;I103&amp;")"</f>
        <v>(Ação da Wilson Sons|Ações da Wilson Sons|WSON33|WSON33F)</v>
      </c>
    </row>
    <row r="104">
      <c r="A104" s="2">
        <v>2.0</v>
      </c>
      <c r="B104" s="2" t="s">
        <v>1162</v>
      </c>
      <c r="C104" s="2" t="s">
        <v>1197</v>
      </c>
      <c r="D104" s="2" t="s">
        <v>1197</v>
      </c>
      <c r="E104" s="2" t="s">
        <v>1404</v>
      </c>
      <c r="F104" s="2" t="s">
        <v>1405</v>
      </c>
      <c r="G104" s="2" t="s">
        <v>1001</v>
      </c>
      <c r="H104" s="2" t="s">
        <v>1406</v>
      </c>
      <c r="V104" s="6" t="str">
        <f>"(Ação da Atmasa|Ações da Atmasa|"&amp;H104&amp;")"</f>
        <v>(Ação da Atmasa|Ações da Atmasa|ATMP3)</v>
      </c>
    </row>
    <row r="105">
      <c r="A105" s="2">
        <v>1.0</v>
      </c>
      <c r="B105" s="2" t="s">
        <v>1162</v>
      </c>
      <c r="C105" s="2" t="s">
        <v>1197</v>
      </c>
      <c r="D105" s="2" t="s">
        <v>1197</v>
      </c>
      <c r="E105" s="2" t="s">
        <v>1407</v>
      </c>
      <c r="F105" s="2" t="s">
        <v>1408</v>
      </c>
      <c r="G105" s="2" t="s">
        <v>1001</v>
      </c>
      <c r="H105" s="22" t="str">
        <f>VLOOKUP(E105,'Lista Infomoney'!B:H,2,FALSE)</f>
        <v>AMBP3</v>
      </c>
      <c r="I105" s="6" t="str">
        <f>VLOOKUP(E105,'Lista Infomoney'!B:F,3,FALSE)</f>
        <v/>
      </c>
      <c r="J105" s="6" t="str">
        <f>VLOOKUP(E105,'Lista Infomoney'!B:F,4,FALSE)</f>
        <v/>
      </c>
      <c r="K105" s="6" t="str">
        <f>VLOOKUP(E105,'Lista Infomoney'!B:F,5,FALSE)</f>
        <v/>
      </c>
      <c r="V105" s="6" t="str">
        <f>"(Ação da Ambipar|Ações da Ambipar|"&amp;H105&amp;")"</f>
        <v>(Ação da Ambipar|Ações da Ambipar|AMBP3)</v>
      </c>
    </row>
    <row r="106">
      <c r="A106" s="2">
        <v>2.0</v>
      </c>
      <c r="B106" s="2" t="s">
        <v>1162</v>
      </c>
      <c r="C106" s="2" t="s">
        <v>1197</v>
      </c>
      <c r="D106" s="2" t="s">
        <v>1197</v>
      </c>
      <c r="E106" s="2" t="s">
        <v>1409</v>
      </c>
      <c r="F106" s="2" t="s">
        <v>1410</v>
      </c>
      <c r="G106" s="2" t="s">
        <v>1107</v>
      </c>
      <c r="H106" s="2" t="s">
        <v>1411</v>
      </c>
      <c r="V106" s="6" t="str">
        <f>"(Ação da BBMLogistica|Ações da BBMLogistica|"&amp;H106&amp;")"</f>
        <v>(Ação da BBMLogistica|Ações da BBMLogistica|BBML3)</v>
      </c>
    </row>
    <row r="107">
      <c r="A107" s="2">
        <v>1.0</v>
      </c>
      <c r="B107" s="2" t="s">
        <v>1162</v>
      </c>
      <c r="C107" s="2" t="s">
        <v>1197</v>
      </c>
      <c r="D107" s="2" t="s">
        <v>1197</v>
      </c>
      <c r="E107" s="2" t="s">
        <v>1412</v>
      </c>
      <c r="F107" s="2" t="s">
        <v>1413</v>
      </c>
      <c r="G107" s="2" t="s">
        <v>1001</v>
      </c>
      <c r="H107" s="22" t="str">
        <f>VLOOKUP(E107,'Lista Infomoney'!B:H,2,FALSE)</f>
        <v>CARD3F</v>
      </c>
      <c r="I107" s="22" t="str">
        <f>VLOOKUP(E107,'Lista Infomoney'!B:F,3,FALSE)</f>
        <v>CARD3</v>
      </c>
      <c r="J107" s="6" t="str">
        <f>VLOOKUP(E107,'Lista Infomoney'!B:F,4,FALSE)</f>
        <v/>
      </c>
      <c r="K107" s="6" t="str">
        <f>VLOOKUP(E107,'Lista Infomoney'!B:F,5,FALSE)</f>
        <v/>
      </c>
      <c r="V107" s="6" t="str">
        <f>"(Ação da CSU Cardsyst|Ações da CSU Cardsyst|"&amp;H107&amp;"|"&amp;I107&amp;")"</f>
        <v>(Ação da CSU Cardsyst|Ações da CSU Cardsyst|CARD3F|CARD3)</v>
      </c>
    </row>
    <row r="108">
      <c r="A108" s="2">
        <v>2.0</v>
      </c>
      <c r="B108" s="2" t="s">
        <v>1162</v>
      </c>
      <c r="C108" s="2" t="s">
        <v>1197</v>
      </c>
      <c r="D108" s="2" t="s">
        <v>1197</v>
      </c>
      <c r="E108" s="2" t="s">
        <v>1414</v>
      </c>
      <c r="F108" s="2" t="s">
        <v>1415</v>
      </c>
      <c r="G108" s="2"/>
      <c r="H108" s="25" t="s">
        <v>1416</v>
      </c>
      <c r="V108" s="6" t="str">
        <f>"(Ação da DTCOM-Direct|Ações da DTCOM-Direct|"&amp;H108&amp;")"</f>
        <v>(Ação da DTCOM-Direct|Ações da DTCOM-Direct|DTCY3)</v>
      </c>
    </row>
    <row r="109">
      <c r="A109" s="2">
        <v>1.0</v>
      </c>
      <c r="B109" s="2" t="s">
        <v>1162</v>
      </c>
      <c r="C109" s="2" t="s">
        <v>1197</v>
      </c>
      <c r="D109" s="2" t="s">
        <v>1197</v>
      </c>
      <c r="E109" s="2" t="s">
        <v>36</v>
      </c>
      <c r="F109" s="2" t="s">
        <v>1417</v>
      </c>
      <c r="G109" s="2" t="s">
        <v>1001</v>
      </c>
      <c r="H109" s="22" t="str">
        <f>VLOOKUP(E109,'Lista Infomoney'!B:H,2,FALSE)</f>
        <v>ALPK3</v>
      </c>
      <c r="I109" s="6" t="str">
        <f>VLOOKUP(E109,'Lista Infomoney'!B:F,3,FALSE)</f>
        <v/>
      </c>
      <c r="J109" s="6" t="str">
        <f>VLOOKUP(E109,'Lista Infomoney'!B:F,4,FALSE)</f>
        <v/>
      </c>
      <c r="K109" s="6" t="str">
        <f>VLOOKUP(E109,'Lista Infomoney'!B:F,5,FALSE)</f>
        <v/>
      </c>
      <c r="V109" s="6" t="str">
        <f>"(Ação da Estapar|Ações da Estapar|"&amp;H109&amp;")"</f>
        <v>(Ação da Estapar|Ações da Estapar|ALPK3)</v>
      </c>
    </row>
    <row r="110">
      <c r="A110" s="2">
        <v>2.0</v>
      </c>
      <c r="B110" s="2" t="s">
        <v>1162</v>
      </c>
      <c r="C110" s="2" t="s">
        <v>1197</v>
      </c>
      <c r="D110" s="2" t="s">
        <v>1197</v>
      </c>
      <c r="E110" s="2" t="s">
        <v>1418</v>
      </c>
      <c r="F110" s="2" t="s">
        <v>1419</v>
      </c>
      <c r="G110" s="2" t="s">
        <v>1107</v>
      </c>
      <c r="H110" s="2" t="s">
        <v>1420</v>
      </c>
      <c r="V110" s="6" t="str">
        <f>"(Ações da Flex SA|Ações da Flex SA|"&amp;H110&amp;")"</f>
        <v>(Ações da Flex SA|Ações da Flex SA|FLEX3)</v>
      </c>
    </row>
    <row r="111">
      <c r="A111" s="2">
        <v>2.0</v>
      </c>
      <c r="B111" s="2" t="s">
        <v>1162</v>
      </c>
      <c r="C111" s="2" t="s">
        <v>1197</v>
      </c>
      <c r="D111" s="2" t="s">
        <v>1197</v>
      </c>
      <c r="E111" s="2" t="s">
        <v>1421</v>
      </c>
      <c r="F111" s="2" t="s">
        <v>1422</v>
      </c>
      <c r="G111" s="2" t="s">
        <v>1107</v>
      </c>
      <c r="H111" s="2" t="s">
        <v>1423</v>
      </c>
      <c r="I111" s="2" t="s">
        <v>1424</v>
      </c>
      <c r="V111" s="6" t="str">
        <f>"(Ação da Priner|Ações da Priner|"&amp;H111&amp;"|"&amp;I111&amp;")"</f>
        <v>(Ação da Priner|Ações da Priner|PRNR3|PRNR3F)</v>
      </c>
    </row>
    <row r="112">
      <c r="A112" s="2">
        <v>2.0</v>
      </c>
      <c r="B112" s="2" t="s">
        <v>1162</v>
      </c>
      <c r="C112" s="2" t="s">
        <v>1197</v>
      </c>
      <c r="D112" s="2" t="s">
        <v>1197</v>
      </c>
      <c r="E112" s="2" t="s">
        <v>1425</v>
      </c>
      <c r="F112" s="2" t="s">
        <v>1426</v>
      </c>
      <c r="G112" s="2" t="s">
        <v>1001</v>
      </c>
      <c r="H112" s="2" t="s">
        <v>1427</v>
      </c>
      <c r="V112" s="6" t="str">
        <f>"(Ação da Sequoia Log|Ações da Sequoia Log|"&amp;H112&amp;")"</f>
        <v>(Ação da Sequoia Log|Ações da Sequoia Log|SEQL3)</v>
      </c>
    </row>
    <row r="113">
      <c r="A113" s="2">
        <v>1.0</v>
      </c>
      <c r="B113" s="2" t="s">
        <v>1162</v>
      </c>
      <c r="C113" s="2" t="s">
        <v>1197</v>
      </c>
      <c r="D113" s="2" t="s">
        <v>1197</v>
      </c>
      <c r="E113" s="2" t="s">
        <v>1428</v>
      </c>
      <c r="F113" s="2" t="s">
        <v>1429</v>
      </c>
      <c r="G113" s="2" t="s">
        <v>1001</v>
      </c>
      <c r="H113" s="22" t="str">
        <f>VLOOKUP(E113,'Lista Infomoney'!B:H,2,FALSE)</f>
        <v>VLID3F</v>
      </c>
      <c r="I113" s="22" t="str">
        <f>VLOOKUP(E113,'Lista Infomoney'!B:F,3,FALSE)</f>
        <v>VLID3</v>
      </c>
      <c r="J113" s="6" t="str">
        <f>VLOOKUP(E113,'Lista Infomoney'!B:F,4,FALSE)</f>
        <v/>
      </c>
      <c r="K113" s="6" t="str">
        <f>VLOOKUP(E113,'Lista Infomoney'!B:F,5,FALSE)</f>
        <v/>
      </c>
      <c r="V113" s="6" t="str">
        <f>"(Ação da Valid|Ações da Valid|"&amp;H113&amp;"|"&amp;I113&amp;")"</f>
        <v>(Ação da Valid|Ações da Valid|VLID3F|VLID3)</v>
      </c>
    </row>
    <row r="114">
      <c r="A114" s="2">
        <v>1.0</v>
      </c>
      <c r="B114" s="2" t="s">
        <v>1162</v>
      </c>
      <c r="C114" s="2" t="s">
        <v>1430</v>
      </c>
      <c r="D114" s="2" t="s">
        <v>1202</v>
      </c>
      <c r="E114" s="2" t="s">
        <v>1431</v>
      </c>
      <c r="F114" s="2" t="s">
        <v>1432</v>
      </c>
      <c r="G114" s="2" t="s">
        <v>1433</v>
      </c>
      <c r="H114" s="22" t="str">
        <f>VLOOKUP(E114,'Lista Infomoney'!B:H,2,FALSE)</f>
        <v>BTTL3F</v>
      </c>
      <c r="I114" s="22" t="str">
        <f>VLOOKUP(E114,'Lista Infomoney'!B:F,3,FALSE)</f>
        <v>BTTL3</v>
      </c>
      <c r="J114" s="2" t="s">
        <v>1434</v>
      </c>
      <c r="K114" s="6" t="str">
        <f>VLOOKUP(E114,'Lista Infomoney'!B:F,5,FALSE)</f>
        <v/>
      </c>
      <c r="V114" s="6" t="str">
        <f>"(Ação da Battistella|Ações da Battistella|"&amp;H114&amp;"|"&amp;I114&amp;"|"&amp;J114&amp;")"</f>
        <v>(Ação da Battistella|Ações da Battistella|BTTL3F|BTTL3|BTTL4F)</v>
      </c>
    </row>
    <row r="115">
      <c r="A115" s="2">
        <v>2.0</v>
      </c>
      <c r="B115" s="2" t="s">
        <v>1162</v>
      </c>
      <c r="C115" s="2" t="s">
        <v>1430</v>
      </c>
      <c r="D115" s="2" t="s">
        <v>1202</v>
      </c>
      <c r="E115" s="2" t="s">
        <v>1435</v>
      </c>
      <c r="F115" s="2" t="s">
        <v>1436</v>
      </c>
      <c r="G115" s="2"/>
      <c r="H115" s="2" t="s">
        <v>1437</v>
      </c>
      <c r="I115" s="2" t="s">
        <v>1438</v>
      </c>
      <c r="J115" s="2" t="s">
        <v>1439</v>
      </c>
      <c r="K115" s="2" t="s">
        <v>1440</v>
      </c>
      <c r="V115" s="6" t="str">
        <f>"(Ação da Minas Máquina|Ações da Minas Máquina|"&amp;H115&amp;"|"&amp;I115&amp;"|"&amp;J115&amp;"|"&amp;K115&amp;")"</f>
        <v>(Ação da Minas Máquina|Ações da Minas Máquina|MMAQ3|MMAQ4|MMAQ3F|MMAQ4F)</v>
      </c>
    </row>
    <row r="116">
      <c r="A116" s="2">
        <v>2.0</v>
      </c>
      <c r="B116" s="2" t="s">
        <v>1162</v>
      </c>
      <c r="C116" s="2" t="s">
        <v>1430</v>
      </c>
      <c r="D116" s="2" t="s">
        <v>1202</v>
      </c>
      <c r="E116" s="2" t="s">
        <v>1441</v>
      </c>
      <c r="F116" s="2" t="s">
        <v>1442</v>
      </c>
      <c r="G116" s="2"/>
      <c r="H116" s="25" t="s">
        <v>1443</v>
      </c>
      <c r="V116" s="6" t="str">
        <f>"(Ação da WLM IND COM|Ações da WLM IND COM|"&amp;H116&amp;")"</f>
        <v>(Ação da WLM IND COM|Ações da WLM IND COM|WLMM4)</v>
      </c>
    </row>
    <row r="117">
      <c r="A117" s="2">
        <v>2.0</v>
      </c>
      <c r="B117" s="2" t="s">
        <v>1444</v>
      </c>
      <c r="C117" s="2" t="s">
        <v>1445</v>
      </c>
      <c r="D117" s="2" t="s">
        <v>1446</v>
      </c>
      <c r="E117" s="2" t="s">
        <v>1447</v>
      </c>
      <c r="F117" s="2" t="s">
        <v>1448</v>
      </c>
      <c r="G117" s="2"/>
      <c r="H117" s="25" t="s">
        <v>1449</v>
      </c>
      <c r="I117" s="26" t="s">
        <v>1450</v>
      </c>
      <c r="V117" s="6" t="str">
        <f>"(Ação da Alipert|Ações da Aliperti"&amp;H117&amp;"|"&amp;I117&amp;")"</f>
        <v>(Ação da Alipert|Ações da AlipertiAPTI3|APTI4)</v>
      </c>
    </row>
    <row r="118">
      <c r="A118" s="2">
        <v>1.0</v>
      </c>
      <c r="B118" s="2" t="s">
        <v>1444</v>
      </c>
      <c r="C118" s="2" t="s">
        <v>1445</v>
      </c>
      <c r="D118" s="2" t="s">
        <v>1446</v>
      </c>
      <c r="E118" s="2" t="s">
        <v>1451</v>
      </c>
      <c r="F118" s="2" t="s">
        <v>1452</v>
      </c>
      <c r="G118" s="2" t="s">
        <v>1001</v>
      </c>
      <c r="H118" s="22" t="str">
        <f>VLOOKUP(E118,'Lista Infomoney'!B:H,2,FALSE)</f>
        <v>AGRO3F</v>
      </c>
      <c r="I118" s="22" t="str">
        <f>VLOOKUP(E118,'Lista Infomoney'!B:F,3,FALSE)</f>
        <v>AGRO3</v>
      </c>
      <c r="J118" s="6" t="str">
        <f>VLOOKUP(E118,'Lista Infomoney'!B:F,4,FALSE)</f>
        <v/>
      </c>
      <c r="K118" s="6" t="str">
        <f>VLOOKUP(E118,'Lista Infomoney'!B:F,5,FALSE)</f>
        <v/>
      </c>
      <c r="V118" s="6" t="str">
        <f>"(Ação da Brasil Agro|Ações da Brasil Agro|"&amp;H118&amp;"|"&amp;I118&amp;")"</f>
        <v>(Ação da Brasil Agro|Ações da Brasil Agro|AGRO3F|AGRO3)</v>
      </c>
    </row>
    <row r="119">
      <c r="A119" s="2">
        <v>2.0</v>
      </c>
      <c r="B119" s="2" t="s">
        <v>1444</v>
      </c>
      <c r="C119" s="2" t="s">
        <v>1445</v>
      </c>
      <c r="D119" s="2" t="s">
        <v>1446</v>
      </c>
      <c r="E119" s="2" t="s">
        <v>1453</v>
      </c>
      <c r="F119" s="2" t="s">
        <v>1454</v>
      </c>
      <c r="G119" s="2" t="s">
        <v>1001</v>
      </c>
      <c r="H119" s="2" t="s">
        <v>1455</v>
      </c>
      <c r="I119" s="2" t="s">
        <v>1456</v>
      </c>
      <c r="J119" s="2" t="s">
        <v>1457</v>
      </c>
      <c r="V119" s="6" t="str">
        <f>"(Ação da Pomifrutas|Ações da Promifrutas|"&amp;H119&amp;"|"&amp;I119&amp;"|"&amp;J119&amp;")"</f>
        <v>(Ação da Pomifrutas|Ações da Promifrutas|FRTA3|FRTA3F|FRTA1F)</v>
      </c>
    </row>
    <row r="120">
      <c r="A120" s="2">
        <v>2.0</v>
      </c>
      <c r="B120" s="2" t="s">
        <v>1444</v>
      </c>
      <c r="C120" s="2" t="s">
        <v>1445</v>
      </c>
      <c r="D120" s="2" t="s">
        <v>1446</v>
      </c>
      <c r="E120" s="2" t="s">
        <v>1458</v>
      </c>
      <c r="F120" s="2" t="s">
        <v>1459</v>
      </c>
      <c r="G120" s="2" t="s">
        <v>1001</v>
      </c>
      <c r="H120" s="2" t="s">
        <v>1460</v>
      </c>
      <c r="I120" s="2" t="s">
        <v>1461</v>
      </c>
      <c r="V120" s="6" t="str">
        <f>"(Ação da SLC Agrícola|Ações da SLC Agrícola|"&amp;H120&amp;"|"&amp;I120&amp;")"</f>
        <v>(Ação da SLC Agrícola|Ações da SLC Agrícola|SLCE3|SLCE3F)</v>
      </c>
    </row>
    <row r="121">
      <c r="A121" s="2">
        <v>2.0</v>
      </c>
      <c r="B121" s="2" t="s">
        <v>1444</v>
      </c>
      <c r="C121" s="2" t="s">
        <v>1445</v>
      </c>
      <c r="D121" s="2" t="s">
        <v>1446</v>
      </c>
      <c r="E121" s="2" t="s">
        <v>1462</v>
      </c>
      <c r="F121" s="2" t="s">
        <v>1463</v>
      </c>
      <c r="G121" s="2" t="s">
        <v>1001</v>
      </c>
      <c r="H121" s="2" t="s">
        <v>1464</v>
      </c>
      <c r="I121" s="2" t="s">
        <v>1465</v>
      </c>
      <c r="J121" s="2" t="s">
        <v>1466</v>
      </c>
      <c r="V121" s="6" t="str">
        <f>"(Ação da Terra Santa|Ações da Terra Santa|"&amp;H121&amp;"|"&amp;I121&amp;"|"&amp;J121&amp;")"</f>
        <v>(Ação da Terra Santa|Ações da Terra Santa|TESA12|TESA3|TESA3F)</v>
      </c>
    </row>
    <row r="122">
      <c r="A122" s="2">
        <v>1.0</v>
      </c>
      <c r="B122" s="2" t="s">
        <v>1444</v>
      </c>
      <c r="C122" s="2" t="s">
        <v>1467</v>
      </c>
      <c r="D122" s="2" t="s">
        <v>1468</v>
      </c>
      <c r="E122" s="2" t="s">
        <v>1469</v>
      </c>
      <c r="F122" s="2" t="s">
        <v>1470</v>
      </c>
      <c r="G122" s="2" t="s">
        <v>1001</v>
      </c>
      <c r="H122" s="22" t="str">
        <f>VLOOKUP(E122,'Lista Infomoney'!B:H,2,FALSE)</f>
        <v>BSEV3F</v>
      </c>
      <c r="I122" s="22" t="str">
        <f>VLOOKUP(E122,'Lista Infomoney'!B:F,3,FALSE)</f>
        <v>BSEV3</v>
      </c>
      <c r="J122" s="6" t="str">
        <f>VLOOKUP(E122,'Lista Infomoney'!B:F,4,FALSE)</f>
        <v/>
      </c>
      <c r="K122" s="6" t="str">
        <f>VLOOKUP(E122,'Lista Infomoney'!B:F,5,FALSE)</f>
        <v/>
      </c>
      <c r="V122" s="6" t="str">
        <f>"(Ação da Biosev|Ações da Biosev|"&amp;H122&amp;"|"&amp;I122&amp;")"</f>
        <v>(Ação da Biosev|Ações da Biosev|BSEV3F|BSEV3)</v>
      </c>
    </row>
    <row r="123">
      <c r="A123" s="2">
        <v>2.0</v>
      </c>
      <c r="B123" s="2" t="s">
        <v>1444</v>
      </c>
      <c r="C123" s="2" t="s">
        <v>1467</v>
      </c>
      <c r="D123" s="2" t="s">
        <v>1468</v>
      </c>
      <c r="E123" s="2" t="s">
        <v>1471</v>
      </c>
      <c r="F123" s="24" t="s">
        <v>1472</v>
      </c>
      <c r="G123" s="2"/>
      <c r="H123" s="6" t="s">
        <v>1472</v>
      </c>
      <c r="V123" s="6" t="str">
        <f>"(Ação da Raizen Energ|Ações da Raizen Energ|"&amp;H123&amp;")"</f>
        <v>(Ação da Raizen Energ|Ações da Raizen Energ|RESA)</v>
      </c>
    </row>
    <row r="124">
      <c r="A124" s="2">
        <v>1.0</v>
      </c>
      <c r="B124" s="2" t="s">
        <v>1444</v>
      </c>
      <c r="C124" s="2" t="s">
        <v>1467</v>
      </c>
      <c r="D124" s="2" t="s">
        <v>1468</v>
      </c>
      <c r="E124" s="2" t="s">
        <v>1473</v>
      </c>
      <c r="F124" s="2" t="s">
        <v>1474</v>
      </c>
      <c r="G124" s="2" t="s">
        <v>1001</v>
      </c>
      <c r="H124" s="22" t="str">
        <f>VLOOKUP(E124,'Lista Infomoney'!B:H,2,FALSE)</f>
        <v>SMTO3F</v>
      </c>
      <c r="I124" s="22" t="str">
        <f>VLOOKUP(E124,'Lista Infomoney'!B:F,3,FALSE)</f>
        <v>SMTO3</v>
      </c>
      <c r="J124" s="6" t="str">
        <f>VLOOKUP(E124,'Lista Infomoney'!B:F,4,FALSE)</f>
        <v/>
      </c>
      <c r="K124" s="6" t="str">
        <f>VLOOKUP(E124,'Lista Infomoney'!B:F,5,FALSE)</f>
        <v/>
      </c>
      <c r="V124" s="6" t="str">
        <f>"(Ação da São Martinho|Ações da São Martinho|"&amp;H124&amp;"|"&amp;I124&amp;")"</f>
        <v>(Ação da São Martinho|Ações da São Martinho|SMTO3F|SMTO3)</v>
      </c>
    </row>
    <row r="125">
      <c r="A125" s="2">
        <v>1.0</v>
      </c>
      <c r="B125" s="2" t="s">
        <v>1444</v>
      </c>
      <c r="C125" s="2" t="s">
        <v>1467</v>
      </c>
      <c r="D125" s="2" t="s">
        <v>1475</v>
      </c>
      <c r="E125" s="2" t="s">
        <v>373</v>
      </c>
      <c r="F125" s="2" t="s">
        <v>1476</v>
      </c>
      <c r="G125" s="2" t="s">
        <v>1001</v>
      </c>
      <c r="H125" s="22" t="str">
        <f>VLOOKUP(E125,'Lista Infomoney'!B:H,2,FALSE)</f>
        <v>BRFS3</v>
      </c>
      <c r="I125" s="2" t="s">
        <v>1477</v>
      </c>
      <c r="J125" s="6" t="str">
        <f>VLOOKUP(E125,'Lista Infomoney'!B:F,4,FALSE)</f>
        <v/>
      </c>
      <c r="K125" s="6" t="str">
        <f>VLOOKUP(E125,'Lista Infomoney'!B:F,5,FALSE)</f>
        <v/>
      </c>
      <c r="V125" s="6" t="str">
        <f>"(Ação da BRF|Ações da BRF|"&amp;H125&amp;"|"&amp;I125&amp;")"</f>
        <v>(Ação da BRF|Ações da BRF|BRFS3|BRFS3F)</v>
      </c>
    </row>
    <row r="126">
      <c r="A126" s="2">
        <v>2.0</v>
      </c>
      <c r="B126" s="2" t="s">
        <v>1444</v>
      </c>
      <c r="C126" s="2" t="s">
        <v>1467</v>
      </c>
      <c r="D126" s="2" t="s">
        <v>1475</v>
      </c>
      <c r="E126" s="2" t="s">
        <v>1478</v>
      </c>
      <c r="F126" s="2" t="s">
        <v>1479</v>
      </c>
      <c r="G126" s="2"/>
      <c r="H126" s="25" t="s">
        <v>1480</v>
      </c>
      <c r="V126" s="6" t="str">
        <f>"(Ação da Excelsior|Ações da Excelsior|"&amp;H126&amp;")"</f>
        <v>(Ação da Excelsior|Ações da Excelsior|BAUH4)</v>
      </c>
    </row>
    <row r="127">
      <c r="A127" s="2">
        <v>1.0</v>
      </c>
      <c r="B127" s="2" t="s">
        <v>1444</v>
      </c>
      <c r="C127" s="2" t="s">
        <v>1467</v>
      </c>
      <c r="D127" s="2" t="s">
        <v>1475</v>
      </c>
      <c r="E127" s="2" t="s">
        <v>369</v>
      </c>
      <c r="F127" s="2" t="s">
        <v>1481</v>
      </c>
      <c r="G127" s="2" t="s">
        <v>1001</v>
      </c>
      <c r="H127" s="22" t="str">
        <f>VLOOKUP(E127,'Lista Infomoney'!B:H,2,FALSE)</f>
        <v>JBSS3F</v>
      </c>
      <c r="I127" s="22" t="str">
        <f>VLOOKUP(E127,'Lista Infomoney'!B:F,3,FALSE)</f>
        <v>JBSS3</v>
      </c>
      <c r="J127" s="6" t="str">
        <f>VLOOKUP(E127,'Lista Infomoney'!B:F,4,FALSE)</f>
        <v/>
      </c>
      <c r="K127" s="6" t="str">
        <f>VLOOKUP(E127,'Lista Infomoney'!B:F,5,FALSE)</f>
        <v/>
      </c>
      <c r="V127" s="6" t="str">
        <f>"(Ação da JBS|Ações da JBS|"&amp;H127&amp;"|"&amp;I127&amp;")"</f>
        <v>(Ação da JBS|Ações da JBS|JBSS3F|JBSS3)</v>
      </c>
    </row>
    <row r="128">
      <c r="A128" s="2">
        <v>1.0</v>
      </c>
      <c r="B128" s="2" t="s">
        <v>1444</v>
      </c>
      <c r="C128" s="2" t="s">
        <v>1467</v>
      </c>
      <c r="D128" s="2" t="s">
        <v>1475</v>
      </c>
      <c r="E128" s="2" t="s">
        <v>1482</v>
      </c>
      <c r="F128" s="2" t="s">
        <v>1483</v>
      </c>
      <c r="G128" s="2" t="s">
        <v>1001</v>
      </c>
      <c r="H128" s="22" t="str">
        <f>VLOOKUP(E128,'Lista Infomoney'!B:H,2,FALSE)</f>
        <v>MRFG3F</v>
      </c>
      <c r="I128" s="22" t="str">
        <f>VLOOKUP(E128,'Lista Infomoney'!B:F,3,FALSE)</f>
        <v>MRFG3</v>
      </c>
      <c r="J128" s="6" t="str">
        <f>VLOOKUP(E128,'Lista Infomoney'!B:F,4,FALSE)</f>
        <v/>
      </c>
      <c r="K128" s="6" t="str">
        <f>VLOOKUP(E128,'Lista Infomoney'!B:F,5,FALSE)</f>
        <v/>
      </c>
      <c r="V128" s="6" t="str">
        <f>"(Ação de Marfrig|Ações de Marfrig|"&amp;H128&amp;"|"&amp;I128&amp;")"</f>
        <v>(Ação de Marfrig|Ações de Marfrig|MRFG3F|MRFG3)</v>
      </c>
    </row>
    <row r="129">
      <c r="A129" s="2">
        <v>1.0</v>
      </c>
      <c r="B129" s="2" t="s">
        <v>1444</v>
      </c>
      <c r="C129" s="2" t="s">
        <v>1467</v>
      </c>
      <c r="D129" s="2" t="s">
        <v>1475</v>
      </c>
      <c r="E129" s="2" t="s">
        <v>1484</v>
      </c>
      <c r="F129" s="2" t="s">
        <v>1485</v>
      </c>
      <c r="G129" s="2" t="s">
        <v>1001</v>
      </c>
      <c r="H129" s="22" t="str">
        <f>VLOOKUP(E129,'Lista Infomoney'!B:H,2,FALSE)</f>
        <v>BEEF3F</v>
      </c>
      <c r="I129" s="22" t="str">
        <f>VLOOKUP(E129,'Lista Infomoney'!B:F,3,FALSE)</f>
        <v>BEEF3</v>
      </c>
      <c r="J129" s="22" t="str">
        <f>VLOOKUP(E129,'Lista Infomoney'!B:F,4,FALSE)</f>
        <v>BEEF11</v>
      </c>
      <c r="K129" s="6" t="str">
        <f>VLOOKUP(E129,'Lista Infomoney'!B:F,5,FALSE)</f>
        <v/>
      </c>
      <c r="V129" s="6" t="str">
        <f>"(Ação de Minerva|Ações de Minerva|"&amp;H129&amp;"|"&amp;I129&amp;"|"&amp;J129&amp;")"</f>
        <v>(Ação de Minerva|Ações de Minerva|BEEF3F|BEEF3|BEEF11)</v>
      </c>
    </row>
    <row r="130">
      <c r="A130" s="2">
        <v>2.0</v>
      </c>
      <c r="B130" s="2" t="s">
        <v>1444</v>
      </c>
      <c r="C130" s="2" t="s">
        <v>1467</v>
      </c>
      <c r="D130" s="2" t="s">
        <v>1475</v>
      </c>
      <c r="E130" s="2" t="s">
        <v>1486</v>
      </c>
      <c r="F130" s="2" t="s">
        <v>1487</v>
      </c>
      <c r="G130" s="2"/>
      <c r="H130" s="25" t="s">
        <v>1488</v>
      </c>
      <c r="V130" s="6" t="str">
        <f>"(Ação de Minupar|Ações de Minupar|"&amp;H130&amp;")"</f>
        <v>(Ação de Minupar|Ações de Minupar|MNPR3)</v>
      </c>
    </row>
    <row r="131">
      <c r="A131" s="2">
        <v>1.0</v>
      </c>
      <c r="B131" s="2" t="s">
        <v>1444</v>
      </c>
      <c r="C131" s="2" t="s">
        <v>1467</v>
      </c>
      <c r="D131" s="2" t="s">
        <v>1489</v>
      </c>
      <c r="E131" s="2" t="s">
        <v>341</v>
      </c>
      <c r="F131" s="2" t="s">
        <v>1490</v>
      </c>
      <c r="G131" s="2" t="s">
        <v>1001</v>
      </c>
      <c r="H131" s="22" t="str">
        <f>VLOOKUP(E131,'Lista Infomoney'!B:H,2,FALSE)</f>
        <v>CAML3F</v>
      </c>
      <c r="I131" s="22" t="str">
        <f>VLOOKUP(E131,'Lista Infomoney'!B:F,3,FALSE)</f>
        <v>CAML3</v>
      </c>
      <c r="J131" s="6" t="str">
        <f>VLOOKUP(E131,'Lista Infomoney'!B:F,4,FALSE)</f>
        <v/>
      </c>
      <c r="K131" s="6" t="str">
        <f>VLOOKUP(E131,'Lista Infomoney'!B:F,5,FALSE)</f>
        <v/>
      </c>
      <c r="V131" s="6" t="str">
        <f>"(Ação da Camil|Ações da Camil|"&amp;H131&amp;"|"&amp;I131&amp;")"</f>
        <v>(Ação da Camil|Ações da Camil|CAML3F|CAML3)</v>
      </c>
    </row>
    <row r="132">
      <c r="A132" s="2">
        <v>2.0</v>
      </c>
      <c r="B132" s="2" t="s">
        <v>1444</v>
      </c>
      <c r="C132" s="2" t="s">
        <v>1467</v>
      </c>
      <c r="D132" s="2" t="s">
        <v>1489</v>
      </c>
      <c r="E132" s="2" t="s">
        <v>1491</v>
      </c>
      <c r="F132" s="24" t="s">
        <v>1492</v>
      </c>
      <c r="G132" s="2"/>
      <c r="H132" s="6" t="s">
        <v>1492</v>
      </c>
      <c r="V132" s="6" t="str">
        <f>"(Ação da J.Macedo|Ações da J.Macedo|"&amp;H132&amp;")"</f>
        <v>(Ação da J.Macedo|Ações da J.Macedo|JMCD)</v>
      </c>
    </row>
    <row r="133">
      <c r="A133" s="2">
        <v>2.0</v>
      </c>
      <c r="B133" s="2" t="s">
        <v>1444</v>
      </c>
      <c r="C133" s="2" t="s">
        <v>1467</v>
      </c>
      <c r="D133" s="2" t="s">
        <v>1489</v>
      </c>
      <c r="E133" s="2" t="s">
        <v>1493</v>
      </c>
      <c r="F133" s="2" t="s">
        <v>1494</v>
      </c>
      <c r="G133" s="2"/>
      <c r="H133" s="25" t="s">
        <v>1495</v>
      </c>
      <c r="V133" s="6" t="str">
        <f>"(Ação da Josapar|Ações da Josapar|"&amp;H133&amp;")"</f>
        <v>(Ação da Josapar|Ações da Josapar|JOPA3)</v>
      </c>
    </row>
    <row r="134">
      <c r="A134" s="2">
        <v>1.0</v>
      </c>
      <c r="B134" s="2" t="s">
        <v>1444</v>
      </c>
      <c r="C134" s="2" t="s">
        <v>1467</v>
      </c>
      <c r="D134" s="2" t="s">
        <v>1489</v>
      </c>
      <c r="E134" s="2" t="s">
        <v>1496</v>
      </c>
      <c r="F134" s="2" t="s">
        <v>1497</v>
      </c>
      <c r="G134" s="2" t="s">
        <v>1001</v>
      </c>
      <c r="H134" s="22" t="str">
        <f>VLOOKUP(E134,'Lista Infomoney'!B:H,2,FALSE)</f>
        <v>MDIA3F</v>
      </c>
      <c r="I134" s="22" t="str">
        <f>VLOOKUP(E134,'Lista Infomoney'!B:F,3,FALSE)</f>
        <v>MDIA3</v>
      </c>
      <c r="J134" s="6" t="str">
        <f>VLOOKUP(E134,'Lista Infomoney'!B:F,4,FALSE)</f>
        <v/>
      </c>
      <c r="K134" s="6" t="str">
        <f>VLOOKUP(E134,'Lista Infomoney'!B:F,5,FALSE)</f>
        <v/>
      </c>
      <c r="V134" s="6" t="str">
        <f>"(Ação da M Dias Branco|Ações da M Dias Branco|"&amp;H134&amp;"|"&amp;I134&amp;")"</f>
        <v>(Ação da M Dias Branco|Ações da M Dias Branco|MDIA3F|MDIA3)</v>
      </c>
    </row>
    <row r="135">
      <c r="A135" s="2">
        <v>2.0</v>
      </c>
      <c r="B135" s="2" t="s">
        <v>1444</v>
      </c>
      <c r="C135" s="2" t="s">
        <v>1467</v>
      </c>
      <c r="D135" s="2" t="s">
        <v>1489</v>
      </c>
      <c r="E135" s="2" t="s">
        <v>1498</v>
      </c>
      <c r="F135" s="2" t="s">
        <v>1499</v>
      </c>
      <c r="G135" s="2"/>
      <c r="H135" s="25" t="s">
        <v>1500</v>
      </c>
      <c r="I135" s="2" t="s">
        <v>1501</v>
      </c>
      <c r="V135" s="6" t="str">
        <f>"(Ação da Oderich|Ações da Oderich|"&amp;H135&amp;"|"&amp;I135&amp;")"</f>
        <v>(Ação da Oderich|Ações da Oderich|ODER3|ODER4)</v>
      </c>
    </row>
    <row r="136">
      <c r="A136" s="2">
        <v>2.0</v>
      </c>
      <c r="B136" s="2" t="s">
        <v>1444</v>
      </c>
      <c r="C136" s="2" t="s">
        <v>1502</v>
      </c>
      <c r="D136" s="2" t="s">
        <v>1503</v>
      </c>
      <c r="E136" s="2" t="s">
        <v>1504</v>
      </c>
      <c r="F136" s="2" t="s">
        <v>1505</v>
      </c>
      <c r="G136" s="2"/>
      <c r="H136" s="2" t="s">
        <v>1506</v>
      </c>
      <c r="V136" s="6" t="str">
        <f>"(Ação da Ambev|Ações da Ambev|"&amp;H136&amp;")"</f>
        <v>(Ação da Ambev|Ações da Ambev|ABEV3)</v>
      </c>
    </row>
    <row r="137">
      <c r="A137" s="2">
        <v>1.0</v>
      </c>
      <c r="B137" s="2" t="s">
        <v>1444</v>
      </c>
      <c r="C137" s="2" t="s">
        <v>1507</v>
      </c>
      <c r="D137" s="2" t="s">
        <v>1508</v>
      </c>
      <c r="E137" s="2" t="s">
        <v>363</v>
      </c>
      <c r="F137" s="2" t="s">
        <v>1509</v>
      </c>
      <c r="G137" s="2" t="s">
        <v>1001</v>
      </c>
      <c r="H137" s="22" t="str">
        <f>VLOOKUP(E137,'Lista Infomoney'!B:H,2,FALSE)</f>
        <v>NTCO3F</v>
      </c>
      <c r="I137" s="22" t="str">
        <f>VLOOKUP(E137,'Lista Infomoney'!B:F,3,FALSE)</f>
        <v>NTCO3</v>
      </c>
      <c r="J137" s="6" t="str">
        <f>VLOOKUP(E137,'Lista Infomoney'!B:F,4,FALSE)</f>
        <v/>
      </c>
      <c r="K137" s="6" t="str">
        <f>VLOOKUP(E137,'Lista Infomoney'!B:F,5,FALSE)</f>
        <v/>
      </c>
      <c r="V137" s="6" t="str">
        <f>"(Ação do Grupo Natura|Ações do Grupo Natura|"&amp;H137&amp;"|"&amp;I137&amp;")"</f>
        <v>(Ação do Grupo Natura|Ações do Grupo Natura|NTCO3F|NTCO3)</v>
      </c>
    </row>
    <row r="138">
      <c r="A138" s="2">
        <v>2.0</v>
      </c>
      <c r="B138" s="2" t="s">
        <v>1444</v>
      </c>
      <c r="C138" s="2" t="s">
        <v>1507</v>
      </c>
      <c r="D138" s="2" t="s">
        <v>1510</v>
      </c>
      <c r="E138" s="2" t="s">
        <v>1511</v>
      </c>
      <c r="F138" s="2" t="s">
        <v>1512</v>
      </c>
      <c r="G138" s="2"/>
      <c r="H138" s="25" t="s">
        <v>1513</v>
      </c>
      <c r="V138" s="6" t="str">
        <f>"(Ações da Bombril|Ações da Bombril|"&amp;H138&amp;")"</f>
        <v>(Ações da Bombril|Ações da Bombril|BOBR4)</v>
      </c>
    </row>
    <row r="139">
      <c r="A139" s="2">
        <v>1.0</v>
      </c>
      <c r="B139" s="2" t="s">
        <v>1444</v>
      </c>
      <c r="C139" s="2" t="s">
        <v>1514</v>
      </c>
      <c r="D139" s="2" t="s">
        <v>1515</v>
      </c>
      <c r="E139" s="2" t="s">
        <v>356</v>
      </c>
      <c r="F139" s="2" t="s">
        <v>1516</v>
      </c>
      <c r="G139" s="2" t="s">
        <v>1001</v>
      </c>
      <c r="H139" s="22" t="str">
        <f>VLOOKUP(E139,'Lista Infomoney'!B:H,2,FALSE)</f>
        <v>CRFB3F</v>
      </c>
      <c r="I139" s="22" t="str">
        <f>VLOOKUP(E139,'Lista Infomoney'!B:F,3,FALSE)</f>
        <v>CRFB3</v>
      </c>
      <c r="J139" s="6" t="str">
        <f>VLOOKUP(E139,'Lista Infomoney'!B:F,4,FALSE)</f>
        <v/>
      </c>
      <c r="K139" s="6" t="str">
        <f>VLOOKUP(E139,'Lista Infomoney'!B:F,5,FALSE)</f>
        <v/>
      </c>
      <c r="V139" s="6" t="str">
        <f>"(Ação do Carrefour|Ações do Carrefour|"&amp;H139&amp;"|"&amp;I139&amp;")"</f>
        <v>(Ação do Carrefour|Ações do Carrefour|CRFB3F|CRFB3)</v>
      </c>
    </row>
    <row r="140">
      <c r="A140" s="2">
        <v>2.0</v>
      </c>
      <c r="B140" s="2" t="s">
        <v>1444</v>
      </c>
      <c r="C140" s="2" t="s">
        <v>1514</v>
      </c>
      <c r="D140" s="2" t="s">
        <v>1515</v>
      </c>
      <c r="E140" s="2" t="s">
        <v>1517</v>
      </c>
      <c r="F140" s="2" t="s">
        <v>1518</v>
      </c>
      <c r="G140" s="2" t="s">
        <v>1001</v>
      </c>
      <c r="H140" s="2" t="s">
        <v>1519</v>
      </c>
      <c r="V140" s="6" t="str">
        <f>"(Ação do Grupo Mateus|Ações do Grupo Mateus|"&amp;H140&amp;")"</f>
        <v>(Ação do Grupo Mateus|Ações do Grupo Mateus|GMAT3)</v>
      </c>
    </row>
    <row r="141">
      <c r="A141" s="2">
        <v>1.0</v>
      </c>
      <c r="B141" s="2" t="s">
        <v>1444</v>
      </c>
      <c r="C141" s="2" t="s">
        <v>1514</v>
      </c>
      <c r="D141" s="2" t="s">
        <v>1515</v>
      </c>
      <c r="E141" s="2" t="s">
        <v>359</v>
      </c>
      <c r="F141" s="2" t="s">
        <v>1520</v>
      </c>
      <c r="G141" s="2" t="s">
        <v>1029</v>
      </c>
      <c r="H141" s="22" t="str">
        <f>VLOOKUP(E141,'Lista Infomoney'!B:H,2,FALSE)</f>
        <v>PCAR3F</v>
      </c>
      <c r="I141" s="22" t="str">
        <f>VLOOKUP(E141,'Lista Infomoney'!B:F,3,FALSE)</f>
        <v>PCAR4F</v>
      </c>
      <c r="J141" s="22" t="str">
        <f>VLOOKUP(E141,'Lista Infomoney'!B:F,4,FALSE)</f>
        <v>PCAR3</v>
      </c>
      <c r="K141" s="6" t="str">
        <f>VLOOKUP(E141,'Lista Infomoney'!B:F,5,FALSE)</f>
        <v/>
      </c>
      <c r="V141" s="6" t="str">
        <f>"(Ação do Pão de Açúcar|Ações do Pão de Açúcar|"&amp;H141&amp;"|"&amp;I141&amp;"|"&amp;J141&amp;")"</f>
        <v>(Ação do Pão de Açúcar|Ações do Pão de Açúcar|PCAR3F|PCAR4F|PCAR3)</v>
      </c>
    </row>
    <row r="142">
      <c r="A142" s="2">
        <v>2.0</v>
      </c>
      <c r="B142" s="2" t="s">
        <v>165</v>
      </c>
      <c r="C142" s="2" t="s">
        <v>1521</v>
      </c>
      <c r="D142" s="2" t="s">
        <v>1522</v>
      </c>
      <c r="E142" s="2" t="s">
        <v>1523</v>
      </c>
      <c r="F142" s="2" t="s">
        <v>1524</v>
      </c>
      <c r="G142" s="2"/>
      <c r="H142" s="2" t="s">
        <v>1525</v>
      </c>
      <c r="I142" s="2" t="s">
        <v>1526</v>
      </c>
      <c r="V142" s="6" t="str">
        <f>"(Ação da Const a Lind|Ações da Const a Lind|"&amp;H142&amp;"|"&amp;I142&amp;")"</f>
        <v>(Ação da Const a Lind|Ações da Const a Lind|CALI3|CALI4)</v>
      </c>
    </row>
    <row r="143">
      <c r="A143" s="2">
        <v>2.0</v>
      </c>
      <c r="B143" s="2" t="s">
        <v>165</v>
      </c>
      <c r="C143" s="2" t="s">
        <v>1521</v>
      </c>
      <c r="D143" s="2" t="s">
        <v>1522</v>
      </c>
      <c r="E143" s="2" t="s">
        <v>1527</v>
      </c>
      <c r="F143" s="2" t="s">
        <v>1528</v>
      </c>
      <c r="G143" s="2" t="s">
        <v>1001</v>
      </c>
      <c r="H143" s="2" t="s">
        <v>1529</v>
      </c>
      <c r="I143" s="2" t="s">
        <v>1530</v>
      </c>
      <c r="V143" s="6" t="str">
        <f>"(Ação da CR2|Ações da CR2|"&amp;H143&amp;"|"&amp;I143&amp;")"</f>
        <v>(Ação da CR2|Ações da CR2|CRDE3|CRDE3F)</v>
      </c>
    </row>
    <row r="144">
      <c r="A144" s="2">
        <v>1.0</v>
      </c>
      <c r="B144" s="2" t="s">
        <v>165</v>
      </c>
      <c r="C144" s="2" t="s">
        <v>1521</v>
      </c>
      <c r="D144" s="2" t="s">
        <v>1522</v>
      </c>
      <c r="E144" s="2" t="s">
        <v>16</v>
      </c>
      <c r="F144" s="2" t="s">
        <v>1531</v>
      </c>
      <c r="G144" s="2" t="s">
        <v>1001</v>
      </c>
      <c r="H144" s="22" t="str">
        <f>VLOOKUP(E144,'Lista Infomoney'!B:H,2,FALSE)</f>
        <v>CURY3</v>
      </c>
      <c r="I144" s="6" t="str">
        <f>VLOOKUP(E144,'Lista Infomoney'!B:F,3,FALSE)</f>
        <v/>
      </c>
      <c r="J144" s="6" t="str">
        <f>VLOOKUP(E144,'Lista Infomoney'!B:F,4,FALSE)</f>
        <v/>
      </c>
      <c r="K144" s="6" t="str">
        <f>VLOOKUP(E144,'Lista Infomoney'!B:F,5,FALSE)</f>
        <v/>
      </c>
      <c r="V144" s="6" t="str">
        <f>"(Ação da Cury SA|Ações da Cury SA|"&amp;H144&amp;")"</f>
        <v>(Ação da Cury SA|Ações da Cury SA|CURY3)</v>
      </c>
    </row>
    <row r="145">
      <c r="A145" s="2">
        <v>1.0</v>
      </c>
      <c r="B145" s="2" t="s">
        <v>165</v>
      </c>
      <c r="C145" s="2" t="s">
        <v>1521</v>
      </c>
      <c r="D145" s="2" t="s">
        <v>1522</v>
      </c>
      <c r="E145" s="2" t="s">
        <v>312</v>
      </c>
      <c r="F145" s="2" t="s">
        <v>1532</v>
      </c>
      <c r="G145" s="2" t="s">
        <v>1001</v>
      </c>
      <c r="H145" s="22" t="str">
        <f>VLOOKUP(E145,'Lista Infomoney'!B:H,2,FALSE)</f>
        <v>CYRE3</v>
      </c>
      <c r="I145" s="2" t="s">
        <v>1533</v>
      </c>
      <c r="J145" s="6" t="str">
        <f>VLOOKUP(E145,'Lista Infomoney'!B:F,4,FALSE)</f>
        <v/>
      </c>
      <c r="K145" s="6" t="str">
        <f>VLOOKUP(E145,'Lista Infomoney'!B:F,5,FALSE)</f>
        <v/>
      </c>
      <c r="V145" s="6" t="str">
        <f>"(Ação da Cyrela Realty|Ações da Cyrela Realty|"&amp;H145&amp;"|"&amp;I145&amp;")"</f>
        <v>(Ação da Cyrela Realty|Ações da Cyrela Realty|CYRE3|CYRE3F)</v>
      </c>
    </row>
    <row r="146">
      <c r="A146" s="2">
        <v>1.0</v>
      </c>
      <c r="B146" s="2" t="s">
        <v>165</v>
      </c>
      <c r="C146" s="2" t="s">
        <v>1521</v>
      </c>
      <c r="D146" s="2" t="s">
        <v>1522</v>
      </c>
      <c r="E146" s="2" t="s">
        <v>1534</v>
      </c>
      <c r="F146" s="2" t="s">
        <v>1535</v>
      </c>
      <c r="G146" s="2" t="s">
        <v>1001</v>
      </c>
      <c r="H146" s="22" t="str">
        <f>VLOOKUP(E146,'Lista Infomoney'!B:H,2,FALSE)</f>
        <v>DIRR3F</v>
      </c>
      <c r="I146" s="22" t="str">
        <f>VLOOKUP(E146,'Lista Infomoney'!B:F,3,FALSE)</f>
        <v>DIRR3</v>
      </c>
      <c r="J146" s="6" t="str">
        <f>VLOOKUP(E146,'Lista Infomoney'!B:F,4,FALSE)</f>
        <v/>
      </c>
      <c r="K146" s="6" t="str">
        <f>VLOOKUP(E146,'Lista Infomoney'!B:F,5,FALSE)</f>
        <v/>
      </c>
      <c r="V146" s="6" t="str">
        <f>"(Ação da Direcional|Ações da Direcional|"&amp;H146&amp;"|"&amp;I146&amp;")"</f>
        <v>(Ação da Direcional|Ações da Direcional|DIRR3F|DIRR3)</v>
      </c>
    </row>
    <row r="147">
      <c r="A147" s="2">
        <v>1.0</v>
      </c>
      <c r="B147" s="2" t="s">
        <v>165</v>
      </c>
      <c r="C147" s="2" t="s">
        <v>1521</v>
      </c>
      <c r="D147" s="2" t="s">
        <v>1522</v>
      </c>
      <c r="E147" s="2" t="s">
        <v>1536</v>
      </c>
      <c r="F147" s="2" t="s">
        <v>1536</v>
      </c>
      <c r="G147" s="2" t="s">
        <v>1001</v>
      </c>
      <c r="H147" s="22" t="str">
        <f>VLOOKUP(E147,'Lista Infomoney'!B:H,2,FALSE)</f>
        <v>EVEN3F</v>
      </c>
      <c r="I147" s="22" t="str">
        <f>VLOOKUP(E147,'Lista Infomoney'!B:F,3,FALSE)</f>
        <v>EVEN3</v>
      </c>
      <c r="J147" s="6" t="str">
        <f>VLOOKUP(E147,'Lista Infomoney'!B:F,4,FALSE)</f>
        <v/>
      </c>
      <c r="K147" s="6" t="str">
        <f>VLOOKUP(E147,'Lista Infomoney'!B:F,5,FALSE)</f>
        <v/>
      </c>
      <c r="V147" s="6" t="str">
        <f>"(Ação da Even|Ações da Even|"&amp;H147&amp;"|"&amp;I147&amp;")"</f>
        <v>(Ação da Even|Ações da Even|EVEN3F|EVEN3)</v>
      </c>
    </row>
    <row r="148">
      <c r="A148" s="2">
        <v>1.0</v>
      </c>
      <c r="B148" s="2" t="s">
        <v>165</v>
      </c>
      <c r="C148" s="2" t="s">
        <v>1521</v>
      </c>
      <c r="D148" s="2" t="s">
        <v>1522</v>
      </c>
      <c r="E148" s="2" t="s">
        <v>263</v>
      </c>
      <c r="F148" s="2" t="s">
        <v>1537</v>
      </c>
      <c r="G148" s="2" t="s">
        <v>1001</v>
      </c>
      <c r="H148" s="22" t="str">
        <f>VLOOKUP(E148,'Lista Infomoney'!B:H,2,FALSE)</f>
        <v>EZTC3F</v>
      </c>
      <c r="I148" s="22" t="str">
        <f>VLOOKUP(E148,'Lista Infomoney'!B:F,3,FALSE)</f>
        <v>EZTC3</v>
      </c>
      <c r="J148" s="6" t="str">
        <f>VLOOKUP(E148,'Lista Infomoney'!B:F,4,FALSE)</f>
        <v/>
      </c>
      <c r="K148" s="6" t="str">
        <f>VLOOKUP(E148,'Lista Infomoney'!B:F,5,FALSE)</f>
        <v/>
      </c>
      <c r="V148" s="6" t="str">
        <f>"(Ação da Ez Tec|Ações da Ez Tec|"&amp;H148&amp;"|"&amp;I148&amp;")"</f>
        <v>(Ação da Ez Tec|Ações da Ez Tec|EZTC3F|EZTC3)</v>
      </c>
    </row>
    <row r="149">
      <c r="A149" s="2">
        <v>1.0</v>
      </c>
      <c r="B149" s="2" t="s">
        <v>165</v>
      </c>
      <c r="C149" s="2" t="s">
        <v>1521</v>
      </c>
      <c r="D149" s="2" t="s">
        <v>1522</v>
      </c>
      <c r="E149" s="2" t="s">
        <v>1538</v>
      </c>
      <c r="F149" s="27" t="s">
        <v>1539</v>
      </c>
      <c r="G149" s="2" t="s">
        <v>1001</v>
      </c>
      <c r="H149" s="22" t="str">
        <f>VLOOKUP(E149,'Lista Infomoney'!B:H,2,FALSE)</f>
        <v>GFSA3</v>
      </c>
      <c r="I149" s="22" t="str">
        <f>VLOOKUP(E149,'Lista Infomoney'!B:F,3,FALSE)</f>
        <v>GFSA3F</v>
      </c>
      <c r="J149" s="6" t="str">
        <f>VLOOKUP(E149,'Lista Infomoney'!B:F,4,FALSE)</f>
        <v/>
      </c>
      <c r="K149" s="6" t="str">
        <f>VLOOKUP(E149,'Lista Infomoney'!B:F,5,FALSE)</f>
        <v/>
      </c>
      <c r="V149" s="6" t="str">
        <f>"(Ações da Gafisa|Ações da Gafisa|"&amp;H149&amp;"|"&amp;I149&amp;")"</f>
        <v>(Ações da Gafisa|Ações da Gafisa|GFSA3|GFSA3F)</v>
      </c>
    </row>
    <row r="150">
      <c r="A150" s="2">
        <v>1.0</v>
      </c>
      <c r="B150" s="2" t="s">
        <v>165</v>
      </c>
      <c r="C150" s="2" t="s">
        <v>1521</v>
      </c>
      <c r="D150" s="2" t="s">
        <v>1522</v>
      </c>
      <c r="E150" s="2" t="s">
        <v>1540</v>
      </c>
      <c r="F150" s="2" t="s">
        <v>1541</v>
      </c>
      <c r="G150" s="2" t="s">
        <v>1001</v>
      </c>
      <c r="H150" s="22" t="str">
        <f>VLOOKUP(E150,'Lista Infomoney'!B:H,2,FALSE)</f>
        <v>HBOR3F</v>
      </c>
      <c r="I150" s="22" t="str">
        <f>VLOOKUP(E150,'Lista Infomoney'!B:F,3,FALSE)</f>
        <v>HBOR3</v>
      </c>
      <c r="J150" s="2" t="s">
        <v>1542</v>
      </c>
      <c r="K150" s="6" t="str">
        <f>VLOOKUP(E150,'Lista Infomoney'!B:F,5,FALSE)</f>
        <v/>
      </c>
      <c r="V150" s="6" t="str">
        <f>"(Ação da Helbor|Ações da Helbor|"&amp;H150&amp;"|"&amp;I150&amp;"|"&amp;J150&amp;")"</f>
        <v>(Ação da Helbor|Ações da Helbor|HBOR3F|HBOR3|HBOR9F)</v>
      </c>
    </row>
    <row r="151">
      <c r="A151" s="2">
        <v>2.0</v>
      </c>
      <c r="B151" s="2" t="s">
        <v>165</v>
      </c>
      <c r="C151" s="2" t="s">
        <v>1521</v>
      </c>
      <c r="D151" s="2" t="s">
        <v>1522</v>
      </c>
      <c r="E151" s="2" t="s">
        <v>1543</v>
      </c>
      <c r="F151" s="2" t="s">
        <v>1544</v>
      </c>
      <c r="G151" s="2" t="s">
        <v>1107</v>
      </c>
      <c r="H151" s="2" t="s">
        <v>1545</v>
      </c>
      <c r="V151" s="6" t="str">
        <f>"(Ação da Inter|Ações da Inter|"&amp;H151&amp;")"</f>
        <v>(Ação da Inter|Ações da Inter|INTT3)</v>
      </c>
    </row>
    <row r="152">
      <c r="A152" s="2">
        <v>1.0</v>
      </c>
      <c r="B152" s="2" t="s">
        <v>165</v>
      </c>
      <c r="C152" s="2" t="s">
        <v>1521</v>
      </c>
      <c r="D152" s="2" t="s">
        <v>1522</v>
      </c>
      <c r="E152" s="2" t="s">
        <v>252</v>
      </c>
      <c r="F152" s="2" t="s">
        <v>252</v>
      </c>
      <c r="G152" s="2" t="s">
        <v>1001</v>
      </c>
      <c r="H152" s="22" t="str">
        <f>VLOOKUP(E152,'Lista Infomoney'!B:H,2,FALSE)</f>
        <v>JHSF3F</v>
      </c>
      <c r="I152" s="22" t="str">
        <f>VLOOKUP(E152,'Lista Infomoney'!B:F,3,FALSE)</f>
        <v>JHSF3</v>
      </c>
      <c r="J152" s="6" t="str">
        <f>VLOOKUP(E152,'Lista Infomoney'!B:F,4,FALSE)</f>
        <v/>
      </c>
      <c r="K152" s="6" t="str">
        <f>VLOOKUP(E152,'Lista Infomoney'!B:F,5,FALSE)</f>
        <v/>
      </c>
      <c r="V152" s="6" t="str">
        <f>"(Ação da JHSF|Ações da JHSF|"&amp;H152&amp;"|"&amp;I152&amp;")"</f>
        <v>(Ação da JHSF|Ações da JHSF|JHSF3F|JHSF3)</v>
      </c>
    </row>
    <row r="153">
      <c r="A153" s="2">
        <v>2.0</v>
      </c>
      <c r="B153" s="2" t="s">
        <v>165</v>
      </c>
      <c r="C153" s="2" t="s">
        <v>1521</v>
      </c>
      <c r="D153" s="2" t="s">
        <v>1522</v>
      </c>
      <c r="E153" s="2" t="s">
        <v>1546</v>
      </c>
      <c r="F153" s="2" t="s">
        <v>1547</v>
      </c>
      <c r="G153" s="2"/>
      <c r="H153" s="2" t="s">
        <v>1548</v>
      </c>
      <c r="V153" s="6" t="str">
        <f>"(Ação da João Fortes|Ações da João Fortes|"&amp;H153&amp;")"</f>
        <v>(Ação da João Fortes|Ações da João Fortes|JFEN3)</v>
      </c>
    </row>
    <row r="154">
      <c r="A154" s="2">
        <v>1.0</v>
      </c>
      <c r="B154" s="2" t="s">
        <v>165</v>
      </c>
      <c r="C154" s="2" t="s">
        <v>1521</v>
      </c>
      <c r="D154" s="2" t="s">
        <v>1522</v>
      </c>
      <c r="E154" s="2" t="s">
        <v>24</v>
      </c>
      <c r="F154" s="2" t="s">
        <v>1549</v>
      </c>
      <c r="G154" s="2" t="s">
        <v>1001</v>
      </c>
      <c r="H154" s="22" t="str">
        <f>VLOOKUP(E154,'Lista Infomoney'!B:H,2,FALSE)</f>
        <v>LAVV3</v>
      </c>
      <c r="I154" s="6" t="str">
        <f>VLOOKUP(E154,'Lista Infomoney'!B:F,3,FALSE)</f>
        <v/>
      </c>
      <c r="J154" s="6" t="str">
        <f>VLOOKUP(E154,'Lista Infomoney'!B:F,4,FALSE)</f>
        <v/>
      </c>
      <c r="K154" s="6" t="str">
        <f>VLOOKUP(E154,'Lista Infomoney'!B:F,5,FALSE)</f>
        <v/>
      </c>
      <c r="V154" s="6" t="str">
        <f>"(Ação da Lavvi Incorporadora|Ações da Lavvi Incorporadora|"&amp;H154&amp;")"</f>
        <v>(Ação da Lavvi Incorporadora|Ações da Lavvi Incorporadora|LAVV3)</v>
      </c>
    </row>
    <row r="155">
      <c r="A155" s="2">
        <v>1.0</v>
      </c>
      <c r="B155" s="2" t="s">
        <v>165</v>
      </c>
      <c r="C155" s="2" t="s">
        <v>1521</v>
      </c>
      <c r="D155" s="2" t="s">
        <v>1522</v>
      </c>
      <c r="E155" s="2" t="s">
        <v>1550</v>
      </c>
      <c r="F155" s="2" t="s">
        <v>1551</v>
      </c>
      <c r="G155" s="2" t="s">
        <v>1001</v>
      </c>
      <c r="H155" s="22" t="str">
        <f>VLOOKUP(E155,'Lista Infomoney'!B:H,2,FALSE)</f>
        <v>MELK3</v>
      </c>
      <c r="I155" s="6" t="str">
        <f>VLOOKUP(E155,'Lista Infomoney'!B:F,3,FALSE)</f>
        <v/>
      </c>
      <c r="J155" s="6" t="str">
        <f>VLOOKUP(E155,'Lista Infomoney'!B:F,4,FALSE)</f>
        <v/>
      </c>
      <c r="K155" s="6" t="str">
        <f>VLOOKUP(E155,'Lista Infomoney'!B:F,5,FALSE)</f>
        <v/>
      </c>
      <c r="V155" s="6" t="str">
        <f>"(Ação da Melnick|Ações da Melnick|"&amp;H155&amp;")"</f>
        <v>(Ação da Melnick|Ações da Melnick|MELK3)</v>
      </c>
    </row>
    <row r="156">
      <c r="A156" s="2">
        <v>1.0</v>
      </c>
      <c r="B156" s="2" t="s">
        <v>165</v>
      </c>
      <c r="C156" s="2" t="s">
        <v>1521</v>
      </c>
      <c r="D156" s="2" t="s">
        <v>1522</v>
      </c>
      <c r="E156" s="2" t="s">
        <v>1552</v>
      </c>
      <c r="F156" s="2" t="s">
        <v>1553</v>
      </c>
      <c r="G156" s="2" t="s">
        <v>1001</v>
      </c>
      <c r="H156" s="22" t="str">
        <f>VLOOKUP(E156,'Lista Infomoney'!B:H,2,FALSE)</f>
        <v>MTRE3</v>
      </c>
      <c r="I156" s="6" t="str">
        <f>VLOOKUP(E156,'Lista Infomoney'!B:F,3,FALSE)</f>
        <v/>
      </c>
      <c r="J156" s="6" t="str">
        <f>VLOOKUP(E156,'Lista Infomoney'!B:F,4,FALSE)</f>
        <v/>
      </c>
      <c r="K156" s="6" t="str">
        <f>VLOOKUP(E156,'Lista Infomoney'!B:F,5,FALSE)</f>
        <v/>
      </c>
      <c r="V156" s="6" t="str">
        <f>"(Ação da Mitre Realty|Ações da Mitre Realty|"&amp;H156&amp;")"</f>
        <v>(Ação da Mitre Realty|Ações da Mitre Realty|MTRE3)</v>
      </c>
    </row>
    <row r="157">
      <c r="A157" s="2">
        <v>1.0</v>
      </c>
      <c r="B157" s="2" t="s">
        <v>165</v>
      </c>
      <c r="C157" s="2" t="s">
        <v>1521</v>
      </c>
      <c r="D157" s="2" t="s">
        <v>1522</v>
      </c>
      <c r="E157" s="2" t="s">
        <v>1554</v>
      </c>
      <c r="F157" s="2" t="s">
        <v>1555</v>
      </c>
      <c r="G157" s="2" t="s">
        <v>1001</v>
      </c>
      <c r="H157" s="22" t="str">
        <f>VLOOKUP(E157,'Lista Infomoney'!B:H,2,FALSE)</f>
        <v>MDNE3</v>
      </c>
      <c r="I157" s="6" t="str">
        <f>VLOOKUP(E157,'Lista Infomoney'!B:F,3,FALSE)</f>
        <v/>
      </c>
      <c r="J157" s="6" t="str">
        <f>VLOOKUP(E157,'Lista Infomoney'!B:F,4,FALSE)</f>
        <v/>
      </c>
      <c r="K157" s="6" t="str">
        <f>VLOOKUP(E157,'Lista Infomoney'!B:F,5,FALSE)</f>
        <v/>
      </c>
      <c r="V157" s="6" t="str">
        <f>"(Ação da Moura Dubeux|Ações da Moura Dubeux|"&amp;H157&amp;")"</f>
        <v>(Ação da Moura Dubeux|Ações da Moura Dubeux|MDNE3)</v>
      </c>
    </row>
    <row r="158">
      <c r="A158" s="2">
        <v>1.0</v>
      </c>
      <c r="B158" s="2" t="s">
        <v>165</v>
      </c>
      <c r="C158" s="2" t="s">
        <v>1521</v>
      </c>
      <c r="D158" s="2" t="s">
        <v>1522</v>
      </c>
      <c r="E158" s="2" t="s">
        <v>277</v>
      </c>
      <c r="F158" s="2" t="s">
        <v>1556</v>
      </c>
      <c r="G158" s="2" t="s">
        <v>1001</v>
      </c>
      <c r="H158" s="22" t="str">
        <f>VLOOKUP(E158,'Lista Infomoney'!B:H,2,FALSE)</f>
        <v>MRVE3F</v>
      </c>
      <c r="I158" s="22" t="str">
        <f>VLOOKUP(E158,'Lista Infomoney'!B:F,3,FALSE)</f>
        <v>MRVE3</v>
      </c>
      <c r="J158" s="6" t="str">
        <f>VLOOKUP(E158,'Lista Infomoney'!B:F,4,FALSE)</f>
        <v/>
      </c>
      <c r="K158" s="6" t="str">
        <f>VLOOKUP(E158,'Lista Infomoney'!B:F,5,FALSE)</f>
        <v/>
      </c>
      <c r="V158" s="6" t="str">
        <f>"(Ação da MRV Engenharia|Ações da MRV Engenharia|"&amp;H158&amp;"|"&amp;I158&amp;")"</f>
        <v>(Ação da MRV Engenharia|Ações da MRV Engenharia|MRVE3F|MRVE3)</v>
      </c>
    </row>
    <row r="159">
      <c r="A159" s="2">
        <v>1.0</v>
      </c>
      <c r="B159" s="2" t="s">
        <v>165</v>
      </c>
      <c r="C159" s="2" t="s">
        <v>1521</v>
      </c>
      <c r="D159" s="2" t="s">
        <v>1522</v>
      </c>
      <c r="E159" s="2" t="s">
        <v>258</v>
      </c>
      <c r="F159" s="2" t="s">
        <v>1557</v>
      </c>
      <c r="G159" s="2" t="s">
        <v>1001</v>
      </c>
      <c r="H159" s="22" t="str">
        <f>VLOOKUP(E159,'Lista Infomoney'!B:H,2,FALSE)</f>
        <v>PDGR3F</v>
      </c>
      <c r="I159" s="22" t="str">
        <f>VLOOKUP(E159,'Lista Infomoney'!B:F,3,FALSE)</f>
        <v>PDGR3</v>
      </c>
      <c r="J159" s="2" t="s">
        <v>1558</v>
      </c>
      <c r="K159" s="6" t="str">
        <f>VLOOKUP(E159,'Lista Infomoney'!B:F,5,FALSE)</f>
        <v/>
      </c>
      <c r="V159" s="6" t="str">
        <f>"(Ação da PDG Realty|Ações da PDG Realty|"&amp;H159&amp;"|"&amp;I159&amp;"|"&amp;J159&amp;")"</f>
        <v>(Ação da PDG Realty|Ações da PDG Realty|PDGR3F|PDGR3|PDGR11F)</v>
      </c>
    </row>
    <row r="160">
      <c r="A160" s="2">
        <v>1.0</v>
      </c>
      <c r="B160" s="2" t="s">
        <v>165</v>
      </c>
      <c r="C160" s="2" t="s">
        <v>1521</v>
      </c>
      <c r="D160" s="2" t="s">
        <v>1522</v>
      </c>
      <c r="E160" s="2" t="s">
        <v>18</v>
      </c>
      <c r="F160" s="2" t="s">
        <v>1559</v>
      </c>
      <c r="G160" s="2" t="s">
        <v>1001</v>
      </c>
      <c r="H160" s="22" t="str">
        <f>VLOOKUP(E160,'Lista Infomoney'!B:H,2,FALSE)</f>
        <v>PLPL3</v>
      </c>
      <c r="I160" s="6" t="str">
        <f>VLOOKUP(E160,'Lista Infomoney'!B:F,3,FALSE)</f>
        <v/>
      </c>
      <c r="J160" s="6" t="str">
        <f>VLOOKUP(E160,'Lista Infomoney'!B:F,4,FALSE)</f>
        <v/>
      </c>
      <c r="K160" s="6" t="str">
        <f>VLOOKUP(E160,'Lista Infomoney'!B:F,5,FALSE)</f>
        <v/>
      </c>
      <c r="V160" s="6" t="str">
        <f>"(Ação de Plano &amp; Plano|Ações de Plano &amp; Plano|"&amp;H160&amp;")"</f>
        <v>(Ação de Plano &amp; Plano|Ações de Plano &amp; Plano|PLPL3)</v>
      </c>
    </row>
    <row r="161">
      <c r="A161" s="2">
        <v>1.0</v>
      </c>
      <c r="B161" s="2" t="s">
        <v>165</v>
      </c>
      <c r="C161" s="2" t="s">
        <v>1521</v>
      </c>
      <c r="D161" s="2" t="s">
        <v>1522</v>
      </c>
      <c r="E161" s="2" t="s">
        <v>188</v>
      </c>
      <c r="F161" s="2" t="s">
        <v>1560</v>
      </c>
      <c r="G161" s="2" t="s">
        <v>1001</v>
      </c>
      <c r="H161" s="22" t="str">
        <f>VLOOKUP(E161,'Lista Infomoney'!B:H,2,FALSE)</f>
        <v>RDNI3F</v>
      </c>
      <c r="I161" s="22" t="str">
        <f>VLOOKUP(E161,'Lista Infomoney'!B:F,3,FALSE)</f>
        <v>RDNI3</v>
      </c>
      <c r="J161" s="6" t="str">
        <f>VLOOKUP(E161,'Lista Infomoney'!B:F,4,FALSE)</f>
        <v/>
      </c>
      <c r="K161" s="6" t="str">
        <f>VLOOKUP(E161,'Lista Infomoney'!B:F,5,FALSE)</f>
        <v/>
      </c>
      <c r="V161" s="6" t="str">
        <f>"(Ação da Rodobens|Ações da Rodobens|"&amp;H161&amp;"|"&amp;I161&amp;")"</f>
        <v>(Ação da Rodobens|Ações da Rodobens|RDNI3F|RDNI3)</v>
      </c>
    </row>
    <row r="162">
      <c r="A162" s="2">
        <v>1.0</v>
      </c>
      <c r="B162" s="2" t="s">
        <v>165</v>
      </c>
      <c r="C162" s="2" t="s">
        <v>1521</v>
      </c>
      <c r="D162" s="2" t="s">
        <v>1522</v>
      </c>
      <c r="E162" s="2" t="s">
        <v>1561</v>
      </c>
      <c r="F162" s="2" t="s">
        <v>1562</v>
      </c>
      <c r="G162" s="2" t="s">
        <v>1001</v>
      </c>
      <c r="H162" s="22" t="str">
        <f>VLOOKUP(E162,'Lista Infomoney'!B:H,2,FALSE)</f>
        <v>RSID3F</v>
      </c>
      <c r="I162" s="22" t="str">
        <f>VLOOKUP(E162,'Lista Infomoney'!B:F,3,FALSE)</f>
        <v>RSID3</v>
      </c>
      <c r="J162" s="6" t="str">
        <f>VLOOKUP(E162,'Lista Infomoney'!B:F,4,FALSE)</f>
        <v/>
      </c>
      <c r="K162" s="6" t="str">
        <f>VLOOKUP(E162,'Lista Infomoney'!B:F,5,FALSE)</f>
        <v/>
      </c>
      <c r="V162" s="6" t="str">
        <f>"(Ação da Rossi Resid|Ações da Rossi Resid|"&amp;H162&amp;"|"&amp;I162&amp;")"</f>
        <v>(Ação da Rossi Resid|Ações da Rossi Resid|RSID3F|RSID3)</v>
      </c>
    </row>
    <row r="163">
      <c r="A163" s="2">
        <v>1.0</v>
      </c>
      <c r="B163" s="2" t="s">
        <v>165</v>
      </c>
      <c r="C163" s="2" t="s">
        <v>1521</v>
      </c>
      <c r="D163" s="2" t="s">
        <v>1522</v>
      </c>
      <c r="E163" s="2" t="s">
        <v>1563</v>
      </c>
      <c r="F163" s="2" t="s">
        <v>1564</v>
      </c>
      <c r="G163" s="2" t="s">
        <v>1001</v>
      </c>
      <c r="H163" s="22" t="str">
        <f>VLOOKUP(E163,'Lista Infomoney'!B:H,2,FALSE)</f>
        <v>TCSA3F</v>
      </c>
      <c r="I163" s="2" t="s">
        <v>293</v>
      </c>
      <c r="J163" s="6" t="str">
        <f>VLOOKUP(E163,'Lista Infomoney'!B:F,4,FALSE)</f>
        <v/>
      </c>
      <c r="K163" s="6" t="str">
        <f>VLOOKUP(E163,'Lista Infomoney'!B:F,5,FALSE)</f>
        <v/>
      </c>
      <c r="V163" s="6" t="str">
        <f>"(Ação da Tecnisa|Ações da Tecnisa|"&amp;H163&amp;"|"&amp;I163&amp;")"</f>
        <v>(Ação da Tecnisa|Ações da Tecnisa|TCSA3F|TCSA3)</v>
      </c>
    </row>
    <row r="164">
      <c r="A164" s="2">
        <v>2.0</v>
      </c>
      <c r="B164" s="2" t="s">
        <v>165</v>
      </c>
      <c r="C164" s="2" t="s">
        <v>1521</v>
      </c>
      <c r="D164" s="2" t="s">
        <v>1522</v>
      </c>
      <c r="E164" s="2" t="s">
        <v>1565</v>
      </c>
      <c r="F164" s="2" t="s">
        <v>1566</v>
      </c>
      <c r="G164" s="2" t="s">
        <v>1001</v>
      </c>
      <c r="H164" s="2" t="s">
        <v>1567</v>
      </c>
      <c r="V164" s="6" t="str">
        <f>"(Ação da Tenda|Ações da Tenda|"&amp;H164&amp;")"</f>
        <v>(Ação da Tenda|Ações da Tenda|TEND3)</v>
      </c>
    </row>
    <row r="165">
      <c r="A165" s="2">
        <v>2.0</v>
      </c>
      <c r="B165" s="2" t="s">
        <v>165</v>
      </c>
      <c r="C165" s="2" t="s">
        <v>1521</v>
      </c>
      <c r="D165" s="2" t="s">
        <v>1522</v>
      </c>
      <c r="E165" s="2" t="s">
        <v>1568</v>
      </c>
      <c r="F165" s="2" t="s">
        <v>1569</v>
      </c>
      <c r="G165" s="2" t="s">
        <v>1001</v>
      </c>
      <c r="H165" s="2" t="s">
        <v>1570</v>
      </c>
      <c r="V165" s="6" t="str">
        <f>"(Ação da Triasul|Ações da Triasul|"&amp;H165&amp;")"</f>
        <v>(Ação da Triasul|Ações da Triasul|TRIS3)</v>
      </c>
    </row>
    <row r="166">
      <c r="A166" s="2">
        <v>2.0</v>
      </c>
      <c r="B166" s="2" t="s">
        <v>165</v>
      </c>
      <c r="C166" s="2" t="s">
        <v>1521</v>
      </c>
      <c r="D166" s="2" t="s">
        <v>1522</v>
      </c>
      <c r="E166" s="2" t="s">
        <v>1571</v>
      </c>
      <c r="F166" s="2" t="s">
        <v>1572</v>
      </c>
      <c r="G166" s="2" t="s">
        <v>1001</v>
      </c>
      <c r="H166" s="2" t="s">
        <v>1573</v>
      </c>
      <c r="V166" s="6" t="str">
        <f>"(Ação da Viver|Ações da Viver|"&amp;H166&amp;")"</f>
        <v>(Ação da Viver|Ações da Viver|VIVR3)</v>
      </c>
    </row>
    <row r="167">
      <c r="A167" s="2">
        <v>1.0</v>
      </c>
      <c r="B167" s="2" t="s">
        <v>165</v>
      </c>
      <c r="C167" s="2" t="s">
        <v>1574</v>
      </c>
      <c r="D167" s="2" t="s">
        <v>1575</v>
      </c>
      <c r="E167" s="2" t="s">
        <v>1576</v>
      </c>
      <c r="F167" s="2" t="s">
        <v>1577</v>
      </c>
      <c r="G167" s="2" t="s">
        <v>1029</v>
      </c>
      <c r="H167" s="22" t="str">
        <f>VLOOKUP(E167,'Lista Infomoney'!B:H,2,FALSE)</f>
        <v>CEDO4F</v>
      </c>
      <c r="I167" s="22" t="str">
        <f>VLOOKUP(E167,'Lista Infomoney'!B:F,3,FALSE)</f>
        <v>CEDO3F</v>
      </c>
      <c r="J167" s="2" t="s">
        <v>1578</v>
      </c>
      <c r="K167" s="2" t="s">
        <v>1579</v>
      </c>
      <c r="V167" s="6" t="str">
        <f>"(Ação da Cedro|Ações da Cedro|"&amp;H167&amp;"|"&amp;I167&amp;"|"&amp;J167&amp;"|"&amp;K167&amp;")"</f>
        <v>(Ação da Cedro|Ações da Cedro|CEDO4F|CEDO3F|CEDO4|CEDO3)</v>
      </c>
    </row>
    <row r="168">
      <c r="A168" s="2">
        <v>1.0</v>
      </c>
      <c r="B168" s="2" t="s">
        <v>165</v>
      </c>
      <c r="C168" s="2" t="s">
        <v>1574</v>
      </c>
      <c r="D168" s="2" t="s">
        <v>1575</v>
      </c>
      <c r="E168" s="2" t="s">
        <v>1580</v>
      </c>
      <c r="F168" s="2" t="s">
        <v>1581</v>
      </c>
      <c r="G168" s="2"/>
      <c r="H168" s="22" t="str">
        <f>VLOOKUP(E168,'Lista Infomoney'!B:H,2,FALSE)</f>
        <v>CTNM3F</v>
      </c>
      <c r="I168" s="22" t="str">
        <f>VLOOKUP(E168,'Lista Infomoney'!B:F,3,FALSE)</f>
        <v>CTNM4F</v>
      </c>
      <c r="J168" s="22" t="str">
        <f>VLOOKUP(E168,'Lista Infomoney'!B:F,4,FALSE)</f>
        <v>CTNM4</v>
      </c>
      <c r="K168" s="22" t="str">
        <f>VLOOKUP(E168,'Lista Infomoney'!B:F,5,FALSE)</f>
        <v>CTNM3</v>
      </c>
      <c r="V168" s="6" t="str">
        <f>"(Ação da Coteminas|Ações da Conteminas|"&amp;H168&amp;"|"&amp;I168&amp;"|"&amp;J168&amp;"|"&amp;K168&amp;")"</f>
        <v>(Ação da Coteminas|Ações da Conteminas|CTNM3F|CTNM4F|CTNM4|CTNM3)</v>
      </c>
    </row>
    <row r="169">
      <c r="A169" s="2">
        <v>2.0</v>
      </c>
      <c r="B169" s="2" t="s">
        <v>165</v>
      </c>
      <c r="C169" s="2" t="s">
        <v>1574</v>
      </c>
      <c r="D169" s="2" t="s">
        <v>1575</v>
      </c>
      <c r="E169" s="2" t="s">
        <v>1582</v>
      </c>
      <c r="F169" s="2" t="s">
        <v>1583</v>
      </c>
      <c r="G169" s="2"/>
      <c r="H169" s="2" t="s">
        <v>1584</v>
      </c>
      <c r="V169" s="6" t="str">
        <f>"(Ação da Dohler|Ações da Dohler|"&amp;H169&amp;")"</f>
        <v>(Ação da Dohler|Ações da Dohler|DOHL3)</v>
      </c>
    </row>
    <row r="170">
      <c r="A170" s="2">
        <v>2.0</v>
      </c>
      <c r="B170" s="2" t="s">
        <v>165</v>
      </c>
      <c r="C170" s="2" t="s">
        <v>1574</v>
      </c>
      <c r="D170" s="2" t="s">
        <v>1575</v>
      </c>
      <c r="E170" s="2" t="s">
        <v>1585</v>
      </c>
      <c r="F170" s="2" t="s">
        <v>1586</v>
      </c>
      <c r="G170" s="2"/>
      <c r="H170" s="2" t="s">
        <v>1587</v>
      </c>
      <c r="V170" s="6" t="str">
        <f>"(Ação da Encorpar|Ações da Encorpar|"&amp;H170&amp;")"</f>
        <v>(Ação da Encorpar|Ações da Encorpar|ECPR3)</v>
      </c>
    </row>
    <row r="171">
      <c r="A171" s="2">
        <v>2.0</v>
      </c>
      <c r="B171" s="2" t="s">
        <v>165</v>
      </c>
      <c r="C171" s="2" t="s">
        <v>1574</v>
      </c>
      <c r="D171" s="2" t="s">
        <v>1575</v>
      </c>
      <c r="E171" s="2" t="s">
        <v>1588</v>
      </c>
      <c r="F171" s="2" t="s">
        <v>1589</v>
      </c>
      <c r="G171" s="2"/>
      <c r="H171" s="2" t="s">
        <v>1590</v>
      </c>
      <c r="I171" s="2" t="s">
        <v>1591</v>
      </c>
      <c r="V171" s="6" t="str">
        <f>"(Ação da IND Cataguas|Ações da IND Cataguas|"&amp;H171&amp;"|"&amp;I171&amp;")"</f>
        <v>(Ação da IND Cataguas|Ações da IND Cataguas|CATA3|CATA4)</v>
      </c>
    </row>
    <row r="172">
      <c r="A172" s="2">
        <v>1.0</v>
      </c>
      <c r="B172" s="2" t="s">
        <v>165</v>
      </c>
      <c r="C172" s="2" t="s">
        <v>1574</v>
      </c>
      <c r="D172" s="2" t="s">
        <v>1575</v>
      </c>
      <c r="E172" s="2" t="s">
        <v>1592</v>
      </c>
      <c r="F172" s="2" t="s">
        <v>1593</v>
      </c>
      <c r="G172" s="2"/>
      <c r="H172" s="22" t="str">
        <f>VLOOKUP(E172,'Lista Infomoney'!B:H,2,FALSE)</f>
        <v>CTKA4F</v>
      </c>
      <c r="I172" s="22" t="str">
        <f>VLOOKUP(E172,'Lista Infomoney'!B:F,3,FALSE)</f>
        <v>CTKA3F</v>
      </c>
      <c r="J172" s="22" t="str">
        <f>VLOOKUP(E172,'Lista Infomoney'!B:F,4,FALSE)</f>
        <v>CTKA4</v>
      </c>
      <c r="K172" s="22" t="str">
        <f>VLOOKUP(E172,'Lista Infomoney'!B:F,5,FALSE)</f>
        <v>CTKA3</v>
      </c>
      <c r="V172" s="6" t="str">
        <f>"(Ação da Karsten|Ações da Karsten|"&amp;H172&amp;"|"&amp;I172&amp;"|"&amp;J172&amp;"|"&amp;K172&amp;")"</f>
        <v>(Ação da Karsten|Ações da Karsten|CTKA4F|CTKA3F|CTKA4|CTKA3)</v>
      </c>
    </row>
    <row r="173">
      <c r="A173" s="2">
        <v>2.0</v>
      </c>
      <c r="B173" s="2" t="s">
        <v>165</v>
      </c>
      <c r="C173" s="2" t="s">
        <v>1574</v>
      </c>
      <c r="D173" s="2" t="s">
        <v>1575</v>
      </c>
      <c r="E173" s="2" t="s">
        <v>1594</v>
      </c>
      <c r="F173" s="2" t="s">
        <v>1595</v>
      </c>
      <c r="G173" s="2"/>
      <c r="H173" s="2" t="s">
        <v>1596</v>
      </c>
      <c r="V173" s="6" t="str">
        <f>"(Ação da Pattenati|Ações da Pattenati|"&amp;H173&amp;")"</f>
        <v>(Ação da Pattenati|Ações da Pattenati|PTNT4)</v>
      </c>
    </row>
    <row r="174">
      <c r="A174" s="2">
        <v>2.0</v>
      </c>
      <c r="B174" s="2" t="s">
        <v>165</v>
      </c>
      <c r="C174" s="2" t="s">
        <v>1574</v>
      </c>
      <c r="D174" s="2" t="s">
        <v>1575</v>
      </c>
      <c r="E174" s="2" t="s">
        <v>1597</v>
      </c>
      <c r="F174" s="2" t="s">
        <v>1598</v>
      </c>
      <c r="G174" s="2"/>
      <c r="H174" s="2" t="s">
        <v>1599</v>
      </c>
      <c r="V174" s="6" t="str">
        <f>"(Ação da Santanense|Ações da Santanense|"&amp;H174&amp;")"</f>
        <v>(Ação da Santanense|Ações da Santanense|CTSA3)</v>
      </c>
    </row>
    <row r="175">
      <c r="A175" s="2">
        <v>2.0</v>
      </c>
      <c r="B175" s="2" t="s">
        <v>165</v>
      </c>
      <c r="C175" s="2" t="s">
        <v>1574</v>
      </c>
      <c r="D175" s="2" t="s">
        <v>1575</v>
      </c>
      <c r="E175" s="2" t="s">
        <v>1600</v>
      </c>
      <c r="F175" s="2" t="s">
        <v>1601</v>
      </c>
      <c r="G175" s="2" t="s">
        <v>1001</v>
      </c>
      <c r="H175" s="2" t="s">
        <v>1602</v>
      </c>
      <c r="V175" s="6" t="str">
        <f>"(Ação da Springs|Ações da Springs|"&amp;H175&amp;")"</f>
        <v>(Ação da Springs|Ações da Springs|SGPS3)</v>
      </c>
    </row>
    <row r="176">
      <c r="A176" s="2">
        <v>2.0</v>
      </c>
      <c r="B176" s="2" t="s">
        <v>165</v>
      </c>
      <c r="C176" s="2" t="s">
        <v>1574</v>
      </c>
      <c r="D176" s="2" t="s">
        <v>1575</v>
      </c>
      <c r="E176" s="2" t="s">
        <v>1603</v>
      </c>
      <c r="F176" s="2" t="s">
        <v>1603</v>
      </c>
      <c r="G176" s="2"/>
      <c r="H176" s="2" t="s">
        <v>1604</v>
      </c>
      <c r="V176" s="6" t="str">
        <f>"(Ação da Teka|Ações da Teka|"&amp;H176&amp;")"</f>
        <v>(Ação da Teka|Ações da Teka|TEKA4)</v>
      </c>
    </row>
    <row r="177">
      <c r="A177" s="2">
        <v>2.0</v>
      </c>
      <c r="B177" s="2" t="s">
        <v>165</v>
      </c>
      <c r="C177" s="2" t="s">
        <v>1574</v>
      </c>
      <c r="D177" s="2" t="s">
        <v>1575</v>
      </c>
      <c r="E177" s="2" t="s">
        <v>1605</v>
      </c>
      <c r="F177" s="2" t="s">
        <v>1606</v>
      </c>
      <c r="G177" s="2"/>
      <c r="H177" s="2" t="s">
        <v>1607</v>
      </c>
      <c r="V177" s="6" t="str">
        <f>"(Ação da Tex Renaux|Ações da Tex Renaux|"&amp;H177&amp;")"</f>
        <v>(Ação da Tex Renaux|Ações da Tex Renaux|TXRX4)</v>
      </c>
    </row>
    <row r="178">
      <c r="A178" s="2">
        <v>1.0</v>
      </c>
      <c r="B178" s="2" t="s">
        <v>165</v>
      </c>
      <c r="C178" s="2" t="s">
        <v>1574</v>
      </c>
      <c r="D178" s="2" t="s">
        <v>1608</v>
      </c>
      <c r="E178" s="2" t="s">
        <v>1609</v>
      </c>
      <c r="F178" s="2" t="s">
        <v>1610</v>
      </c>
      <c r="G178" s="2" t="s">
        <v>1001</v>
      </c>
      <c r="H178" s="22" t="str">
        <f>VLOOKUP(E178,'Lista Infomoney'!B:H,2,FALSE)</f>
        <v>HGTX3F</v>
      </c>
      <c r="I178" s="2" t="s">
        <v>1611</v>
      </c>
      <c r="J178" s="6" t="str">
        <f>VLOOKUP(E178,'Lista Infomoney'!B:F,4,FALSE)</f>
        <v/>
      </c>
      <c r="K178" s="6" t="str">
        <f>VLOOKUP(E178,'Lista Infomoney'!B:F,5,FALSE)</f>
        <v/>
      </c>
      <c r="V178" s="6" t="str">
        <f>"(Ação da Cia Hering|Ações da Cia Hering|"&amp;H178&amp;"|"&amp;I178&amp;")"</f>
        <v>(Ação da Cia Hering|Ações da Cia Hering|HGTX3F|HGTX3)</v>
      </c>
    </row>
    <row r="179">
      <c r="A179" s="2">
        <v>1.0</v>
      </c>
      <c r="B179" s="2" t="s">
        <v>165</v>
      </c>
      <c r="C179" s="2" t="s">
        <v>1574</v>
      </c>
      <c r="D179" s="2" t="s">
        <v>1612</v>
      </c>
      <c r="E179" s="2" t="s">
        <v>1613</v>
      </c>
      <c r="F179" s="2" t="s">
        <v>1614</v>
      </c>
      <c r="G179" s="2" t="s">
        <v>1029</v>
      </c>
      <c r="H179" s="22" t="str">
        <f>VLOOKUP(E179,'Lista Infomoney'!B:H,2,FALSE)</f>
        <v>ALPA3F</v>
      </c>
      <c r="I179" s="22" t="str">
        <f>VLOOKUP(E179,'Lista Infomoney'!B:F,3,FALSE)</f>
        <v>ALPA4F</v>
      </c>
      <c r="J179" s="2" t="s">
        <v>1615</v>
      </c>
      <c r="K179" s="2" t="s">
        <v>1616</v>
      </c>
      <c r="V179" s="6" t="str">
        <f>"(Ação da Alpargatas|Ações da Alpargatas|"&amp;H179&amp;"|"&amp;I179&amp;"|"&amp;J179&amp;"|"&amp;K179&amp;")"</f>
        <v>(Ação da Alpargatas|Ações da Alpargatas|ALPA3F|ALPA4F|ALPA3|ALPA4)</v>
      </c>
    </row>
    <row r="180">
      <c r="A180" s="2">
        <v>2.0</v>
      </c>
      <c r="B180" s="2" t="s">
        <v>165</v>
      </c>
      <c r="C180" s="2" t="s">
        <v>1574</v>
      </c>
      <c r="D180" s="2" t="s">
        <v>1612</v>
      </c>
      <c r="E180" s="2" t="s">
        <v>1617</v>
      </c>
      <c r="F180" s="2" t="s">
        <v>1618</v>
      </c>
      <c r="G180" s="2"/>
      <c r="H180" s="2" t="s">
        <v>1619</v>
      </c>
      <c r="V180" s="6" t="str">
        <f>"(Ação da Cambuci|Ações da Cambuci|"&amp;H180&amp;")"</f>
        <v>(Ação da Cambuci|Ações da Cambuci|CAMB3)</v>
      </c>
    </row>
    <row r="181">
      <c r="A181" s="2">
        <v>1.0</v>
      </c>
      <c r="B181" s="2" t="s">
        <v>165</v>
      </c>
      <c r="C181" s="2" t="s">
        <v>1574</v>
      </c>
      <c r="D181" s="2" t="s">
        <v>1612</v>
      </c>
      <c r="E181" s="2" t="s">
        <v>1620</v>
      </c>
      <c r="F181" s="2" t="s">
        <v>1621</v>
      </c>
      <c r="G181" s="2" t="s">
        <v>1001</v>
      </c>
      <c r="H181" s="22" t="str">
        <f>VLOOKUP(E181,'Lista Infomoney'!B:H,2,FALSE)</f>
        <v>GRND3F</v>
      </c>
      <c r="I181" s="22" t="str">
        <f>VLOOKUP(E181,'Lista Infomoney'!B:F,3,FALSE)</f>
        <v>GRND3</v>
      </c>
      <c r="J181" s="6" t="str">
        <f>VLOOKUP(E181,'Lista Infomoney'!B:F,4,FALSE)</f>
        <v/>
      </c>
      <c r="K181" s="6" t="str">
        <f>VLOOKUP(E181,'Lista Infomoney'!B:F,5,FALSE)</f>
        <v/>
      </c>
      <c r="V181" s="6" t="str">
        <f>"(Ação da Grendene|Ações da Grendene|"&amp;H181&amp;"|"&amp;I181&amp;")"</f>
        <v>(Ação da Grendene|Ações da Grendene|GRND3F|GRND3)</v>
      </c>
    </row>
    <row r="182">
      <c r="A182" s="2">
        <v>2.0</v>
      </c>
      <c r="B182" s="2" t="s">
        <v>165</v>
      </c>
      <c r="C182" s="2" t="s">
        <v>1574</v>
      </c>
      <c r="D182" s="2" t="s">
        <v>1612</v>
      </c>
      <c r="E182" s="2" t="s">
        <v>1622</v>
      </c>
      <c r="F182" s="2" t="s">
        <v>1623</v>
      </c>
      <c r="G182" s="2" t="s">
        <v>1001</v>
      </c>
      <c r="H182" s="2" t="s">
        <v>1624</v>
      </c>
      <c r="V182" s="6" t="str">
        <f>"(Ação da Vulcabras|Ações da Vulcabras|"&amp;H182&amp;")"</f>
        <v>(Ação da Vulcabras|Ações da Vulcabras|VULC3)</v>
      </c>
    </row>
    <row r="183">
      <c r="A183" s="2">
        <v>1.0</v>
      </c>
      <c r="B183" s="2" t="s">
        <v>165</v>
      </c>
      <c r="C183" s="2" t="s">
        <v>1574</v>
      </c>
      <c r="D183" s="2" t="s">
        <v>1625</v>
      </c>
      <c r="E183" s="2" t="s">
        <v>1626</v>
      </c>
      <c r="F183" s="2" t="s">
        <v>1627</v>
      </c>
      <c r="G183" s="2"/>
      <c r="H183" s="22" t="str">
        <f>VLOOKUP(E183,'Lista Infomoney'!B:H,2,FALSE)</f>
        <v>MNDL3F</v>
      </c>
      <c r="I183" s="22" t="str">
        <f>VLOOKUP(E183,'Lista Infomoney'!B:F,3,FALSE)</f>
        <v>MNDL3</v>
      </c>
      <c r="J183" s="6" t="str">
        <f>VLOOKUP(E183,'Lista Infomoney'!B:F,4,FALSE)</f>
        <v/>
      </c>
      <c r="K183" s="6" t="str">
        <f>VLOOKUP(E183,'Lista Infomoney'!B:F,5,FALSE)</f>
        <v/>
      </c>
      <c r="V183" s="6" t="str">
        <f>"(Ações da Mundial|Ações da Mundial|"&amp;H183&amp;"|"&amp;I183&amp;")"</f>
        <v>(Ações da Mundial|Ações da Mundial|MNDL3F|MNDL3)</v>
      </c>
    </row>
    <row r="184">
      <c r="A184" s="2">
        <v>2.0</v>
      </c>
      <c r="B184" s="2" t="s">
        <v>165</v>
      </c>
      <c r="C184" s="2" t="s">
        <v>1574</v>
      </c>
      <c r="D184" s="2" t="s">
        <v>1625</v>
      </c>
      <c r="E184" s="2" t="s">
        <v>1628</v>
      </c>
      <c r="F184" s="2" t="s">
        <v>1629</v>
      </c>
      <c r="G184" s="2" t="s">
        <v>1001</v>
      </c>
      <c r="H184" s="2" t="s">
        <v>1630</v>
      </c>
      <c r="V184" s="6" t="str">
        <f>"(Ação da Technos|Ações da Techsnos|"&amp;H184&amp;")"</f>
        <v>(Ação da Technos|Ações da Techsnos|TECN3)</v>
      </c>
    </row>
    <row r="185">
      <c r="A185" s="2">
        <v>1.0</v>
      </c>
      <c r="B185" s="2" t="s">
        <v>165</v>
      </c>
      <c r="C185" s="2" t="s">
        <v>1574</v>
      </c>
      <c r="D185" s="2" t="s">
        <v>1625</v>
      </c>
      <c r="E185" s="2" t="s">
        <v>354</v>
      </c>
      <c r="F185" s="2" t="s">
        <v>1631</v>
      </c>
      <c r="G185" s="2" t="s">
        <v>1001</v>
      </c>
      <c r="H185" s="22" t="str">
        <f>VLOOKUP(E185,'Lista Infomoney'!B:H,2,FALSE)</f>
        <v>VIVA3</v>
      </c>
      <c r="I185" s="6" t="str">
        <f>VLOOKUP(E185,'Lista Infomoney'!B:F,3,FALSE)</f>
        <v/>
      </c>
      <c r="J185" s="6" t="str">
        <f>VLOOKUP(E185,'Lista Infomoney'!B:F,4,FALSE)</f>
        <v/>
      </c>
      <c r="K185" s="6" t="str">
        <f>VLOOKUP(E185,'Lista Infomoney'!B:F,5,FALSE)</f>
        <v/>
      </c>
      <c r="V185" s="6" t="str">
        <f>"(Ação da Vivara SA|Ações da Vivara SA|"&amp;H185&amp;")"</f>
        <v>(Ação da Vivara SA|Ações da Vivara SA|VIVA3)</v>
      </c>
    </row>
    <row r="186">
      <c r="A186" s="2">
        <v>1.0</v>
      </c>
      <c r="B186" s="2" t="s">
        <v>165</v>
      </c>
      <c r="C186" s="2" t="s">
        <v>1632</v>
      </c>
      <c r="D186" s="2" t="s">
        <v>1633</v>
      </c>
      <c r="E186" s="2" t="s">
        <v>113</v>
      </c>
      <c r="F186" s="2" t="s">
        <v>1634</v>
      </c>
      <c r="G186" s="2"/>
      <c r="H186" s="22" t="str">
        <f>VLOOKUP(E186,'Lista Infomoney'!B:H,2,FALSE)</f>
        <v>WHRL4F</v>
      </c>
      <c r="I186" s="5" t="s">
        <v>115</v>
      </c>
      <c r="J186" s="5" t="s">
        <v>289</v>
      </c>
      <c r="K186" s="2" t="s">
        <v>290</v>
      </c>
      <c r="V186" s="6" t="str">
        <f>"(Ação da Whirpool|Ações da Whirpool|"&amp;H186&amp;"|"&amp;I186&amp;"|"&amp;J186&amp;"|"&amp;K186&amp;")"</f>
        <v>(Ação da Whirpool|Ações da Whirpool|WHRL4F|WHRL3F|WHRL4|WHRL3)</v>
      </c>
    </row>
    <row r="187">
      <c r="A187" s="2">
        <v>2.0</v>
      </c>
      <c r="B187" s="2" t="s">
        <v>165</v>
      </c>
      <c r="C187" s="2" t="s">
        <v>1632</v>
      </c>
      <c r="D187" s="2" t="s">
        <v>1635</v>
      </c>
      <c r="E187" s="2" t="s">
        <v>1636</v>
      </c>
      <c r="F187" s="2" t="s">
        <v>1637</v>
      </c>
      <c r="G187" s="2" t="s">
        <v>1001</v>
      </c>
      <c r="H187" s="2" t="s">
        <v>1638</v>
      </c>
      <c r="V187" s="6" t="str">
        <f>"(Ação da Unicasa|Ações Unicasa|"&amp;H187&amp;")"</f>
        <v>(Ação da Unicasa|Ações Unicasa|UCAS3)</v>
      </c>
    </row>
    <row r="188">
      <c r="A188" s="2">
        <v>2.0</v>
      </c>
      <c r="B188" s="2" t="s">
        <v>165</v>
      </c>
      <c r="C188" s="2" t="s">
        <v>1632</v>
      </c>
      <c r="D188" s="2" t="s">
        <v>1639</v>
      </c>
      <c r="E188" s="2" t="s">
        <v>1640</v>
      </c>
      <c r="F188" s="2" t="s">
        <v>1641</v>
      </c>
      <c r="G188" s="2"/>
      <c r="H188" s="2" t="s">
        <v>1642</v>
      </c>
      <c r="V188" s="6" t="str">
        <f>"(Ação da Hercules|Ações da Hercules|"&amp;H188&amp;")"</f>
        <v>(Ação da Hercules|Ações da Hercules|HETA4)</v>
      </c>
    </row>
    <row r="189">
      <c r="A189" s="2">
        <v>1.0</v>
      </c>
      <c r="B189" s="2" t="s">
        <v>165</v>
      </c>
      <c r="C189" s="2" t="s">
        <v>1643</v>
      </c>
      <c r="D189" s="2" t="s">
        <v>1643</v>
      </c>
      <c r="E189" s="2" t="s">
        <v>209</v>
      </c>
      <c r="F189" s="2" t="s">
        <v>1644</v>
      </c>
      <c r="G189" s="2" t="s">
        <v>1001</v>
      </c>
      <c r="H189" s="22" t="str">
        <f>VLOOKUP(E189,'Lista Infomoney'!B:H,2,FALSE)</f>
        <v>MYPK3F</v>
      </c>
      <c r="I189" s="22" t="str">
        <f>VLOOKUP(E189,'Lista Infomoney'!B:F,3,FALSE)</f>
        <v>MYPK3</v>
      </c>
      <c r="J189" s="2" t="s">
        <v>1645</v>
      </c>
      <c r="K189" s="2" t="s">
        <v>1646</v>
      </c>
      <c r="V189" s="6" t="str">
        <f>"(Ação da Lochpe Maxion|Ações da Lochpe Maxion|"&amp;H189&amp;"|"&amp;I189&amp;"|"&amp;J189&amp;"|"&amp;K189&amp;")"</f>
        <v>(Ação da Lochpe Maxion|Ações da Lochpe Maxion|MYPK3F|MYPK3|MYPK11F|MYPK12F)</v>
      </c>
    </row>
    <row r="190">
      <c r="A190" s="2">
        <v>1.0</v>
      </c>
      <c r="B190" s="2" t="s">
        <v>165</v>
      </c>
      <c r="C190" s="2" t="s">
        <v>1643</v>
      </c>
      <c r="D190" s="2" t="s">
        <v>1643</v>
      </c>
      <c r="E190" s="2" t="s">
        <v>1647</v>
      </c>
      <c r="F190" s="2" t="s">
        <v>1648</v>
      </c>
      <c r="G190" s="2" t="s">
        <v>1001</v>
      </c>
      <c r="H190" s="22" t="str">
        <f>VLOOKUP(E190,'Lista Infomoney'!B:H,2,FALSE)</f>
        <v>LEVE3F</v>
      </c>
      <c r="I190" s="22" t="str">
        <f>VLOOKUP(E190,'Lista Infomoney'!B:F,3,FALSE)</f>
        <v>LEVE3</v>
      </c>
      <c r="J190" s="6" t="str">
        <f>VLOOKUP(E190,'Lista Infomoney'!B:F,4,FALSE)</f>
        <v/>
      </c>
      <c r="K190" s="6" t="str">
        <f>VLOOKUP(E190,'Lista Infomoney'!B:F,5,FALSE)</f>
        <v/>
      </c>
      <c r="V190" s="6" t="str">
        <f>"(Ação da Metal Leve|Ações da Metal Level|"&amp;H190&amp;"|"&amp;I190&amp;")"</f>
        <v>(Ação da Metal Leve|Ações da Metal Level|LEVE3F|LEVE3)</v>
      </c>
    </row>
    <row r="191">
      <c r="A191" s="2">
        <v>2.0</v>
      </c>
      <c r="B191" s="2" t="s">
        <v>165</v>
      </c>
      <c r="C191" s="2" t="s">
        <v>1643</v>
      </c>
      <c r="D191" s="2" t="s">
        <v>1643</v>
      </c>
      <c r="E191" s="2" t="s">
        <v>1649</v>
      </c>
      <c r="F191" s="2" t="s">
        <v>1650</v>
      </c>
      <c r="G191" s="2"/>
      <c r="H191" s="2" t="s">
        <v>1651</v>
      </c>
      <c r="I191" s="2" t="s">
        <v>1652</v>
      </c>
      <c r="V191" s="6" t="str">
        <f>"(Ação da Plascar Part|Ações da Plascar Part|"&amp;H191&amp;"|"&amp;I191&amp;")"</f>
        <v>(Ação da Plascar Part|Ações da Plascar Part|PLAS3|PLAS11)</v>
      </c>
    </row>
    <row r="192">
      <c r="A192" s="2">
        <v>1.0</v>
      </c>
      <c r="B192" s="2" t="s">
        <v>165</v>
      </c>
      <c r="C192" s="2" t="s">
        <v>1653</v>
      </c>
      <c r="D192" s="2" t="s">
        <v>1654</v>
      </c>
      <c r="E192" s="2" t="s">
        <v>1655</v>
      </c>
      <c r="F192" s="2" t="s">
        <v>1656</v>
      </c>
      <c r="G192" s="2"/>
      <c r="H192" s="22" t="str">
        <f>VLOOKUP(E192,'Lista Infomoney'!B:H,2,FALSE)</f>
        <v>HOOT4</v>
      </c>
      <c r="I192" s="2" t="s">
        <v>1657</v>
      </c>
      <c r="J192" s="2" t="s">
        <v>1658</v>
      </c>
      <c r="K192" s="2" t="s">
        <v>1659</v>
      </c>
      <c r="V192" s="6" t="str">
        <f>"(Ação da Hoteis Othon|Ações da Hoteis Othon|"&amp;H192&amp;"|"&amp;I192&amp;"|"&amp;J192&amp;"|"&amp;K192&amp;")"</f>
        <v>(Ação da Hoteis Othon|Ações da Hoteis Othon|HOOT4|HOOT3|HOOT4F|HOOT3F)</v>
      </c>
    </row>
    <row r="193">
      <c r="A193" s="2">
        <v>2.0</v>
      </c>
      <c r="B193" s="2" t="s">
        <v>165</v>
      </c>
      <c r="C193" s="2" t="s">
        <v>1653</v>
      </c>
      <c r="D193" s="2" t="s">
        <v>1660</v>
      </c>
      <c r="E193" s="2" t="s">
        <v>1661</v>
      </c>
      <c r="F193" s="2" t="s">
        <v>1662</v>
      </c>
      <c r="G193" s="2" t="s">
        <v>1001</v>
      </c>
      <c r="H193" s="2" t="s">
        <v>1663</v>
      </c>
      <c r="V193" s="6" t="str">
        <f>"(Ação da BK Brasil|Ações da BK Brasil|"&amp;H193&amp;")"</f>
        <v>(Ação da BK Brasil|Ações da BK Brasil|BKBR3)</v>
      </c>
    </row>
    <row r="194">
      <c r="A194" s="2">
        <v>2.0</v>
      </c>
      <c r="B194" s="2" t="s">
        <v>165</v>
      </c>
      <c r="C194" s="2" t="s">
        <v>1653</v>
      </c>
      <c r="D194" s="2" t="s">
        <v>1660</v>
      </c>
      <c r="E194" s="2" t="s">
        <v>1664</v>
      </c>
      <c r="F194" s="2" t="s">
        <v>1665</v>
      </c>
      <c r="G194" s="2" t="s">
        <v>1001</v>
      </c>
      <c r="H194" s="2" t="s">
        <v>1666</v>
      </c>
      <c r="V194" s="6" t="str">
        <f>"(Ação da IMC SA|Ações da IMC SA|"&amp;H194&amp;")"</f>
        <v>(Ação da IMC SA|Ações da IMC SA|MEAL3)</v>
      </c>
    </row>
    <row r="195">
      <c r="A195" s="2">
        <v>2.0</v>
      </c>
      <c r="B195" s="2" t="s">
        <v>165</v>
      </c>
      <c r="C195" s="2" t="s">
        <v>1667</v>
      </c>
      <c r="D195" s="2" t="s">
        <v>1668</v>
      </c>
      <c r="E195" s="2" t="s">
        <v>1669</v>
      </c>
      <c r="F195" s="2" t="s">
        <v>1670</v>
      </c>
      <c r="G195" s="2"/>
      <c r="H195" s="2" t="s">
        <v>1671</v>
      </c>
      <c r="V195" s="6" t="str">
        <f>"(Ação da BIC Monark|Ações da BIC Monark|"&amp;H195&amp;")"</f>
        <v>(Ação da BIC Monark|Ações da BIC Monark|BMKS3)</v>
      </c>
    </row>
    <row r="196">
      <c r="A196" s="2">
        <v>1.0</v>
      </c>
      <c r="B196" s="2" t="s">
        <v>165</v>
      </c>
      <c r="C196" s="2" t="s">
        <v>1667</v>
      </c>
      <c r="D196" s="2" t="s">
        <v>1672</v>
      </c>
      <c r="E196" s="2" t="s">
        <v>1673</v>
      </c>
      <c r="F196" s="2" t="s">
        <v>1674</v>
      </c>
      <c r="G196" s="2"/>
      <c r="H196" s="22" t="str">
        <f>VLOOKUP(E196,'Lista Infomoney'!B:H,2,FALSE)</f>
        <v>ESTR4F</v>
      </c>
      <c r="I196" s="22" t="str">
        <f>VLOOKUP(E196,'Lista Infomoney'!B:F,3,FALSE)</f>
        <v>ESTR3F</v>
      </c>
      <c r="J196" s="22" t="str">
        <f>VLOOKUP(E196,'Lista Infomoney'!B:F,4,FALSE)</f>
        <v>ESTR4</v>
      </c>
      <c r="K196" s="22" t="str">
        <f>VLOOKUP(E196,'Lista Infomoney'!B:F,5,FALSE)</f>
        <v>ESTR3</v>
      </c>
      <c r="V196" s="6" t="str">
        <f>"(Ação da Estrela|Ações da Estrela|"&amp;H196&amp;"|"&amp;I196&amp;"|"&amp;J196&amp;"|"&amp;K196&amp;")"</f>
        <v>(Ação da Estrela|Ações da Estrela|ESTR4F|ESTR3F|ESTR4|ESTR3)</v>
      </c>
    </row>
    <row r="197">
      <c r="A197" s="2">
        <v>2.0</v>
      </c>
      <c r="B197" s="2" t="s">
        <v>165</v>
      </c>
      <c r="C197" s="2" t="s">
        <v>1667</v>
      </c>
      <c r="D197" s="2" t="s">
        <v>1675</v>
      </c>
      <c r="E197" s="2" t="s">
        <v>1676</v>
      </c>
      <c r="F197" s="2" t="s">
        <v>1677</v>
      </c>
      <c r="G197" s="2"/>
      <c r="H197" s="2" t="s">
        <v>1678</v>
      </c>
      <c r="V197" s="6" t="str">
        <f>"(Ação da Spturis|Ações da Spturis|"&amp;H197&amp;")"</f>
        <v>(Ação da Spturis|Ações da Spturis|AHEB3)</v>
      </c>
    </row>
    <row r="198">
      <c r="A198" s="2">
        <v>2.0</v>
      </c>
      <c r="B198" s="2" t="s">
        <v>165</v>
      </c>
      <c r="C198" s="2" t="s">
        <v>1667</v>
      </c>
      <c r="D198" s="2" t="s">
        <v>1675</v>
      </c>
      <c r="E198" s="2" t="s">
        <v>1679</v>
      </c>
      <c r="F198" s="2" t="s">
        <v>1680</v>
      </c>
      <c r="G198" s="2" t="s">
        <v>1001</v>
      </c>
      <c r="H198" s="2" t="s">
        <v>1681</v>
      </c>
      <c r="V198" s="6" t="str">
        <f>"(Ação da Time For Fun|Ações da TIme For Fun|"&amp;H198&amp;")"</f>
        <v>(Ação da Time For Fun|Ações da TIme For Fun|SHOW3)</v>
      </c>
    </row>
    <row r="199">
      <c r="A199" s="2">
        <v>1.0</v>
      </c>
      <c r="B199" s="2" t="s">
        <v>165</v>
      </c>
      <c r="C199" s="2" t="s">
        <v>1667</v>
      </c>
      <c r="D199" s="2" t="s">
        <v>1682</v>
      </c>
      <c r="E199" s="2" t="s">
        <v>314</v>
      </c>
      <c r="F199" s="2" t="s">
        <v>1683</v>
      </c>
      <c r="G199" s="2" t="s">
        <v>1001</v>
      </c>
      <c r="H199" s="22" t="str">
        <f>VLOOKUP(E199,'Lista Infomoney'!B:H,2,FALSE)</f>
        <v>CVCB3</v>
      </c>
      <c r="I199" s="2" t="s">
        <v>1684</v>
      </c>
      <c r="J199" s="2" t="s">
        <v>1685</v>
      </c>
      <c r="K199" s="6" t="str">
        <f>VLOOKUP(E199,'Lista Infomoney'!B:F,5,FALSE)</f>
        <v/>
      </c>
      <c r="V199" s="6" t="str">
        <f>"(Ação de CVC Brasil|Ações da CVC Brasil|"&amp;H199&amp;"|"&amp;I199&amp;"|"&amp;J199&amp;")"</f>
        <v>(Ação de CVC Brasil|Ações da CVC Brasil|CVCB3|CVCB3F|CVCB11)</v>
      </c>
    </row>
    <row r="200">
      <c r="A200" s="2">
        <v>2.0</v>
      </c>
      <c r="B200" s="2" t="s">
        <v>165</v>
      </c>
      <c r="C200" s="2" t="s">
        <v>1667</v>
      </c>
      <c r="D200" s="2" t="s">
        <v>1686</v>
      </c>
      <c r="E200" s="2" t="s">
        <v>1687</v>
      </c>
      <c r="F200" s="2" t="s">
        <v>1688</v>
      </c>
      <c r="G200" s="2" t="s">
        <v>1274</v>
      </c>
      <c r="H200" s="2" t="s">
        <v>1689</v>
      </c>
      <c r="V200" s="6" t="str">
        <f>"(Ação da Smart Fit|Ações da Smart Fit|"&amp;H200&amp;")"</f>
        <v>(Ação da Smart Fit|Ações da Smart Fit|SMTF3)</v>
      </c>
    </row>
    <row r="201">
      <c r="A201" s="2">
        <v>1.0</v>
      </c>
      <c r="B201" s="2" t="s">
        <v>165</v>
      </c>
      <c r="C201" s="2" t="s">
        <v>1690</v>
      </c>
      <c r="D201" s="2" t="s">
        <v>1691</v>
      </c>
      <c r="E201" s="2" t="s">
        <v>1692</v>
      </c>
      <c r="F201" s="2" t="s">
        <v>1693</v>
      </c>
      <c r="G201" s="2" t="s">
        <v>1001</v>
      </c>
      <c r="H201" s="22" t="str">
        <f>VLOOKUP(E201,'Lista Infomoney'!B:H,2,FALSE)</f>
        <v>ANIM3F</v>
      </c>
      <c r="I201" s="2" t="s">
        <v>1694</v>
      </c>
      <c r="J201" s="6" t="str">
        <f>VLOOKUP(E201,'Lista Infomoney'!B:F,4,FALSE)</f>
        <v/>
      </c>
      <c r="K201" s="6" t="str">
        <f>VLOOKUP(E201,'Lista Infomoney'!B:F,5,FALSE)</f>
        <v/>
      </c>
      <c r="V201" s="6" t="str">
        <f>"(Ação da Anima|Ações da Anima|"&amp;H201&amp;"|"&amp;I201&amp;")"</f>
        <v>(Ação da Anima|Ações da Anima|ANIM3F|ANIM3)</v>
      </c>
    </row>
    <row r="202">
      <c r="A202" s="2">
        <v>2.0</v>
      </c>
      <c r="B202" s="2" t="s">
        <v>165</v>
      </c>
      <c r="C202" s="2" t="s">
        <v>1690</v>
      </c>
      <c r="D202" s="2" t="s">
        <v>1691</v>
      </c>
      <c r="E202" s="2" t="s">
        <v>1695</v>
      </c>
      <c r="F202" s="2" t="s">
        <v>1696</v>
      </c>
      <c r="G202" s="2" t="s">
        <v>1107</v>
      </c>
      <c r="H202" s="2" t="s">
        <v>1697</v>
      </c>
      <c r="V202" s="6" t="str">
        <f>"(Ação da Bahema|Ações da Bahema|"&amp;H202&amp;")"</f>
        <v>(Ação da Bahema|Ações da Bahema|BAHI3)</v>
      </c>
    </row>
    <row r="203">
      <c r="A203" s="2">
        <v>1.0</v>
      </c>
      <c r="B203" s="2" t="s">
        <v>165</v>
      </c>
      <c r="C203" s="2" t="s">
        <v>1690</v>
      </c>
      <c r="D203" s="2" t="s">
        <v>1691</v>
      </c>
      <c r="E203" s="2" t="s">
        <v>1698</v>
      </c>
      <c r="F203" s="2" t="s">
        <v>1699</v>
      </c>
      <c r="G203" s="2" t="s">
        <v>1001</v>
      </c>
      <c r="H203" s="22" t="str">
        <f>VLOOKUP(E203,'Lista Infomoney'!B:H,2,FALSE)</f>
        <v>COGN3F</v>
      </c>
      <c r="I203" s="22" t="str">
        <f>VLOOKUP(E203,'Lista Infomoney'!B:F,3,FALSE)</f>
        <v>COGN3</v>
      </c>
      <c r="J203" s="6" t="str">
        <f>VLOOKUP(E203,'Lista Infomoney'!B:F,4,FALSE)</f>
        <v/>
      </c>
      <c r="K203" s="6" t="str">
        <f>VLOOKUP(E203,'Lista Infomoney'!B:F,5,FALSE)</f>
        <v/>
      </c>
      <c r="V203" s="6" t="str">
        <f>"(Ação da Cogna|Ações da Cogna|"&amp;H203&amp;"|"&amp;I203&amp;")"</f>
        <v>(Ação da Cogna|Ações da Cogna|COGN3F|COGN3)</v>
      </c>
    </row>
    <row r="204">
      <c r="A204" s="2">
        <v>1.0</v>
      </c>
      <c r="B204" s="2" t="s">
        <v>165</v>
      </c>
      <c r="C204" s="2" t="s">
        <v>1690</v>
      </c>
      <c r="D204" s="2" t="s">
        <v>1691</v>
      </c>
      <c r="E204" s="2" t="s">
        <v>296</v>
      </c>
      <c r="F204" s="2" t="s">
        <v>1700</v>
      </c>
      <c r="G204" s="2" t="s">
        <v>1001</v>
      </c>
      <c r="H204" s="22" t="str">
        <f>VLOOKUP(E204,'Lista Infomoney'!B:H,2,FALSE)</f>
        <v>SEER3</v>
      </c>
      <c r="I204" s="2" t="s">
        <v>1701</v>
      </c>
      <c r="J204" s="6" t="str">
        <f>VLOOKUP(E204,'Lista Infomoney'!B:F,4,FALSE)</f>
        <v/>
      </c>
      <c r="K204" s="6" t="str">
        <f>VLOOKUP(E204,'Lista Infomoney'!B:F,5,FALSE)</f>
        <v/>
      </c>
      <c r="V204" s="6" t="str">
        <f>"(Ação da Ser Educacional|Ações da Ser Educacional|"&amp;H204&amp;"|"&amp;I204&amp;")"</f>
        <v>(Ação da Ser Educacional|Ações da Ser Educacional|SEER3|SEER3F)</v>
      </c>
    </row>
    <row r="205">
      <c r="A205" s="2">
        <v>1.0</v>
      </c>
      <c r="B205" s="2" t="s">
        <v>165</v>
      </c>
      <c r="C205" s="2" t="s">
        <v>1690</v>
      </c>
      <c r="D205" s="2" t="s">
        <v>1691</v>
      </c>
      <c r="E205" s="2" t="s">
        <v>310</v>
      </c>
      <c r="F205" s="2" t="s">
        <v>1702</v>
      </c>
      <c r="G205" s="2" t="s">
        <v>1001</v>
      </c>
      <c r="H205" s="22" t="str">
        <f>VLOOKUP(E205,'Lista Infomoney'!B:H,2,FALSE)</f>
        <v>YDUQ3</v>
      </c>
      <c r="I205" s="6" t="str">
        <f>VLOOKUP(E205,'Lista Infomoney'!B:F,3,FALSE)</f>
        <v/>
      </c>
      <c r="J205" s="6" t="str">
        <f>VLOOKUP(E205,'Lista Infomoney'!B:F,4,FALSE)</f>
        <v/>
      </c>
      <c r="K205" s="6" t="str">
        <f>VLOOKUP(E205,'Lista Infomoney'!B:F,5,FALSE)</f>
        <v/>
      </c>
      <c r="V205" s="6" t="str">
        <f>"(Ação da Yduqs|Ações da Yduqs|"&amp;H205&amp;")"</f>
        <v>(Ação da Yduqs|Ações da Yduqs|YDUQ3)</v>
      </c>
    </row>
    <row r="206">
      <c r="A206" s="2">
        <v>1.0</v>
      </c>
      <c r="B206" s="2" t="s">
        <v>165</v>
      </c>
      <c r="C206" s="2" t="s">
        <v>1690</v>
      </c>
      <c r="D206" s="2" t="s">
        <v>1703</v>
      </c>
      <c r="E206" s="2" t="s">
        <v>1704</v>
      </c>
      <c r="F206" s="2" t="s">
        <v>1705</v>
      </c>
      <c r="G206" s="2" t="s">
        <v>1001</v>
      </c>
      <c r="H206" s="22" t="str">
        <f>VLOOKUP(E206,'Lista Infomoney'!B:H,2,FALSE)</f>
        <v>RENT3F</v>
      </c>
      <c r="I206" s="22" t="str">
        <f>VLOOKUP(E206,'Lista Infomoney'!B:F,3,FALSE)</f>
        <v>RENT3</v>
      </c>
      <c r="J206" s="6" t="str">
        <f>VLOOKUP(E206,'Lista Infomoney'!B:F,4,FALSE)</f>
        <v/>
      </c>
      <c r="K206" s="6" t="str">
        <f>VLOOKUP(E206,'Lista Infomoney'!B:F,5,FALSE)</f>
        <v/>
      </c>
      <c r="V206" s="6" t="str">
        <f>"(Ação da Localiza|Ações da Localiza|"&amp;H206&amp;"|"&amp;I206&amp;")"</f>
        <v>(Ação da Localiza|Ações da Localiza|RENT3F|RENT3)</v>
      </c>
    </row>
    <row r="207">
      <c r="A207" s="2">
        <v>1.0</v>
      </c>
      <c r="B207" s="2" t="s">
        <v>165</v>
      </c>
      <c r="C207" s="2" t="s">
        <v>1690</v>
      </c>
      <c r="D207" s="2" t="s">
        <v>1703</v>
      </c>
      <c r="E207" s="2" t="s">
        <v>1706</v>
      </c>
      <c r="F207" s="2" t="s">
        <v>1707</v>
      </c>
      <c r="G207" s="2" t="s">
        <v>1001</v>
      </c>
      <c r="H207" s="22" t="str">
        <f>VLOOKUP(E207,'Lista Infomoney'!B:H,2,FALSE)</f>
        <v>LCAM3F</v>
      </c>
      <c r="I207" s="22" t="str">
        <f>VLOOKUP(E207,'Lista Infomoney'!B:F,3,FALSE)</f>
        <v>LCAM3</v>
      </c>
      <c r="J207" s="6" t="str">
        <f>VLOOKUP(E207,'Lista Infomoney'!B:F,4,FALSE)</f>
        <v/>
      </c>
      <c r="K207" s="6" t="str">
        <f>VLOOKUP(E207,'Lista Infomoney'!B:F,5,FALSE)</f>
        <v/>
      </c>
      <c r="V207" s="6" t="str">
        <f>"(Ação da Locamerica|Ações da Locamerica|"&amp;H207&amp;"|"&amp;I207&amp;")"</f>
        <v>(Ação da Locamerica|Ações da Locamerica|LCAM3F|LCAM3)</v>
      </c>
    </row>
    <row r="208">
      <c r="A208" s="2">
        <v>2.0</v>
      </c>
      <c r="B208" s="2" t="s">
        <v>165</v>
      </c>
      <c r="C208" s="2" t="s">
        <v>1690</v>
      </c>
      <c r="D208" s="2" t="s">
        <v>1703</v>
      </c>
      <c r="E208" s="2" t="s">
        <v>1708</v>
      </c>
      <c r="F208" s="2" t="s">
        <v>1709</v>
      </c>
      <c r="G208" s="2" t="s">
        <v>1274</v>
      </c>
      <c r="H208" s="2" t="s">
        <v>1710</v>
      </c>
      <c r="V208" s="6" t="str">
        <f>"(Ação da Maestroloc|Ações da Maestroloc|"&amp;H208&amp;")"</f>
        <v>(Ação da Maestroloc|Ações da Maestroloc|MSRO3)</v>
      </c>
    </row>
    <row r="209">
      <c r="A209" s="2">
        <v>1.0</v>
      </c>
      <c r="B209" s="2" t="s">
        <v>165</v>
      </c>
      <c r="C209" s="2" t="s">
        <v>1690</v>
      </c>
      <c r="D209" s="2" t="s">
        <v>1703</v>
      </c>
      <c r="E209" s="2" t="s">
        <v>1711</v>
      </c>
      <c r="F209" s="2" t="s">
        <v>1712</v>
      </c>
      <c r="G209" s="2" t="s">
        <v>1001</v>
      </c>
      <c r="H209" s="22" t="str">
        <f>VLOOKUP(E209,'Lista Infomoney'!B:H,2,FALSE)</f>
        <v>MOVI3F</v>
      </c>
      <c r="I209" s="22" t="str">
        <f>VLOOKUP(E209,'Lista Infomoney'!B:F,3,FALSE)</f>
        <v>MOVI3</v>
      </c>
      <c r="J209" s="6" t="str">
        <f>VLOOKUP(E209,'Lista Infomoney'!B:F,4,FALSE)</f>
        <v/>
      </c>
      <c r="K209" s="6" t="str">
        <f>VLOOKUP(E209,'Lista Infomoney'!B:F,5,FALSE)</f>
        <v/>
      </c>
      <c r="V209" s="6" t="str">
        <f>"(Ação da Movida|Ações da Movida|"&amp;H209&amp;"|"&amp;I209&amp;")"</f>
        <v>(Ação da Movida|Ações da Movida|MOVI3F|MOVI3)</v>
      </c>
    </row>
    <row r="210">
      <c r="A210" s="2">
        <v>2.0</v>
      </c>
      <c r="B210" s="2" t="s">
        <v>165</v>
      </c>
      <c r="C210" s="2" t="s">
        <v>1690</v>
      </c>
      <c r="D210" s="2" t="s">
        <v>1703</v>
      </c>
      <c r="E210" s="2" t="s">
        <v>1713</v>
      </c>
      <c r="F210" s="24" t="s">
        <v>1714</v>
      </c>
      <c r="G210" s="2"/>
      <c r="H210" s="2" t="s">
        <v>217</v>
      </c>
      <c r="V210" s="6" t="str">
        <f>"(Ação da Unidas|Ações da Unidas|"&amp;H210&amp;")"</f>
        <v>(Ação da Unidas|Ações da Unidas|LCAM3)</v>
      </c>
    </row>
    <row r="211">
      <c r="A211" s="2">
        <v>1.0</v>
      </c>
      <c r="B211" s="2" t="s">
        <v>165</v>
      </c>
      <c r="C211" s="2" t="s">
        <v>1690</v>
      </c>
      <c r="D211" s="2" t="s">
        <v>1715</v>
      </c>
      <c r="E211" s="2" t="s">
        <v>1716</v>
      </c>
      <c r="F211" s="2" t="s">
        <v>1717</v>
      </c>
      <c r="G211" s="2" t="s">
        <v>1001</v>
      </c>
      <c r="H211" s="22" t="str">
        <f>VLOOKUP(E211,'Lista Infomoney'!B:H,2,FALSE)</f>
        <v>SMLS3F</v>
      </c>
      <c r="I211" s="22" t="str">
        <f>VLOOKUP(E211,'Lista Infomoney'!B:F,3,FALSE)</f>
        <v>SMLS3</v>
      </c>
      <c r="J211" s="6" t="str">
        <f>VLOOKUP(E211,'Lista Infomoney'!B:F,4,FALSE)</f>
        <v/>
      </c>
      <c r="K211" s="6" t="str">
        <f>VLOOKUP(E211,'Lista Infomoney'!B:F,5,FALSE)</f>
        <v/>
      </c>
      <c r="V211" s="6" t="str">
        <f>"(Ação da Smiles|Ações da Smiles|"&amp;H211&amp;"|"&amp;I211&amp;")"</f>
        <v>(Ação da Smiles|Ações da Smiles|SMLS3F|SMLS3)</v>
      </c>
    </row>
    <row r="212">
      <c r="A212" s="2">
        <v>1.0</v>
      </c>
      <c r="B212" s="2" t="s">
        <v>165</v>
      </c>
      <c r="C212" s="2" t="s">
        <v>1430</v>
      </c>
      <c r="D212" s="2" t="s">
        <v>1574</v>
      </c>
      <c r="E212" s="2" t="s">
        <v>261</v>
      </c>
      <c r="F212" s="2" t="s">
        <v>1718</v>
      </c>
      <c r="G212" s="2" t="s">
        <v>1001</v>
      </c>
      <c r="H212" s="22" t="str">
        <f>VLOOKUP(E212,'Lista Infomoney'!B:H,2,FALSE)</f>
        <v>ARZZ3F</v>
      </c>
      <c r="I212" s="2" t="s">
        <v>1719</v>
      </c>
      <c r="J212" s="6" t="str">
        <f>VLOOKUP(E212,'Lista Infomoney'!B:F,4,FALSE)</f>
        <v/>
      </c>
      <c r="K212" s="6" t="str">
        <f>VLOOKUP(E212,'Lista Infomoney'!B:F,5,FALSE)</f>
        <v/>
      </c>
      <c r="V212" s="6" t="str">
        <f>"(Ação da Arezzo|Ações da Arezzo|"&amp;H212&amp;"|"&amp;I212&amp;")"</f>
        <v>(Ação da Arezzo|Ações da Arezzo|ARZZ3F|ARZZ3)</v>
      </c>
    </row>
    <row r="213">
      <c r="A213" s="2">
        <v>1.0</v>
      </c>
      <c r="B213" s="2" t="s">
        <v>165</v>
      </c>
      <c r="C213" s="2" t="s">
        <v>1430</v>
      </c>
      <c r="D213" s="2" t="s">
        <v>1574</v>
      </c>
      <c r="E213" s="2" t="s">
        <v>218</v>
      </c>
      <c r="F213" s="2" t="s">
        <v>1720</v>
      </c>
      <c r="G213" s="2" t="s">
        <v>1001</v>
      </c>
      <c r="H213" s="22" t="str">
        <f>VLOOKUP(E213,'Lista Infomoney'!B:H,2,FALSE)</f>
        <v>CEAB3</v>
      </c>
      <c r="I213" s="6" t="str">
        <f>VLOOKUP(E213,'Lista Infomoney'!B:F,3,FALSE)</f>
        <v/>
      </c>
      <c r="J213" s="6" t="str">
        <f>VLOOKUP(E213,'Lista Infomoney'!B:F,4,FALSE)</f>
        <v/>
      </c>
      <c r="K213" s="6" t="str">
        <f>VLOOKUP(E213,'Lista Infomoney'!B:F,5,FALSE)</f>
        <v/>
      </c>
      <c r="V213" s="6" t="str">
        <f>"(Ação da C&amp;A|Ações da C&amp;A|"&amp;H213&amp;")"</f>
        <v>(Ação da C&amp;A|Ações da C&amp;A|CEAB3)</v>
      </c>
    </row>
    <row r="214">
      <c r="A214" s="2">
        <v>1.0</v>
      </c>
      <c r="B214" s="2" t="s">
        <v>165</v>
      </c>
      <c r="C214" s="2" t="s">
        <v>1430</v>
      </c>
      <c r="D214" s="2" t="s">
        <v>1574</v>
      </c>
      <c r="E214" s="2" t="s">
        <v>1721</v>
      </c>
      <c r="F214" s="2" t="s">
        <v>1722</v>
      </c>
      <c r="G214" s="2"/>
      <c r="H214" s="22" t="str">
        <f>VLOOKUP(E214,'Lista Infomoney'!B:H,2,FALSE)</f>
        <v>CGRA3F</v>
      </c>
      <c r="I214" s="22" t="str">
        <f>VLOOKUP(E214,'Lista Infomoney'!B:F,3,FALSE)</f>
        <v>CGRA4F</v>
      </c>
      <c r="J214" s="22" t="str">
        <f>VLOOKUP(E214,'Lista Infomoney'!B:F,4,FALSE)</f>
        <v>CGRA4</v>
      </c>
      <c r="K214" s="22" t="str">
        <f>VLOOKUP(E214,'Lista Infomoney'!B:F,5,FALSE)</f>
        <v>CGRA3</v>
      </c>
      <c r="V214" s="6" t="str">
        <f>"(Ação da Grazziotin|Ações da Grazziotin|"&amp;H214&amp;"|"&amp;I214&amp;"|"&amp;J214&amp;"|"&amp;K214&amp;")"</f>
        <v>(Ação da Grazziotin|Ações da Grazziotin|CGRA3F|CGRA4F|CGRA4|CGRA3)</v>
      </c>
    </row>
    <row r="215">
      <c r="A215" s="2">
        <v>1.0</v>
      </c>
      <c r="B215" s="2" t="s">
        <v>165</v>
      </c>
      <c r="C215" s="2" t="s">
        <v>1430</v>
      </c>
      <c r="D215" s="2" t="s">
        <v>1574</v>
      </c>
      <c r="E215" s="2" t="s">
        <v>1723</v>
      </c>
      <c r="F215" s="2" t="s">
        <v>1724</v>
      </c>
      <c r="G215" s="2" t="s">
        <v>1001</v>
      </c>
      <c r="H215" s="22" t="str">
        <f>VLOOKUP(E215,'Lista Infomoney'!B:H,2,FALSE)</f>
        <v>SOMA3</v>
      </c>
      <c r="I215" s="6" t="str">
        <f>VLOOKUP(E215,'Lista Infomoney'!B:F,3,FALSE)</f>
        <v/>
      </c>
      <c r="J215" s="6" t="str">
        <f>VLOOKUP(E215,'Lista Infomoney'!B:F,4,FALSE)</f>
        <v/>
      </c>
      <c r="K215" s="6" t="str">
        <f>VLOOKUP(E215,'Lista Infomoney'!B:F,5,FALSE)</f>
        <v/>
      </c>
      <c r="V215" s="6" t="str">
        <f>"(Ação do Grupo Soma|Ações do Grupo Soma|Ação da Soma|Ações da Soma|"&amp;H215&amp;")"</f>
        <v>(Ação do Grupo Soma|Ações do Grupo Soma|Ação da Soma|Ações da Soma|SOMA3)</v>
      </c>
    </row>
    <row r="216">
      <c r="A216" s="2">
        <v>2.0</v>
      </c>
      <c r="B216" s="2" t="s">
        <v>165</v>
      </c>
      <c r="C216" s="2" t="s">
        <v>1430</v>
      </c>
      <c r="D216" s="2" t="s">
        <v>1574</v>
      </c>
      <c r="E216" s="2" t="s">
        <v>1725</v>
      </c>
      <c r="F216" s="2" t="s">
        <v>1726</v>
      </c>
      <c r="G216" s="2"/>
      <c r="H216" s="2" t="s">
        <v>1727</v>
      </c>
      <c r="V216" s="6" t="str">
        <f>"(Ação da Guararapes|Ações da Guararapes|"&amp;H216&amp;")"</f>
        <v>(Ação da Guararapes|Ações da Guararapes|GUAR3)</v>
      </c>
    </row>
    <row r="217">
      <c r="A217" s="2">
        <v>1.0</v>
      </c>
      <c r="B217" s="2" t="s">
        <v>165</v>
      </c>
      <c r="C217" s="2" t="s">
        <v>1430</v>
      </c>
      <c r="D217" s="2" t="s">
        <v>1574</v>
      </c>
      <c r="E217" s="2" t="s">
        <v>1728</v>
      </c>
      <c r="F217" s="2" t="s">
        <v>1729</v>
      </c>
      <c r="G217" s="2" t="s">
        <v>1001</v>
      </c>
      <c r="H217" s="22" t="str">
        <f>VLOOKUP(E217,'Lista Infomoney'!B:H,2,FALSE)</f>
        <v>LLIS3F</v>
      </c>
      <c r="I217" s="22" t="str">
        <f>VLOOKUP(E217,'Lista Infomoney'!B:F,3,FALSE)</f>
        <v>LLIS3</v>
      </c>
      <c r="J217" s="6" t="str">
        <f>VLOOKUP(E217,'Lista Infomoney'!B:F,4,FALSE)</f>
        <v/>
      </c>
      <c r="K217" s="6" t="str">
        <f>VLOOKUP(E217,'Lista Infomoney'!B:F,5,FALSE)</f>
        <v/>
      </c>
      <c r="V217" s="6" t="str">
        <f>"(Ação da Le lis blanc|Ações da Le lis blanc|"&amp;H217&amp;"|"&amp;I217&amp;")"</f>
        <v>(Ação da Le lis blanc|Ações da Le lis blanc|LLIS3F|LLIS3)</v>
      </c>
    </row>
    <row r="218">
      <c r="A218" s="2">
        <v>1.0</v>
      </c>
      <c r="B218" s="2" t="s">
        <v>165</v>
      </c>
      <c r="C218" s="2" t="s">
        <v>1430</v>
      </c>
      <c r="D218" s="2" t="s">
        <v>1574</v>
      </c>
      <c r="E218" s="2" t="s">
        <v>246</v>
      </c>
      <c r="F218" s="2" t="s">
        <v>1730</v>
      </c>
      <c r="G218" s="2" t="s">
        <v>1001</v>
      </c>
      <c r="H218" s="22" t="str">
        <f>VLOOKUP(E218,'Lista Infomoney'!B:H,2,FALSE)</f>
        <v>AMAR3F</v>
      </c>
      <c r="I218" s="22" t="str">
        <f>VLOOKUP(E218,'Lista Infomoney'!B:F,3,FALSE)</f>
        <v>AMAR3</v>
      </c>
      <c r="J218" s="6" t="str">
        <f>VLOOKUP(E218,'Lista Infomoney'!B:F,4,FALSE)</f>
        <v/>
      </c>
      <c r="K218" s="6" t="str">
        <f>VLOOKUP(E218,'Lista Infomoney'!B:F,5,FALSE)</f>
        <v/>
      </c>
      <c r="V218" s="6" t="str">
        <f>"(Ação da Lojas Marisa|Ações da Lojas Marisa|Ação da Marisa|Ações da Marisa|"&amp;H218&amp;"|"&amp;I218&amp;")"</f>
        <v>(Ação da Lojas Marisa|Ações da Lojas Marisa|Ação da Marisa|Ações da Marisa|AMAR3F|AMAR3)</v>
      </c>
    </row>
    <row r="219">
      <c r="A219" s="2">
        <v>1.0</v>
      </c>
      <c r="B219" s="2" t="s">
        <v>165</v>
      </c>
      <c r="C219" s="2" t="s">
        <v>1430</v>
      </c>
      <c r="D219" s="2" t="s">
        <v>1574</v>
      </c>
      <c r="E219" s="2" t="s">
        <v>1731</v>
      </c>
      <c r="F219" s="2" t="s">
        <v>1732</v>
      </c>
      <c r="G219" s="2" t="s">
        <v>1001</v>
      </c>
      <c r="H219" s="22" t="str">
        <f>VLOOKUP(E219,'Lista Infomoney'!B:H,2,FALSE)</f>
        <v>LREN3F</v>
      </c>
      <c r="I219" s="22" t="str">
        <f>VLOOKUP(E219,'Lista Infomoney'!B:F,3,FALSE)</f>
        <v>LREN3</v>
      </c>
      <c r="J219" s="6" t="str">
        <f>VLOOKUP(E219,'Lista Infomoney'!B:F,4,FALSE)</f>
        <v/>
      </c>
      <c r="K219" s="6" t="str">
        <f>VLOOKUP(E219,'Lista Infomoney'!B:F,5,FALSE)</f>
        <v/>
      </c>
      <c r="V219" s="6" t="str">
        <f>"(Ação da Lojas Renner|Ações da Lojas Renner|Ação da Renner|Ações da Renner|"&amp;H219&amp;"|"&amp;I219&amp;")"</f>
        <v>(Ação da Lojas Renner|Ações da Lojas Renner|Ação da Renner|Ações da Renner|LREN3F|LREN3)</v>
      </c>
    </row>
    <row r="220">
      <c r="A220" s="2">
        <v>1.0</v>
      </c>
      <c r="B220" s="2" t="s">
        <v>165</v>
      </c>
      <c r="C220" s="2" t="s">
        <v>1430</v>
      </c>
      <c r="D220" s="2" t="s">
        <v>1633</v>
      </c>
      <c r="E220" s="2" t="s">
        <v>280</v>
      </c>
      <c r="F220" s="2" t="s">
        <v>1733</v>
      </c>
      <c r="G220" s="2" t="s">
        <v>1001</v>
      </c>
      <c r="H220" s="22" t="str">
        <f>VLOOKUP(E220,'Lista Infomoney'!B:H,2,FALSE)</f>
        <v>MGLU3F</v>
      </c>
      <c r="I220" s="22" t="str">
        <f>VLOOKUP(E220,'Lista Infomoney'!B:F,3,FALSE)</f>
        <v>MGLU3</v>
      </c>
      <c r="J220" s="6" t="str">
        <f>VLOOKUP(E220,'Lista Infomoney'!B:F,4,FALSE)</f>
        <v/>
      </c>
      <c r="K220" s="6" t="str">
        <f>VLOOKUP(E220,'Lista Infomoney'!B:F,5,FALSE)</f>
        <v/>
      </c>
      <c r="V220" s="6" t="str">
        <f>"(Ação da Magazine Luiza|Ações da Magazine Luiza|Ações da Magalu|Ação da Magalu| "&amp;H220&amp;"|"&amp;I220&amp;")"</f>
        <v>(Ação da Magazine Luiza|Ações da Magazine Luiza|Ações da Magalu|Ação da Magalu| MGLU3F|MGLU3)</v>
      </c>
    </row>
    <row r="221">
      <c r="A221" s="2">
        <v>1.0</v>
      </c>
      <c r="B221" s="2" t="s">
        <v>165</v>
      </c>
      <c r="C221" s="2" t="s">
        <v>1430</v>
      </c>
      <c r="D221" s="2" t="s">
        <v>1633</v>
      </c>
      <c r="E221" s="2" t="s">
        <v>152</v>
      </c>
      <c r="F221" s="2" t="s">
        <v>1734</v>
      </c>
      <c r="G221" s="2" t="s">
        <v>1001</v>
      </c>
      <c r="H221" s="22" t="str">
        <f>VLOOKUP(E221,'Lista Infomoney'!B:H,2,FALSE)</f>
        <v>VVAR3F</v>
      </c>
      <c r="I221" s="12" t="s">
        <v>292</v>
      </c>
      <c r="J221" s="2" t="s">
        <v>1735</v>
      </c>
      <c r="K221" s="2" t="s">
        <v>1736</v>
      </c>
      <c r="V221" s="6" t="str">
        <f>"(Ação da Via Varejo|Ações da Via Varejo"&amp;H221&amp;"|"&amp;I221&amp;"|"&amp;J221&amp;"|"&amp;K221&amp;"|"&amp;'Lista Oficial'!L221&amp;")"</f>
        <v>(Ação da Via Varejo|Ações da Via VarejoVVAR3F|VVAR3|VVAR11F|VVAR4F|VIIA3)</v>
      </c>
    </row>
    <row r="222">
      <c r="A222" s="2">
        <v>2.0</v>
      </c>
      <c r="B222" s="2" t="s">
        <v>165</v>
      </c>
      <c r="C222" s="2" t="s">
        <v>1430</v>
      </c>
      <c r="D222" s="2" t="s">
        <v>1738</v>
      </c>
      <c r="E222" s="2" t="s">
        <v>1739</v>
      </c>
      <c r="F222" s="2" t="s">
        <v>1740</v>
      </c>
      <c r="G222" s="2" t="s">
        <v>1001</v>
      </c>
      <c r="H222" s="2" t="s">
        <v>1741</v>
      </c>
      <c r="V222" s="6" t="str">
        <f>"(Ação da B2W Digital|Ações da B2W Digital|"&amp;H222&amp;")"</f>
        <v>(Ação da B2W Digital|Ações da B2W Digital|BTOW3)</v>
      </c>
    </row>
    <row r="223">
      <c r="A223" s="2">
        <v>2.0</v>
      </c>
      <c r="B223" s="2" t="s">
        <v>165</v>
      </c>
      <c r="C223" s="2" t="s">
        <v>1430</v>
      </c>
      <c r="D223" s="2" t="s">
        <v>1738</v>
      </c>
      <c r="E223" s="2" t="s">
        <v>1742</v>
      </c>
      <c r="F223" s="2" t="s">
        <v>1743</v>
      </c>
      <c r="G223" s="2" t="s">
        <v>1001</v>
      </c>
      <c r="H223" s="2" t="s">
        <v>1744</v>
      </c>
      <c r="V223" s="6" t="str">
        <f>"(Ações da Centauro|Ação da Centauro|Ação da Loja Centauro|Ações da Loja Centauro|"&amp;H223&amp;")"</f>
        <v>(Ações da Centauro|Ação da Centauro|Ação da Loja Centauro|Ações da Loja Centauro|CNTO3)</v>
      </c>
    </row>
    <row r="224">
      <c r="A224" s="2">
        <v>1.0</v>
      </c>
      <c r="B224" s="2" t="s">
        <v>165</v>
      </c>
      <c r="C224" s="2" t="s">
        <v>1430</v>
      </c>
      <c r="D224" s="2" t="s">
        <v>1738</v>
      </c>
      <c r="E224" s="2" t="s">
        <v>300</v>
      </c>
      <c r="F224" s="2" t="s">
        <v>1745</v>
      </c>
      <c r="G224" s="2" t="s">
        <v>1029</v>
      </c>
      <c r="H224" s="22" t="str">
        <f>VLOOKUP(E224,'Lista Infomoney'!B:H,2,FALSE)</f>
        <v>LAME4F</v>
      </c>
      <c r="I224" s="22" t="str">
        <f>VLOOKUP(E224,'Lista Infomoney'!B:F,3,FALSE)</f>
        <v>LAME4</v>
      </c>
      <c r="J224" s="22" t="str">
        <f>VLOOKUP(E224,'Lista Infomoney'!B:F,4,FALSE)</f>
        <v>LAME3F</v>
      </c>
      <c r="K224" s="22" t="str">
        <f>VLOOKUP(E224,'Lista Infomoney'!B:F,5,FALSE)</f>
        <v>LAME3</v>
      </c>
      <c r="V224" s="6" t="str">
        <f>"(Ações da Lojas Americanas|Ação da Lojas Americanas|"&amp;H224&amp;"|"&amp;I224&amp;"|"&amp;J224&amp;"|"&amp;K224&amp;")"</f>
        <v>(Ações da Lojas Americanas|Ação da Lojas Americanas|LAME4F|LAME4|LAME3F|LAME3)</v>
      </c>
    </row>
    <row r="225">
      <c r="A225" s="2">
        <v>1.0</v>
      </c>
      <c r="B225" s="2" t="s">
        <v>165</v>
      </c>
      <c r="C225" s="2" t="s">
        <v>1430</v>
      </c>
      <c r="D225" s="2" t="s">
        <v>1738</v>
      </c>
      <c r="E225" s="2" t="s">
        <v>1746</v>
      </c>
      <c r="F225" s="2" t="s">
        <v>1746</v>
      </c>
      <c r="G225" s="2" t="s">
        <v>1001</v>
      </c>
      <c r="H225" s="22" t="str">
        <f>VLOOKUP(E225,'Lista Infomoney'!B:H,2,FALSE)</f>
        <v>PETZ3</v>
      </c>
      <c r="I225" s="6" t="str">
        <f>VLOOKUP(E225,'Lista Infomoney'!B:F,3,FALSE)</f>
        <v/>
      </c>
      <c r="J225" s="6" t="str">
        <f>VLOOKUP(E225,'Lista Infomoney'!B:F,4,FALSE)</f>
        <v/>
      </c>
      <c r="K225" s="6" t="str">
        <f>VLOOKUP(E225,'Lista Infomoney'!B:F,5,FALSE)</f>
        <v/>
      </c>
      <c r="V225" s="6" t="str">
        <f>"(Ações da Petz|Ação da Petz|"&amp;H225&amp;")"</f>
        <v>(Ações da Petz|Ação da Petz|PETZ3)</v>
      </c>
    </row>
    <row r="226">
      <c r="A226" s="2">
        <v>1.0</v>
      </c>
      <c r="B226" s="2" t="s">
        <v>165</v>
      </c>
      <c r="C226" s="2" t="s">
        <v>1430</v>
      </c>
      <c r="D226" s="2" t="s">
        <v>1738</v>
      </c>
      <c r="E226" s="2" t="s">
        <v>1747</v>
      </c>
      <c r="F226" s="2" t="s">
        <v>1748</v>
      </c>
      <c r="G226" s="2" t="s">
        <v>1001</v>
      </c>
      <c r="H226" s="22" t="str">
        <f>VLOOKUP(E226,'Lista Infomoney'!B:H,2,FALSE)</f>
        <v>LJQQ3</v>
      </c>
      <c r="I226" s="6" t="str">
        <f>VLOOKUP(E226,'Lista Infomoney'!B:F,3,FALSE)</f>
        <v/>
      </c>
      <c r="J226" s="6" t="str">
        <f>VLOOKUP(E226,'Lista Infomoney'!B:F,4,FALSE)</f>
        <v/>
      </c>
      <c r="K226" s="6" t="str">
        <f>VLOOKUP(E226,'Lista Infomoney'!B:F,5,FALSE)</f>
        <v/>
      </c>
      <c r="V226" s="6" t="str">
        <f>"(Ações da Quero Quero|Ação da Quero Quero|"&amp;H226&amp;")"</f>
        <v>(Ações da Quero Quero|Ação da Quero Quero|LJQQ3)</v>
      </c>
    </row>
    <row r="227">
      <c r="A227" s="2">
        <v>1.0</v>
      </c>
      <c r="B227" s="2" t="s">
        <v>165</v>
      </c>
      <c r="C227" s="2" t="s">
        <v>1430</v>
      </c>
      <c r="D227" s="2" t="s">
        <v>1738</v>
      </c>
      <c r="E227" s="2" t="s">
        <v>1749</v>
      </c>
      <c r="F227" s="2" t="s">
        <v>1750</v>
      </c>
      <c r="G227" s="2" t="s">
        <v>1013</v>
      </c>
      <c r="H227" s="22" t="str">
        <f>VLOOKUP(E227,'Lista Infomoney'!B:H,2,FALSE)</f>
        <v>SLED4F</v>
      </c>
      <c r="I227" s="22" t="str">
        <f>VLOOKUP(E227,'Lista Infomoney'!B:F,3,FALSE)</f>
        <v>SLED3F</v>
      </c>
      <c r="J227" s="22" t="str">
        <f>VLOOKUP(E227,'Lista Infomoney'!B:F,4,FALSE)</f>
        <v>SLED3</v>
      </c>
      <c r="K227" s="2" t="s">
        <v>1751</v>
      </c>
      <c r="L227" s="2" t="s">
        <v>1752</v>
      </c>
      <c r="M227" s="2" t="s">
        <v>299</v>
      </c>
      <c r="V227" s="6" t="str">
        <f>"(Ações da Livraria Saraiva|Ação da Livraria Saraiva|Ações da Saraiva|Ação da Saraiva|"&amp;H227&amp;"|"&amp;I227&amp;"|"&amp;J227&amp;"|"&amp;K227&amp;"|"&amp;L227&amp;"|"&amp;M227&amp;")"</f>
        <v>(Ações da Livraria Saraiva|Ação da Livraria Saraiva|Ações da Saraiva|Ação da Saraiva|SLED4F|SLED3F|SLED3|SLED11|SLED12|SLED4)</v>
      </c>
    </row>
    <row r="228">
      <c r="A228" s="2">
        <v>1.0</v>
      </c>
      <c r="B228" s="2" t="s">
        <v>756</v>
      </c>
      <c r="C228" s="2" t="s">
        <v>1753</v>
      </c>
      <c r="D228" s="2" t="s">
        <v>1753</v>
      </c>
      <c r="E228" s="2" t="s">
        <v>1754</v>
      </c>
      <c r="F228" s="2" t="s">
        <v>1755</v>
      </c>
      <c r="G228" s="2" t="s">
        <v>1107</v>
      </c>
      <c r="H228" s="22" t="str">
        <f>VLOOKUP(E228,'Lista Infomoney'!B:H,2,FALSE)</f>
        <v>BIOM3F</v>
      </c>
      <c r="I228" s="22" t="str">
        <f>VLOOKUP(E228,'Lista Infomoney'!B:F,3,FALSE)</f>
        <v>BIOM3</v>
      </c>
      <c r="J228" s="2" t="s">
        <v>1756</v>
      </c>
      <c r="K228" s="6" t="str">
        <f>VLOOKUP(E228,'Lista Infomoney'!B:F,5,FALSE)</f>
        <v/>
      </c>
      <c r="V228" s="6" t="str">
        <f>"(Ações da Biomm|Ação da Biomm|"&amp;H228&amp;"|"&amp;I228&amp;"|"&amp;J228&amp;")"</f>
        <v>(Ações da Biomm|Ação da Biomm|BIOM3F|BIOM3|BIOM1)</v>
      </c>
    </row>
    <row r="229">
      <c r="A229" s="2">
        <v>1.0</v>
      </c>
      <c r="B229" s="2" t="s">
        <v>756</v>
      </c>
      <c r="C229" s="2" t="s">
        <v>1753</v>
      </c>
      <c r="D229" s="2" t="s">
        <v>1753</v>
      </c>
      <c r="E229" s="2" t="s">
        <v>1757</v>
      </c>
      <c r="F229" s="2" t="s">
        <v>1758</v>
      </c>
      <c r="G229" s="2" t="s">
        <v>1401</v>
      </c>
      <c r="H229" s="22" t="str">
        <f>VLOOKUP(E229,'Lista Infomoney'!B:H,2,FALSE)</f>
        <v>GBIO33F</v>
      </c>
      <c r="I229" s="22" t="str">
        <f>VLOOKUP(E229,'Lista Infomoney'!B:F,3,FALSE)</f>
        <v>GBIO33</v>
      </c>
      <c r="J229" s="6" t="str">
        <f>VLOOKUP(E229,'Lista Infomoney'!B:F,4,FALSE)</f>
        <v/>
      </c>
      <c r="K229" s="6" t="str">
        <f>VLOOKUP(E229,'Lista Infomoney'!B:F,5,FALSE)</f>
        <v/>
      </c>
      <c r="V229" s="6" t="str">
        <f>"(Ação da Biotoscana|Ações da Biotoscana|"&amp;H229&amp;"|"&amp;I229&amp;")"</f>
        <v>(Ação da Biotoscana|Ações da Biotoscana|GBIO33F|GBIO33)</v>
      </c>
    </row>
    <row r="230">
      <c r="A230" s="2">
        <v>2.0</v>
      </c>
      <c r="B230" s="2" t="s">
        <v>756</v>
      </c>
      <c r="C230" s="2" t="s">
        <v>1753</v>
      </c>
      <c r="D230" s="2" t="s">
        <v>1753</v>
      </c>
      <c r="E230" s="2" t="s">
        <v>1759</v>
      </c>
      <c r="F230" s="2" t="s">
        <v>1760</v>
      </c>
      <c r="G230" s="2" t="s">
        <v>1107</v>
      </c>
      <c r="H230" s="2" t="s">
        <v>1761</v>
      </c>
      <c r="V230" s="6" t="str">
        <f>"(Ações da Nortcquimica|Ação da Nortcquimica|"&amp;H230&amp;")"</f>
        <v>(Ações da Nortcquimica|Ação da Nortcquimica|NRTQ3)</v>
      </c>
    </row>
    <row r="231">
      <c r="A231" s="2">
        <v>1.0</v>
      </c>
      <c r="B231" s="2" t="s">
        <v>756</v>
      </c>
      <c r="C231" s="2" t="s">
        <v>1753</v>
      </c>
      <c r="D231" s="2" t="s">
        <v>1753</v>
      </c>
      <c r="E231" s="2" t="s">
        <v>1762</v>
      </c>
      <c r="F231" s="2" t="s">
        <v>1763</v>
      </c>
      <c r="G231" s="2" t="s">
        <v>1001</v>
      </c>
      <c r="H231" s="22" t="str">
        <f>VLOOKUP(E231,'Lista Infomoney'!B:H,2,FALSE)</f>
        <v>OFSA3F</v>
      </c>
      <c r="I231" s="2" t="s">
        <v>793</v>
      </c>
      <c r="J231" s="6" t="str">
        <f>VLOOKUP(E231,'Lista Infomoney'!B:F,4,FALSE)</f>
        <v/>
      </c>
      <c r="K231" s="6" t="str">
        <f>VLOOKUP(E231,'Lista Infomoney'!B:F,5,FALSE)</f>
        <v/>
      </c>
      <c r="V231" s="6" t="str">
        <f>"(Ação do Ourofino|Ações do Ourofino|"&amp;H231&amp;"|"&amp;I231&amp;")"</f>
        <v>(Ação do Ourofino|Ações do Ourofino|OFSA3F|OFSA3)</v>
      </c>
    </row>
    <row r="232">
      <c r="A232" s="2">
        <v>2.0</v>
      </c>
      <c r="B232" s="2" t="s">
        <v>756</v>
      </c>
      <c r="C232" s="2" t="s">
        <v>1764</v>
      </c>
      <c r="D232" s="2" t="s">
        <v>1764</v>
      </c>
      <c r="E232" s="2" t="s">
        <v>1765</v>
      </c>
      <c r="F232" s="2" t="s">
        <v>1766</v>
      </c>
      <c r="G232" s="2"/>
      <c r="H232" s="2" t="s">
        <v>1767</v>
      </c>
      <c r="V232" s="6" t="str">
        <f>"(Ações da Advanced dh|Ação da Advanced dh|"&amp;H232&amp;")"</f>
        <v>(Ações da Advanced dh|Ação da Advanced dh|ADHM3)</v>
      </c>
    </row>
    <row r="233">
      <c r="A233" s="2">
        <v>1.0</v>
      </c>
      <c r="B233" s="2" t="s">
        <v>756</v>
      </c>
      <c r="C233" s="2" t="s">
        <v>1764</v>
      </c>
      <c r="D233" s="2" t="s">
        <v>1764</v>
      </c>
      <c r="E233" s="2" t="s">
        <v>1768</v>
      </c>
      <c r="F233" s="2" t="s">
        <v>1769</v>
      </c>
      <c r="G233" s="2" t="s">
        <v>1001</v>
      </c>
      <c r="H233" s="22" t="str">
        <f>VLOOKUP(E233,'Lista Infomoney'!B:H,2,FALSE)</f>
        <v>AALR3F</v>
      </c>
      <c r="I233" s="22" t="str">
        <f>VLOOKUP(E233,'Lista Infomoney'!B:F,3,FALSE)</f>
        <v>AALR3</v>
      </c>
      <c r="J233" s="6" t="str">
        <f>VLOOKUP(E233,'Lista Infomoney'!B:F,4,FALSE)</f>
        <v/>
      </c>
      <c r="K233" s="6" t="str">
        <f>VLOOKUP(E233,'Lista Infomoney'!B:F,5,FALSE)</f>
        <v/>
      </c>
      <c r="V233" s="6" t="str">
        <f>"(Ação da Alliar|Ações da Alliar|"&amp;H233&amp;"|"&amp;I233&amp;")"</f>
        <v>(Ação da Alliar|Ações da Alliar|AALR3F|AALR3)</v>
      </c>
    </row>
    <row r="234">
      <c r="A234" s="2">
        <v>2.0</v>
      </c>
      <c r="B234" s="2" t="s">
        <v>756</v>
      </c>
      <c r="C234" s="2" t="s">
        <v>1764</v>
      </c>
      <c r="D234" s="2" t="s">
        <v>1764</v>
      </c>
      <c r="E234" s="2" t="s">
        <v>1770</v>
      </c>
      <c r="F234" s="2" t="s">
        <v>1770</v>
      </c>
      <c r="G234" s="2"/>
      <c r="H234" s="2" t="s">
        <v>1771</v>
      </c>
      <c r="V234" s="6" t="str">
        <f>"(Ação da Dasa|Ações da Dasa|"&amp;H234&amp;")"</f>
        <v>(Ação da Dasa|Ações da Dasa|DASA3)</v>
      </c>
    </row>
    <row r="235">
      <c r="A235" s="2">
        <v>1.0</v>
      </c>
      <c r="B235" s="2" t="s">
        <v>756</v>
      </c>
      <c r="C235" s="2" t="s">
        <v>1764</v>
      </c>
      <c r="D235" s="2" t="s">
        <v>1764</v>
      </c>
      <c r="E235" s="2" t="s">
        <v>1772</v>
      </c>
      <c r="F235" s="2" t="s">
        <v>1773</v>
      </c>
      <c r="G235" s="2" t="s">
        <v>1001</v>
      </c>
      <c r="H235" s="22" t="str">
        <f>VLOOKUP(E235,'Lista Infomoney'!B:H,2,FALSE)</f>
        <v>FLRY3</v>
      </c>
      <c r="I235" s="2" t="s">
        <v>1774</v>
      </c>
      <c r="J235" s="6" t="str">
        <f>VLOOKUP(E235,'Lista Infomoney'!B:F,4,FALSE)</f>
        <v/>
      </c>
      <c r="K235" s="6" t="str">
        <f>VLOOKUP(E235,'Lista Infomoney'!B:F,5,FALSE)</f>
        <v/>
      </c>
      <c r="V235" s="6" t="str">
        <f>"(Ação da Fleury|Ações da Fleury|"&amp;H235&amp;"|"&amp;I235&amp;")"</f>
        <v>(Ação da Fleury|Ações da Fleury|FLRY3|FLRY3F)</v>
      </c>
    </row>
    <row r="236">
      <c r="A236" s="2">
        <v>2.0</v>
      </c>
      <c r="B236" s="2" t="s">
        <v>756</v>
      </c>
      <c r="C236" s="2" t="s">
        <v>1764</v>
      </c>
      <c r="D236" s="2" t="s">
        <v>1764</v>
      </c>
      <c r="E236" s="2" t="s">
        <v>1775</v>
      </c>
      <c r="F236" s="2" t="s">
        <v>1776</v>
      </c>
      <c r="G236" s="2" t="s">
        <v>1001</v>
      </c>
      <c r="H236" s="2" t="s">
        <v>1777</v>
      </c>
      <c r="V236" s="6" t="str">
        <f>"(Ação da Hapvida|Ações da Hapvida|"&amp;H236&amp;")"</f>
        <v>(Ação da Hapvida|Ações da Hapvida|HAPV3)</v>
      </c>
    </row>
    <row r="237">
      <c r="A237" s="2">
        <v>1.0</v>
      </c>
      <c r="B237" s="2" t="s">
        <v>756</v>
      </c>
      <c r="C237" s="2" t="s">
        <v>1764</v>
      </c>
      <c r="D237" s="2" t="s">
        <v>1764</v>
      </c>
      <c r="E237" s="2" t="s">
        <v>757</v>
      </c>
      <c r="F237" s="2" t="s">
        <v>1778</v>
      </c>
      <c r="G237" s="2" t="s">
        <v>1001</v>
      </c>
      <c r="H237" s="22" t="str">
        <f>VLOOKUP(E237,'Lista Infomoney'!B:H,2,FALSE)</f>
        <v>PARD3</v>
      </c>
      <c r="I237" s="2" t="s">
        <v>1774</v>
      </c>
      <c r="J237" s="6" t="str">
        <f>VLOOKUP(E237,'Lista Infomoney'!B:F,4,FALSE)</f>
        <v/>
      </c>
      <c r="K237" s="6" t="str">
        <f>VLOOKUP(E237,'Lista Infomoney'!B:F,5,FALSE)</f>
        <v/>
      </c>
      <c r="V237" s="6" t="str">
        <f>"(Ação da Instituto Hermes Pardini|Ações da Instituto hermes Pardini|Ação da Hermes Pardini|Ações da Hermes Pardini|"&amp;H237&amp;"|"&amp;I237&amp;")"</f>
        <v>(Ação da Instituto Hermes Pardini|Ações da Instituto hermes Pardini|Ação da Hermes Pardini|Ações da Hermes Pardini|PARD3|FLRY3F)</v>
      </c>
    </row>
    <row r="238">
      <c r="A238" s="2">
        <v>2.0</v>
      </c>
      <c r="B238" s="2" t="s">
        <v>756</v>
      </c>
      <c r="C238" s="2" t="s">
        <v>1764</v>
      </c>
      <c r="D238" s="2" t="s">
        <v>1764</v>
      </c>
      <c r="E238" s="2" t="s">
        <v>1779</v>
      </c>
      <c r="F238" s="2" t="s">
        <v>1780</v>
      </c>
      <c r="G238" s="2" t="s">
        <v>1001</v>
      </c>
      <c r="H238" s="2" t="s">
        <v>1781</v>
      </c>
      <c r="V238" s="6" t="str">
        <f>"(Ação da Intermedica|Ações da Intermedica|"&amp;H238&amp;")"</f>
        <v>(Ação da Intermedica|Ações da Intermedica|GNDI3)</v>
      </c>
    </row>
    <row r="239">
      <c r="A239" s="2">
        <v>1.0</v>
      </c>
      <c r="B239" s="2" t="s">
        <v>756</v>
      </c>
      <c r="C239" s="2" t="s">
        <v>1764</v>
      </c>
      <c r="D239" s="2" t="s">
        <v>1764</v>
      </c>
      <c r="E239" s="2" t="s">
        <v>1782</v>
      </c>
      <c r="F239" s="2" t="s">
        <v>1783</v>
      </c>
      <c r="G239" s="2" t="s">
        <v>1001</v>
      </c>
      <c r="H239" s="22" t="str">
        <f>VLOOKUP(E239,'Lista Infomoney'!B:H,2,FALSE)</f>
        <v>ODPV3F</v>
      </c>
      <c r="I239" s="22" t="str">
        <f>VLOOKUP(E239,'Lista Infomoney'!B:F,3,FALSE)</f>
        <v>ODPV3</v>
      </c>
      <c r="J239" s="6" t="str">
        <f>VLOOKUP(E239,'Lista Infomoney'!B:F,4,FALSE)</f>
        <v/>
      </c>
      <c r="K239" s="6" t="str">
        <f>VLOOKUP(E239,'Lista Infomoney'!B:F,5,FALSE)</f>
        <v/>
      </c>
      <c r="V239" s="6" t="str">
        <f>"(Ação da Odontoprev|Ações da Odontoprev|"&amp;H239&amp;"|"&amp;I239&amp;")"</f>
        <v>(Ação da Odontoprev|Ações da Odontoprev|ODPV3F|ODPV3)</v>
      </c>
    </row>
    <row r="240">
      <c r="A240" s="2">
        <v>1.0</v>
      </c>
      <c r="B240" s="2" t="s">
        <v>756</v>
      </c>
      <c r="C240" s="2" t="s">
        <v>1764</v>
      </c>
      <c r="D240" s="2" t="s">
        <v>1764</v>
      </c>
      <c r="E240" s="2" t="s">
        <v>1784</v>
      </c>
      <c r="F240" s="2" t="s">
        <v>1785</v>
      </c>
      <c r="G240" s="2" t="s">
        <v>1001</v>
      </c>
      <c r="H240" s="22" t="str">
        <f>VLOOKUP(E240,'Lista Infomoney'!B:H,2,FALSE)</f>
        <v>QUAL3F</v>
      </c>
      <c r="I240" s="22" t="str">
        <f>VLOOKUP(E240,'Lista Infomoney'!B:F,3,FALSE)</f>
        <v>QUAL3</v>
      </c>
      <c r="J240" s="6" t="str">
        <f>VLOOKUP(E240,'Lista Infomoney'!B:F,4,FALSE)</f>
        <v/>
      </c>
      <c r="K240" s="6" t="str">
        <f>VLOOKUP(E240,'Lista Infomoney'!B:F,5,FALSE)</f>
        <v/>
      </c>
      <c r="V240" s="6" t="str">
        <f>"(Ação da Qualicorp|Ações da Qualicorp|"&amp;H240&amp;"|"&amp;I240&amp;")"</f>
        <v>(Ação da Qualicorp|Ações da Qualicorp|QUAL3F|QUAL3)</v>
      </c>
    </row>
    <row r="241">
      <c r="A241" s="2">
        <v>1.0</v>
      </c>
      <c r="B241" s="2" t="s">
        <v>756</v>
      </c>
      <c r="C241" s="2" t="s">
        <v>1786</v>
      </c>
      <c r="D241" s="2" t="s">
        <v>1786</v>
      </c>
      <c r="E241" s="2" t="s">
        <v>1787</v>
      </c>
      <c r="F241" s="2" t="s">
        <v>1788</v>
      </c>
      <c r="G241" s="2"/>
      <c r="H241" s="22" t="str">
        <f>VLOOKUP(E241,'Lista Infomoney'!B:H,2,FALSE)</f>
        <v>BALM3F</v>
      </c>
      <c r="I241" s="22" t="str">
        <f>VLOOKUP(E241,'Lista Infomoney'!B:F,3,FALSE)</f>
        <v>BALM4F</v>
      </c>
      <c r="J241" s="22" t="str">
        <f>VLOOKUP(E241,'Lista Infomoney'!B:F,4,FALSE)</f>
        <v>BALM4</v>
      </c>
      <c r="K241" s="22" t="str">
        <f>VLOOKUP(E241,'Lista Infomoney'!B:F,5,FALSE)</f>
        <v>BALM3</v>
      </c>
      <c r="V241" s="6" t="str">
        <f>"(Ação da Baumer|Ações da Baumer|"&amp;H241&amp;"|"&amp;I241&amp;"|"&amp;J241&amp;"|"&amp;K241&amp;")"</f>
        <v>(Ação da Baumer|Ações da Baumer|BALM3F|BALM4F|BALM4|BALM3)</v>
      </c>
    </row>
    <row r="242">
      <c r="A242" s="2">
        <v>2.0</v>
      </c>
      <c r="B242" s="2" t="s">
        <v>756</v>
      </c>
      <c r="C242" s="2" t="s">
        <v>1786</v>
      </c>
      <c r="D242" s="2" t="s">
        <v>1786</v>
      </c>
      <c r="E242" s="2" t="s">
        <v>1789</v>
      </c>
      <c r="F242" s="2" t="s">
        <v>1790</v>
      </c>
      <c r="G242" s="2" t="s">
        <v>1107</v>
      </c>
      <c r="H242" s="2" t="s">
        <v>1791</v>
      </c>
      <c r="V242" s="6" t="str">
        <f>"(Ação da Lifemed|Ações da Lifemed|"&amp;H242&amp;")"</f>
        <v>(Ação da Lifemed|Ações da Lifemed|LMED3)</v>
      </c>
    </row>
    <row r="243">
      <c r="A243" s="2">
        <v>1.0</v>
      </c>
      <c r="B243" s="2" t="s">
        <v>756</v>
      </c>
      <c r="C243" s="2" t="s">
        <v>1514</v>
      </c>
      <c r="D243" s="2" t="s">
        <v>1753</v>
      </c>
      <c r="E243" s="2" t="s">
        <v>1792</v>
      </c>
      <c r="F243" s="2" t="s">
        <v>1793</v>
      </c>
      <c r="G243" s="2"/>
      <c r="H243" s="22" t="str">
        <f>VLOOKUP(E243,'Lista Infomoney'!B:H,2,FALSE)</f>
        <v>PNVL4F</v>
      </c>
      <c r="I243" s="22" t="str">
        <f>VLOOKUP(E243,'Lista Infomoney'!B:F,3,FALSE)</f>
        <v>PNVL3F</v>
      </c>
      <c r="J243" s="22" t="str">
        <f>VLOOKUP(E243,'Lista Infomoney'!B:F,4,FALSE)</f>
        <v>PNVL4</v>
      </c>
      <c r="K243" s="22" t="str">
        <f>VLOOKUP(E243,'Lista Infomoney'!B:F,5,FALSE)</f>
        <v>PNVL3</v>
      </c>
      <c r="V243" s="6" t="str">
        <f>"(Ação da Dimed|Ações da Dimed|"&amp;H243&amp;"|"&amp;I243&amp;"|"&amp;J243&amp;"|"&amp;K243&amp;")"</f>
        <v>(Ação da Dimed|Ações da Dimed|PNVL4F|PNVL3F|PNVL4|PNVL3)</v>
      </c>
    </row>
    <row r="244">
      <c r="A244" s="2">
        <v>1.0</v>
      </c>
      <c r="B244" s="2" t="s">
        <v>756</v>
      </c>
      <c r="C244" s="2" t="s">
        <v>1514</v>
      </c>
      <c r="D244" s="2" t="s">
        <v>1753</v>
      </c>
      <c r="E244" s="2" t="s">
        <v>28</v>
      </c>
      <c r="F244" s="2" t="s">
        <v>1794</v>
      </c>
      <c r="G244" s="2" t="s">
        <v>1001</v>
      </c>
      <c r="H244" s="22" t="str">
        <f>VLOOKUP(E244,'Lista Infomoney'!B:H,2,FALSE)</f>
        <v>DMVF3</v>
      </c>
      <c r="I244" s="6" t="str">
        <f>VLOOKUP(E244,'Lista Infomoney'!B:F,3,FALSE)</f>
        <v/>
      </c>
      <c r="J244" s="6" t="str">
        <f>VLOOKUP(E244,'Lista Infomoney'!B:F,4,FALSE)</f>
        <v/>
      </c>
      <c r="K244" s="6" t="str">
        <f>VLOOKUP(E244,'Lista Infomoney'!B:F,5,FALSE)</f>
        <v/>
      </c>
      <c r="V244" s="6" t="str">
        <f>"(Ação da d100farma|Ações da D100farma|"&amp;H244&amp;")"</f>
        <v>(Ação da d100farma|Ações da D100farma|DMVF3)</v>
      </c>
    </row>
    <row r="245">
      <c r="A245" s="2">
        <v>1.0</v>
      </c>
      <c r="B245" s="2" t="s">
        <v>756</v>
      </c>
      <c r="C245" s="2" t="s">
        <v>1514</v>
      </c>
      <c r="D245" s="2" t="s">
        <v>1753</v>
      </c>
      <c r="E245" s="2" t="s">
        <v>795</v>
      </c>
      <c r="F245" s="2" t="s">
        <v>1795</v>
      </c>
      <c r="G245" s="2" t="s">
        <v>1001</v>
      </c>
      <c r="H245" s="22" t="str">
        <f>VLOOKUP(E245,'Lista Infomoney'!B:H,2,FALSE)</f>
        <v>HYPE3</v>
      </c>
      <c r="I245" s="2" t="s">
        <v>1796</v>
      </c>
      <c r="J245" s="6" t="str">
        <f>VLOOKUP(E245,'Lista Infomoney'!B:F,4,FALSE)</f>
        <v/>
      </c>
      <c r="K245" s="6" t="str">
        <f>VLOOKUP(E245,'Lista Infomoney'!B:F,5,FALSE)</f>
        <v/>
      </c>
      <c r="V245" s="6" t="str">
        <f>"(Ação da Hypera Pharma|Ações da Hypera Pharma|"&amp;H245&amp;"|"&amp;I245&amp;")"</f>
        <v>(Ação da Hypera Pharma|Ações da Hypera Pharma|HYPE3|HYPE3F)</v>
      </c>
    </row>
    <row r="246">
      <c r="A246" s="2">
        <v>1.0</v>
      </c>
      <c r="B246" s="2" t="s">
        <v>756</v>
      </c>
      <c r="C246" s="2" t="s">
        <v>1514</v>
      </c>
      <c r="D246" s="2" t="s">
        <v>1753</v>
      </c>
      <c r="E246" s="2" t="s">
        <v>1797</v>
      </c>
      <c r="F246" s="2" t="s">
        <v>1798</v>
      </c>
      <c r="G246" s="2" t="s">
        <v>1001</v>
      </c>
      <c r="H246" s="22" t="str">
        <f>VLOOKUP(E246,'Lista Infomoney'!B:H,2,FALSE)</f>
        <v>PGMN3</v>
      </c>
      <c r="I246" s="6" t="str">
        <f>VLOOKUP(E246,'Lista Infomoney'!B:F,3,FALSE)</f>
        <v/>
      </c>
      <c r="J246" s="6" t="str">
        <f>VLOOKUP(E246,'Lista Infomoney'!B:F,4,FALSE)</f>
        <v/>
      </c>
      <c r="K246" s="6" t="str">
        <f>VLOOKUP(E246,'Lista Infomoney'!B:F,5,FALSE)</f>
        <v/>
      </c>
      <c r="V246" s="6" t="str">
        <f>"(Ação da Pague Menos|Ações da Pague Menos|"&amp;H246&amp;")"</f>
        <v>(Ação da Pague Menos|Ações da Pague Menos|PGMN3)</v>
      </c>
    </row>
    <row r="247">
      <c r="A247" s="2">
        <v>2.0</v>
      </c>
      <c r="B247" s="2" t="s">
        <v>756</v>
      </c>
      <c r="C247" s="2" t="s">
        <v>1514</v>
      </c>
      <c r="D247" s="2" t="s">
        <v>1753</v>
      </c>
      <c r="E247" s="2" t="s">
        <v>1799</v>
      </c>
      <c r="F247" s="2" t="s">
        <v>1800</v>
      </c>
      <c r="G247" s="2" t="s">
        <v>1001</v>
      </c>
      <c r="H247" s="2" t="s">
        <v>1801</v>
      </c>
      <c r="I247" s="2" t="s">
        <v>1802</v>
      </c>
      <c r="V247" s="6" t="str">
        <f>"(Ação da Profarma|Ações da Profarma|"&amp;H247&amp;"|"&amp;I247&amp;")"</f>
        <v>(Ação da Profarma|Ações da Profarma|PFRM3|PFRM3F)</v>
      </c>
    </row>
    <row r="248">
      <c r="A248" s="2">
        <v>1.0</v>
      </c>
      <c r="B248" s="2" t="s">
        <v>756</v>
      </c>
      <c r="C248" s="2" t="s">
        <v>1514</v>
      </c>
      <c r="D248" s="2" t="s">
        <v>1753</v>
      </c>
      <c r="E248" s="2" t="s">
        <v>787</v>
      </c>
      <c r="F248" s="2" t="s">
        <v>1803</v>
      </c>
      <c r="G248" s="2" t="s">
        <v>1001</v>
      </c>
      <c r="H248" s="22" t="str">
        <f>VLOOKUP(E248,'Lista Infomoney'!B:H,2,FALSE)</f>
        <v>RADL3F</v>
      </c>
      <c r="I248" s="22" t="str">
        <f>VLOOKUP(E248,'Lista Infomoney'!B:F,3,FALSE)</f>
        <v>RADL3</v>
      </c>
      <c r="J248" s="6" t="str">
        <f>VLOOKUP(E248,'Lista Infomoney'!B:F,4,FALSE)</f>
        <v/>
      </c>
      <c r="K248" s="6" t="str">
        <f>VLOOKUP(E248,'Lista Infomoney'!B:F,5,FALSE)</f>
        <v/>
      </c>
      <c r="V248" s="6" t="str">
        <f>"(Ação da Raiadrogasil|Ações da Raiadrogasil|Ação da Drogasil|Ações da Drogasil|"&amp;H248&amp;"|"&amp;I248&amp;")"</f>
        <v>(Ação da Raiadrogasil|Ações da Raiadrogasil|Ação da Drogasil|Ações da Drogasil|RADL3F|RADL3)</v>
      </c>
    </row>
    <row r="249">
      <c r="A249" s="2">
        <v>1.0</v>
      </c>
      <c r="B249" s="2" t="s">
        <v>800</v>
      </c>
      <c r="C249" s="2" t="s">
        <v>1804</v>
      </c>
      <c r="D249" s="2" t="s">
        <v>1804</v>
      </c>
      <c r="E249" s="2" t="s">
        <v>840</v>
      </c>
      <c r="F249" s="27" t="s">
        <v>1805</v>
      </c>
      <c r="G249" s="2" t="s">
        <v>1001</v>
      </c>
      <c r="H249" s="22" t="str">
        <f>VLOOKUP(E249,'Lista Infomoney'!B:H,2,FALSE)</f>
        <v>POSI3F</v>
      </c>
      <c r="I249" s="22" t="str">
        <f>VLOOKUP(E249,'Lista Infomoney'!B:F,3,FALSE)</f>
        <v>POSI3</v>
      </c>
      <c r="J249" s="6" t="str">
        <f>VLOOKUP(E249,'Lista Infomoney'!B:F,4,FALSE)</f>
        <v/>
      </c>
      <c r="K249" s="6" t="str">
        <f>VLOOKUP(E249,'Lista Infomoney'!B:F,5,FALSE)</f>
        <v/>
      </c>
      <c r="V249" s="6" t="str">
        <f>"(Ação da Positivo|Ações da Positivo|"&amp;H249&amp;"|"&amp;I249&amp;")"</f>
        <v>(Ação da Positivo|Ações da Positivo|POSI3F|POSI3)</v>
      </c>
    </row>
    <row r="250">
      <c r="A250" s="2">
        <v>2.0</v>
      </c>
      <c r="B250" s="2" t="s">
        <v>800</v>
      </c>
      <c r="C250" s="2" t="s">
        <v>1806</v>
      </c>
      <c r="D250" s="2" t="s">
        <v>1806</v>
      </c>
      <c r="E250" s="2" t="s">
        <v>1807</v>
      </c>
      <c r="F250" s="2" t="s">
        <v>1808</v>
      </c>
      <c r="G250" s="2" t="s">
        <v>1107</v>
      </c>
      <c r="H250" s="2" t="s">
        <v>1809</v>
      </c>
      <c r="I250" s="2" t="s">
        <v>1810</v>
      </c>
      <c r="V250" s="6" t="str">
        <f>"(Ação da BRQ|Ações da BRQ|"&amp;H250&amp;"|"&amp;I250&amp;")"</f>
        <v>(Ação da BRQ|Ações da BRQ|BRQB3|BRQB3F)</v>
      </c>
    </row>
    <row r="251">
      <c r="A251" s="2">
        <v>1.0</v>
      </c>
      <c r="B251" s="2" t="s">
        <v>800</v>
      </c>
      <c r="C251" s="2" t="s">
        <v>1806</v>
      </c>
      <c r="D251" s="2" t="s">
        <v>1806</v>
      </c>
      <c r="E251" s="2" t="s">
        <v>1811</v>
      </c>
      <c r="F251" s="2" t="s">
        <v>1811</v>
      </c>
      <c r="G251" s="2" t="s">
        <v>1001</v>
      </c>
      <c r="H251" s="22" t="str">
        <f>VLOOKUP(E251,'Lista Infomoney'!B:H,2,FALSE)</f>
        <v>LINX3F</v>
      </c>
      <c r="I251" s="22" t="str">
        <f>VLOOKUP(E251,'Lista Infomoney'!B:F,3,FALSE)</f>
        <v>LINX3</v>
      </c>
      <c r="J251" s="6" t="str">
        <f>VLOOKUP(E251,'Lista Infomoney'!B:F,4,FALSE)</f>
        <v/>
      </c>
      <c r="K251" s="6" t="str">
        <f>VLOOKUP(E251,'Lista Infomoney'!B:F,5,FALSE)</f>
        <v/>
      </c>
      <c r="V251" s="6" t="str">
        <f>"(Ação da Linx|Ações da Linx|"&amp;H251&amp;"|"&amp;I251&amp;")"</f>
        <v>(Ação da Linx|Ações da Linx|LINX3F|LINX3)</v>
      </c>
    </row>
    <row r="252">
      <c r="A252" s="2">
        <v>1.0</v>
      </c>
      <c r="B252" s="2" t="s">
        <v>800</v>
      </c>
      <c r="C252" s="2" t="s">
        <v>1806</v>
      </c>
      <c r="D252" s="2" t="s">
        <v>1806</v>
      </c>
      <c r="E252" s="2" t="s">
        <v>1812</v>
      </c>
      <c r="F252" s="2" t="s">
        <v>1813</v>
      </c>
      <c r="G252" s="2" t="s">
        <v>1001</v>
      </c>
      <c r="H252" s="22" t="str">
        <f>VLOOKUP(E252,'Lista Infomoney'!B:H,2,FALSE)</f>
        <v>LWSA3</v>
      </c>
      <c r="I252" s="6" t="str">
        <f>VLOOKUP(E252,'Lista Infomoney'!B:F,3,FALSE)</f>
        <v/>
      </c>
      <c r="J252" s="6" t="str">
        <f>VLOOKUP(E252,'Lista Infomoney'!B:F,4,FALSE)</f>
        <v/>
      </c>
      <c r="K252" s="6" t="str">
        <f>VLOOKUP(E252,'Lista Infomoney'!B:F,5,FALSE)</f>
        <v/>
      </c>
      <c r="V252" s="6" t="str">
        <f>"(Ação da Locaweb|Ações da Locaweb|"&amp;H252&amp;")"</f>
        <v>(Ação da Locaweb|Ações da Locaweb|LWSA3)</v>
      </c>
    </row>
    <row r="253">
      <c r="A253" s="2">
        <v>2.0</v>
      </c>
      <c r="B253" s="2" t="s">
        <v>800</v>
      </c>
      <c r="C253" s="2" t="s">
        <v>1806</v>
      </c>
      <c r="D253" s="2" t="s">
        <v>1806</v>
      </c>
      <c r="E253" s="2" t="s">
        <v>1814</v>
      </c>
      <c r="F253" s="2" t="s">
        <v>1815</v>
      </c>
      <c r="G253" s="2" t="s">
        <v>1107</v>
      </c>
      <c r="H253" s="2" t="s">
        <v>1816</v>
      </c>
      <c r="I253" s="2" t="s">
        <v>1817</v>
      </c>
      <c r="V253" s="6" t="str">
        <f>"(Ação da Quality soft|Ações da Quality soft|"&amp;H253&amp;"|"&amp;I253&amp;")"</f>
        <v>(Ação da Quality soft|Ações da Quality soft|QUSW3|QUSW3F)</v>
      </c>
    </row>
    <row r="254">
      <c r="A254" s="2">
        <v>2.0</v>
      </c>
      <c r="B254" s="2" t="s">
        <v>800</v>
      </c>
      <c r="C254" s="2" t="s">
        <v>1806</v>
      </c>
      <c r="D254" s="2" t="s">
        <v>1806</v>
      </c>
      <c r="E254" s="2" t="s">
        <v>1818</v>
      </c>
      <c r="F254" s="2" t="s">
        <v>1819</v>
      </c>
      <c r="G254" s="2" t="s">
        <v>1001</v>
      </c>
      <c r="H254" s="2" t="s">
        <v>1820</v>
      </c>
      <c r="V254" s="6" t="str">
        <f>"(Ação da Sinqia|Ações da Sinqia|"&amp;H254&amp;")"</f>
        <v>(Ação da Sinqia|Ações da Sinqia|SQIA3)</v>
      </c>
    </row>
    <row r="255">
      <c r="A255" s="2">
        <v>1.0</v>
      </c>
      <c r="B255" s="2" t="s">
        <v>800</v>
      </c>
      <c r="C255" s="2" t="s">
        <v>1806</v>
      </c>
      <c r="D255" s="2" t="s">
        <v>1806</v>
      </c>
      <c r="E255" s="2" t="s">
        <v>1821</v>
      </c>
      <c r="F255" s="2" t="s">
        <v>1822</v>
      </c>
      <c r="G255" s="2" t="s">
        <v>1001</v>
      </c>
      <c r="H255" s="22" t="str">
        <f>VLOOKUP(E255,'Lista Infomoney'!B:H,2,FALSE)</f>
        <v>TOTS3F</v>
      </c>
      <c r="I255" s="22" t="str">
        <f>VLOOKUP(E255,'Lista Infomoney'!B:F,3,FALSE)</f>
        <v>TOTS3</v>
      </c>
      <c r="J255" s="6" t="str">
        <f>VLOOKUP(E255,'Lista Infomoney'!B:F,4,FALSE)</f>
        <v/>
      </c>
      <c r="K255" s="6" t="str">
        <f>VLOOKUP(E255,'Lista Infomoney'!B:F,5,FALSE)</f>
        <v/>
      </c>
      <c r="V255" s="6" t="str">
        <f>"(Ação da Totvs|Ações da Totvs|"&amp;H255&amp;"|"&amp;I255&amp;")"</f>
        <v>(Ação da Totvs|Ações da Totvs|TOTS3F|TOTS3)</v>
      </c>
    </row>
    <row r="256">
      <c r="A256" s="2">
        <v>2.0</v>
      </c>
      <c r="B256" s="2" t="s">
        <v>1823</v>
      </c>
      <c r="C256" s="2" t="s">
        <v>845</v>
      </c>
      <c r="D256" s="2" t="s">
        <v>845</v>
      </c>
      <c r="E256" s="2" t="s">
        <v>1824</v>
      </c>
      <c r="F256" s="2" t="s">
        <v>1825</v>
      </c>
      <c r="G256" s="2"/>
      <c r="H256" s="2" t="s">
        <v>1825</v>
      </c>
      <c r="V256" s="6" t="str">
        <f>"(Ação da Algar|Ações da Algar|"&amp;H256&amp;")"</f>
        <v>(Ação da Algar|Ações da Algar|ALGT)</v>
      </c>
    </row>
    <row r="257">
      <c r="A257" s="2">
        <v>1.0</v>
      </c>
      <c r="B257" s="2" t="s">
        <v>1823</v>
      </c>
      <c r="C257" s="2" t="s">
        <v>845</v>
      </c>
      <c r="D257" s="2" t="s">
        <v>845</v>
      </c>
      <c r="E257" s="2" t="s">
        <v>849</v>
      </c>
      <c r="F257" s="2" t="s">
        <v>852</v>
      </c>
      <c r="G257" s="2" t="s">
        <v>1029</v>
      </c>
      <c r="H257" s="22" t="str">
        <f>VLOOKUP(E257,'Lista Infomoney'!B:H,2,FALSE)</f>
        <v>OIBR4F</v>
      </c>
      <c r="I257" s="22" t="str">
        <f>VLOOKUP(E257,'Lista Infomoney'!B:F,3,FALSE)</f>
        <v>OIBR4</v>
      </c>
      <c r="J257" s="2" t="s">
        <v>1826</v>
      </c>
      <c r="K257" s="2" t="s">
        <v>1827</v>
      </c>
      <c r="V257" s="6" t="str">
        <f>"(Ações da Oi|Ação da Oi|"&amp;H257&amp;"|"&amp;I257&amp;"|"&amp;J257&amp;"|"&amp;K257&amp;")"</f>
        <v>(Ações da Oi|Ação da Oi|OIBR4F|OIBR4|OIBR3|OIBR3F)</v>
      </c>
    </row>
    <row r="258">
      <c r="A258" s="2">
        <v>1.0</v>
      </c>
      <c r="B258" s="2" t="s">
        <v>1823</v>
      </c>
      <c r="C258" s="2" t="s">
        <v>845</v>
      </c>
      <c r="D258" s="2" t="s">
        <v>845</v>
      </c>
      <c r="E258" s="2" t="s">
        <v>1828</v>
      </c>
      <c r="F258" s="2" t="s">
        <v>1829</v>
      </c>
      <c r="G258" s="2"/>
      <c r="H258" s="22" t="str">
        <f>VLOOKUP(E258,'Lista Infomoney'!B:H,2,FALSE)</f>
        <v>TELB4F</v>
      </c>
      <c r="I258" s="22" t="str">
        <f>VLOOKUP(E258,'Lista Infomoney'!B:F,3,FALSE)</f>
        <v>TELB4</v>
      </c>
      <c r="J258" s="22" t="str">
        <f>VLOOKUP(E258,'Lista Infomoney'!B:F,4,FALSE)</f>
        <v>TELB3F</v>
      </c>
      <c r="K258" s="22" t="str">
        <f>VLOOKUP(E258,'Lista Infomoney'!B:F,5,FALSE)</f>
        <v>TELB3</v>
      </c>
      <c r="V258" s="6" t="str">
        <f>"(Ação da Telebras|Ações da Telebras|"&amp;H258&amp;"|"&amp;I258&amp;"|"&amp;J258&amp;"|"&amp;K258&amp;")"</f>
        <v>(Ação da Telebras|Ações da Telebras|TELB4F|TELB4|TELB3F|TELB3)</v>
      </c>
    </row>
    <row r="259">
      <c r="A259" s="2">
        <v>1.0</v>
      </c>
      <c r="B259" s="2" t="s">
        <v>1823</v>
      </c>
      <c r="C259" s="2" t="s">
        <v>845</v>
      </c>
      <c r="D259" s="2" t="s">
        <v>845</v>
      </c>
      <c r="E259" s="2" t="s">
        <v>856</v>
      </c>
      <c r="F259" s="2" t="s">
        <v>1830</v>
      </c>
      <c r="G259" s="2"/>
      <c r="H259" s="22" t="str">
        <f>VLOOKUP(E259,'Lista Infomoney'!B:H,2,FALSE)</f>
        <v>VIVT4F</v>
      </c>
      <c r="I259" s="22" t="str">
        <f>VLOOKUP(E259,'Lista Infomoney'!B:F,3,FALSE)</f>
        <v>VIVT4</v>
      </c>
      <c r="J259" s="22" t="str">
        <f>VLOOKUP(E259,'Lista Infomoney'!B:F,4,FALSE)</f>
        <v>VIVT3F</v>
      </c>
      <c r="K259" s="22" t="str">
        <f>VLOOKUP(E259,'Lista Infomoney'!B:F,5,FALSE)</f>
        <v>VIVT3</v>
      </c>
      <c r="V259" s="6" t="str">
        <f>"(Ação da Telefonica Brasil|Ações da Telefonica Brasil|"&amp;H259&amp;"|"&amp;I259&amp;"|"&amp;J259&amp;"|"&amp;K259&amp;")"</f>
        <v>(Ação da Telefonica Brasil|Ações da Telefonica Brasil|VIVT4F|VIVT4|VIVT3F|VIVT3)</v>
      </c>
    </row>
    <row r="260">
      <c r="A260" s="2">
        <v>2.0</v>
      </c>
      <c r="B260" s="2" t="s">
        <v>1823</v>
      </c>
      <c r="C260" s="2" t="s">
        <v>845</v>
      </c>
      <c r="D260" s="2" t="s">
        <v>845</v>
      </c>
      <c r="E260" s="2" t="s">
        <v>1831</v>
      </c>
      <c r="F260" s="2" t="s">
        <v>1832</v>
      </c>
      <c r="G260" s="2" t="s">
        <v>1001</v>
      </c>
      <c r="H260" s="2" t="s">
        <v>1833</v>
      </c>
      <c r="V260" s="6" t="str">
        <f>"(Ação da Tim|Ações da Tim|"&amp;H260&amp;")"</f>
        <v>(Ação da Tim|Ações da Tim|TIMS3)</v>
      </c>
    </row>
    <row r="261">
      <c r="A261" s="2">
        <v>1.0</v>
      </c>
      <c r="B261" s="2" t="s">
        <v>1823</v>
      </c>
      <c r="C261" s="2" t="s">
        <v>845</v>
      </c>
      <c r="D261" s="2" t="s">
        <v>845</v>
      </c>
      <c r="E261" s="2" t="s">
        <v>853</v>
      </c>
      <c r="F261" s="2" t="s">
        <v>1834</v>
      </c>
      <c r="G261" s="2" t="s">
        <v>1001</v>
      </c>
      <c r="H261" s="22" t="str">
        <f>VLOOKUP(E261,'Lista Infomoney'!B:H,2,FALSE)</f>
        <v>TIMP3F</v>
      </c>
      <c r="I261" s="22" t="str">
        <f>VLOOKUP(E261,'Lista Infomoney'!B:F,3,FALSE)</f>
        <v>TIMP3</v>
      </c>
      <c r="J261" s="6" t="str">
        <f>VLOOKUP(E261,'Lista Infomoney'!B:F,4,FALSE)</f>
        <v/>
      </c>
      <c r="K261" s="6" t="str">
        <f>VLOOKUP(E261,'Lista Infomoney'!B:F,5,FALSE)</f>
        <v/>
      </c>
      <c r="V261" s="6" t="str">
        <f>"(Ação da Tim Participações|Ações da Tim Perticipações|"&amp;H261&amp;"|"&amp;I261&amp;")"</f>
        <v>(Ação da Tim Participações|Ações da Tim Perticipações|TIMP3F|TIMP3)</v>
      </c>
    </row>
    <row r="262">
      <c r="A262" s="2">
        <v>2.0</v>
      </c>
      <c r="B262" s="2" t="s">
        <v>1823</v>
      </c>
      <c r="C262" s="2" t="s">
        <v>1835</v>
      </c>
      <c r="D262" s="2" t="s">
        <v>1836</v>
      </c>
      <c r="E262" s="2" t="s">
        <v>1837</v>
      </c>
      <c r="F262" s="2" t="s">
        <v>1838</v>
      </c>
      <c r="G262" s="2" t="s">
        <v>1107</v>
      </c>
      <c r="H262" s="2" t="s">
        <v>1839</v>
      </c>
      <c r="I262" s="2" t="s">
        <v>1840</v>
      </c>
      <c r="V262" s="6" t="str">
        <f>"(Ação da Cinesystem|Ações da Cinesystem|"&amp;H262&amp;"|"&amp;I262&amp;")"</f>
        <v>(Ação da Cinesystem|Ações da Cinesystem|CNSY3|CNSY3F)</v>
      </c>
    </row>
    <row r="263">
      <c r="A263" s="2">
        <v>2.0</v>
      </c>
      <c r="B263" s="2" t="s">
        <v>867</v>
      </c>
      <c r="C263" s="2" t="s">
        <v>1841</v>
      </c>
      <c r="D263" s="2" t="s">
        <v>1841</v>
      </c>
      <c r="E263" s="2" t="s">
        <v>1842</v>
      </c>
      <c r="F263" s="2" t="s">
        <v>1843</v>
      </c>
      <c r="G263" s="2"/>
      <c r="H263" s="2" t="s">
        <v>1844</v>
      </c>
      <c r="V263" s="6" t="str">
        <f>"(Ação da Aes Sul|Ações da Aes Sul|"&amp;H263&amp;")"</f>
        <v>(Ação da Aes Sul|Ações da Aes Sul|AESL3)</v>
      </c>
    </row>
    <row r="264">
      <c r="A264" s="2">
        <v>1.0</v>
      </c>
      <c r="B264" s="2" t="s">
        <v>867</v>
      </c>
      <c r="C264" s="2" t="s">
        <v>1841</v>
      </c>
      <c r="D264" s="2" t="s">
        <v>1841</v>
      </c>
      <c r="E264" s="2" t="s">
        <v>949</v>
      </c>
      <c r="F264" s="2" t="s">
        <v>1845</v>
      </c>
      <c r="G264" s="2" t="s">
        <v>1013</v>
      </c>
      <c r="H264" s="22" t="str">
        <f>VLOOKUP(E264,'Lista Infomoney'!B:H,2,FALSE)</f>
        <v>TIET11F</v>
      </c>
      <c r="I264" s="22" t="str">
        <f>VLOOKUP(E264,'Lista Infomoney'!B:F,3,FALSE)</f>
        <v>TIET3F</v>
      </c>
      <c r="J264" s="22" t="str">
        <f>VLOOKUP(E264,'Lista Infomoney'!B:F,4,FALSE)</f>
        <v>TIET4F</v>
      </c>
      <c r="K264" s="22" t="str">
        <f>VLOOKUP(E264,'Lista Infomoney'!B:F,5,FALSE)</f>
        <v>TIET4</v>
      </c>
      <c r="L264" s="2" t="s">
        <v>955</v>
      </c>
      <c r="M264" s="2" t="s">
        <v>954</v>
      </c>
      <c r="V264" s="6" t="str">
        <f>"(Ação da Aes Tiete|Ações da Aes Tiete|"&amp;H264&amp;"|"&amp;I264&amp;"|"&amp;J264&amp;"|"&amp;K264&amp;"|"&amp;L264&amp;"|"&amp;M264&amp;")"</f>
        <v>(Ação da Aes Tiete|Ações da Aes Tiete|TIET11F|TIET3F|TIET4F|TIET4|TIET11|TIET3)</v>
      </c>
    </row>
    <row r="265">
      <c r="A265" s="2">
        <v>1.0</v>
      </c>
      <c r="B265" s="2" t="s">
        <v>867</v>
      </c>
      <c r="C265" s="2" t="s">
        <v>1841</v>
      </c>
      <c r="D265" s="2" t="s">
        <v>1841</v>
      </c>
      <c r="E265" s="2" t="s">
        <v>1846</v>
      </c>
      <c r="F265" s="2" t="s">
        <v>1847</v>
      </c>
      <c r="G265" s="2"/>
      <c r="H265" s="22" t="str">
        <f>VLOOKUP(E265,'Lista Infomoney'!B:H,2,FALSE)</f>
        <v>AFLT3F</v>
      </c>
      <c r="I265" s="2" t="s">
        <v>984</v>
      </c>
      <c r="J265" s="6" t="str">
        <f>VLOOKUP(E265,'Lista Infomoney'!B:F,4,FALSE)</f>
        <v/>
      </c>
      <c r="K265" s="6" t="str">
        <f>VLOOKUP(E265,'Lista Infomoney'!B:F,5,FALSE)</f>
        <v/>
      </c>
      <c r="V265" s="6" t="str">
        <f>"(Ação da Afluente|Ações da Afluente|"&amp;H265&amp;"|"&amp;I265&amp;")"</f>
        <v>(Ação da Afluente|Ações da Afluente|AFLT3F|AFLT3)</v>
      </c>
    </row>
    <row r="266">
      <c r="A266" s="2">
        <v>1.0</v>
      </c>
      <c r="B266" s="2" t="s">
        <v>867</v>
      </c>
      <c r="C266" s="2" t="s">
        <v>1841</v>
      </c>
      <c r="D266" s="2" t="s">
        <v>1841</v>
      </c>
      <c r="E266" s="2" t="s">
        <v>917</v>
      </c>
      <c r="F266" s="2" t="s">
        <v>1848</v>
      </c>
      <c r="G266" s="2" t="s">
        <v>1013</v>
      </c>
      <c r="H266" s="22" t="str">
        <f>VLOOKUP(E266,'Lista Infomoney'!B:H,2,FALSE)</f>
        <v>ALUP4F</v>
      </c>
      <c r="I266" s="22" t="str">
        <f>VLOOKUP(E266,'Lista Infomoney'!B:F,3,FALSE)</f>
        <v>ALUP3F</v>
      </c>
      <c r="J266" s="22" t="str">
        <f>VLOOKUP(E266,'Lista Infomoney'!B:F,4,FALSE)</f>
        <v>ALUP11F</v>
      </c>
      <c r="K266" s="22" t="str">
        <f>VLOOKUP(E266,'Lista Infomoney'!B:F,5,FALSE)</f>
        <v>ALUP4</v>
      </c>
      <c r="L266" s="2" t="s">
        <v>922</v>
      </c>
      <c r="M266" s="2" t="s">
        <v>923</v>
      </c>
      <c r="V266" s="6" t="str">
        <f>"(Ação da Alupar|Ações da Alupar|"&amp;H266&amp;"|"&amp;I266&amp;"|"&amp;J266&amp;"|"&amp;K266&amp;"|"&amp;L266&amp;"|"&amp;M266&amp;")"</f>
        <v>(Ação da Alupar|Ações da Alupar|ALUP4F|ALUP3F|ALUP11F|ALUP4|ALUP3|ALUP11)</v>
      </c>
    </row>
    <row r="267">
      <c r="A267" s="2">
        <v>2.0</v>
      </c>
      <c r="B267" s="2" t="s">
        <v>867</v>
      </c>
      <c r="C267" s="2" t="s">
        <v>1841</v>
      </c>
      <c r="D267" s="2" t="s">
        <v>1841</v>
      </c>
      <c r="E267" s="2" t="s">
        <v>1849</v>
      </c>
      <c r="F267" s="2" t="s">
        <v>1850</v>
      </c>
      <c r="G267" s="2"/>
      <c r="H267" s="2" t="s">
        <v>1851</v>
      </c>
      <c r="V267" s="6" t="str">
        <f>"(Ação da Ampla Energia|Ações da Ampla Energia|"&amp;H267&amp;")"</f>
        <v>(Ação da Ampla Energia|Ações da Ampla Energia|CBEE3)</v>
      </c>
    </row>
    <row r="268">
      <c r="A268" s="2">
        <v>2.0</v>
      </c>
      <c r="B268" s="2" t="s">
        <v>867</v>
      </c>
      <c r="C268" s="2" t="s">
        <v>1841</v>
      </c>
      <c r="D268" s="2" t="s">
        <v>1841</v>
      </c>
      <c r="E268" s="2" t="s">
        <v>1852</v>
      </c>
      <c r="F268" s="24" t="s">
        <v>1853</v>
      </c>
      <c r="G268" s="2" t="s">
        <v>1032</v>
      </c>
      <c r="H268" s="6" t="s">
        <v>1853</v>
      </c>
      <c r="V268" s="6" t="str">
        <f>"(Ações da Cachoeira|Ação da Cachoeira|"&amp;H268&amp;")"</f>
        <v>(Ações da Cachoeira|Ação da Cachoeira|CPTE)</v>
      </c>
    </row>
    <row r="269">
      <c r="A269" s="2">
        <v>1.0</v>
      </c>
      <c r="B269" s="2" t="s">
        <v>867</v>
      </c>
      <c r="C269" s="2" t="s">
        <v>1841</v>
      </c>
      <c r="D269" s="2" t="s">
        <v>1841</v>
      </c>
      <c r="E269" s="2" t="s">
        <v>893</v>
      </c>
      <c r="F269" s="2" t="s">
        <v>1854</v>
      </c>
      <c r="G269" s="2"/>
      <c r="H269" s="22" t="str">
        <f>VLOOKUP(E269,'Lista Infomoney'!B:H,2,FALSE)</f>
        <v>CEBR3F</v>
      </c>
      <c r="I269" s="22" t="str">
        <f>VLOOKUP(E269,'Lista Infomoney'!B:F,3,FALSE)</f>
        <v>CEBR6F</v>
      </c>
      <c r="J269" s="22" t="str">
        <f>VLOOKUP(E269,'Lista Infomoney'!B:F,4,FALSE)</f>
        <v>CEBR5F</v>
      </c>
      <c r="K269" s="22" t="str">
        <f>VLOOKUP(E269,'Lista Infomoney'!B:F,5,FALSE)</f>
        <v>CEBR6</v>
      </c>
      <c r="L269" s="2" t="s">
        <v>899</v>
      </c>
      <c r="M269" s="2" t="s">
        <v>898</v>
      </c>
      <c r="V269" s="6" t="str">
        <f>"(Ação da CEB|Ações da CEB|"&amp;H269&amp;"|"&amp;I269&amp;"|"&amp;J269&amp;"|"&amp;K269&amp;"|"&amp;L269&amp;"|"&amp;M269&amp;")"</f>
        <v>(Ação da CEB|Ações da CEB|CEBR3F|CEBR6F|CEBR5F|CEBR6|CEBR3|CEBR5)</v>
      </c>
    </row>
    <row r="270">
      <c r="A270" s="2">
        <v>1.0</v>
      </c>
      <c r="B270" s="2" t="s">
        <v>867</v>
      </c>
      <c r="C270" s="2" t="s">
        <v>1841</v>
      </c>
      <c r="D270" s="2" t="s">
        <v>1841</v>
      </c>
      <c r="E270" s="2" t="s">
        <v>875</v>
      </c>
      <c r="F270" s="2" t="s">
        <v>1855</v>
      </c>
      <c r="G270" s="2" t="s">
        <v>1029</v>
      </c>
      <c r="H270" s="22" t="str">
        <f>VLOOKUP(E270,'Lista Infomoney'!B:H,2,FALSE)</f>
        <v>CEED3F</v>
      </c>
      <c r="I270" s="22" t="str">
        <f>VLOOKUP(E270,'Lista Infomoney'!B:F,3,FALSE)</f>
        <v>CEED4F</v>
      </c>
      <c r="J270" s="22" t="str">
        <f>VLOOKUP(E270,'Lista Infomoney'!B:F,4,FALSE)</f>
        <v>CEED4</v>
      </c>
      <c r="K270" s="22" t="str">
        <f>VLOOKUP(E270,'Lista Infomoney'!B:F,5,FALSE)</f>
        <v>CEED3</v>
      </c>
      <c r="V270" s="6" t="str">
        <f>"(Ação da Ceee d|Ações da Ceee d|"&amp;H270&amp;"|"&amp;I270&amp;"|"&amp;J270&amp;"|"&amp;K270&amp;")"</f>
        <v>(Ação da Ceee d|Ações da Ceee d|CEED3F|CEED4F|CEED4|CEED3)</v>
      </c>
    </row>
    <row r="271">
      <c r="A271" s="2">
        <v>1.0</v>
      </c>
      <c r="B271" s="2" t="s">
        <v>867</v>
      </c>
      <c r="C271" s="2" t="s">
        <v>1841</v>
      </c>
      <c r="D271" s="2" t="s">
        <v>1841</v>
      </c>
      <c r="E271" s="2" t="s">
        <v>1856</v>
      </c>
      <c r="F271" s="2" t="s">
        <v>1857</v>
      </c>
      <c r="G271" s="2" t="s">
        <v>1029</v>
      </c>
      <c r="H271" s="22" t="str">
        <f>VLOOKUP(E271,'Lista Infomoney'!B:H,2,FALSE)</f>
        <v>EEEL4F</v>
      </c>
      <c r="I271" s="22" t="str">
        <f>VLOOKUP(E271,'Lista Infomoney'!B:F,3,FALSE)</f>
        <v>EEEL3F</v>
      </c>
      <c r="J271" s="22" t="str">
        <f>VLOOKUP(E271,'Lista Infomoney'!B:F,4,FALSE)</f>
        <v>EEEL4</v>
      </c>
      <c r="K271" s="22" t="str">
        <f>VLOOKUP(E271,'Lista Infomoney'!B:F,5,FALSE)</f>
        <v>EEEL3</v>
      </c>
      <c r="V271" s="6" t="str">
        <f>"(Ação da Ceee gt|Ações da Ceee gt|"&amp;H271&amp;"|"&amp;I271&amp;"|"&amp;J271&amp;"|"&amp;K271&amp;")"</f>
        <v>(Ação da Ceee gt|Ações da Ceee gt|EEEL4F|EEEL3F|EEEL4|EEEL3)</v>
      </c>
    </row>
    <row r="272">
      <c r="A272" s="2">
        <v>1.0</v>
      </c>
      <c r="B272" s="2" t="s">
        <v>867</v>
      </c>
      <c r="C272" s="2" t="s">
        <v>1841</v>
      </c>
      <c r="D272" s="2" t="s">
        <v>1841</v>
      </c>
      <c r="E272" s="2" t="s">
        <v>1858</v>
      </c>
      <c r="F272" s="2" t="s">
        <v>1859</v>
      </c>
      <c r="G272" s="2" t="s">
        <v>1013</v>
      </c>
      <c r="H272" s="22" t="str">
        <f>VLOOKUP(E272,'Lista Infomoney'!B:H,2,FALSE)</f>
        <v>CLSC4F</v>
      </c>
      <c r="I272" s="22" t="str">
        <f>VLOOKUP(E272,'Lista Infomoney'!B:F,3,FALSE)</f>
        <v>CLSC3F</v>
      </c>
      <c r="J272" s="22" t="str">
        <f>VLOOKUP(E272,'Lista Infomoney'!B:F,4,FALSE)</f>
        <v>CLSC4</v>
      </c>
      <c r="K272" s="22" t="str">
        <f>VLOOKUP(E272,'Lista Infomoney'!B:F,5,FALSE)</f>
        <v>CLSC3</v>
      </c>
      <c r="V272" s="6" t="str">
        <f>"(Ações da Celesc|Ação da Celesc|"&amp;H272&amp;"|"&amp;I272&amp;"|"&amp;J272&amp;"|"&amp;K272&amp;")"</f>
        <v>(Ações da Celesc|Ação da Celesc|CLSC4F|CLSC3F|CLSC4|CLSC3)</v>
      </c>
    </row>
    <row r="273">
      <c r="A273" s="2">
        <v>2.0</v>
      </c>
      <c r="B273" s="2" t="s">
        <v>867</v>
      </c>
      <c r="C273" s="2" t="s">
        <v>1841</v>
      </c>
      <c r="D273" s="2" t="s">
        <v>1841</v>
      </c>
      <c r="E273" s="2" t="s">
        <v>1860</v>
      </c>
      <c r="F273" s="2" t="s">
        <v>1861</v>
      </c>
      <c r="G273" s="2"/>
      <c r="H273" s="2" t="s">
        <v>1862</v>
      </c>
      <c r="V273" s="6" t="str">
        <f>"(Ação da Celgpar|Ações da Celgpar|"&amp;H273&amp;")"</f>
        <v>(Ação da Celgpar|Ações da Celgpar|GPAR3)</v>
      </c>
    </row>
    <row r="274">
      <c r="A274" s="2">
        <v>1.0</v>
      </c>
      <c r="B274" s="2" t="s">
        <v>867</v>
      </c>
      <c r="C274" s="2" t="s">
        <v>1841</v>
      </c>
      <c r="D274" s="2" t="s">
        <v>1841</v>
      </c>
      <c r="E274" s="2" t="s">
        <v>1863</v>
      </c>
      <c r="F274" s="2" t="s">
        <v>1864</v>
      </c>
      <c r="G274" s="2" t="s">
        <v>1865</v>
      </c>
      <c r="H274" s="22" t="str">
        <f>VLOOKUP(E274,'Lista Infomoney'!B:H,2,FALSE)</f>
        <v>CEPE6F</v>
      </c>
      <c r="I274" s="22" t="str">
        <f>VLOOKUP(E274,'Lista Infomoney'!B:F,3,FALSE)</f>
        <v>CEPE5F</v>
      </c>
      <c r="J274" s="22" t="str">
        <f>VLOOKUP(E274,'Lista Infomoney'!B:F,4,FALSE)</f>
        <v>CEPE3F</v>
      </c>
      <c r="K274" s="22" t="str">
        <f>VLOOKUP(E274,'Lista Infomoney'!B:F,5,FALSE)</f>
        <v>CEPE6</v>
      </c>
      <c r="L274" s="2" t="s">
        <v>873</v>
      </c>
      <c r="M274" s="2" t="s">
        <v>874</v>
      </c>
      <c r="V274" s="6" t="str">
        <f>"(Ação da Celpe|Ações da Celpe|"&amp;H274&amp;"|"&amp;I274&amp;"|"&amp;J274&amp;"|"&amp;K274&amp;"|"&amp;L274&amp;"|"&amp;M274&amp;")"</f>
        <v>(Ação da Celpe|Ações da Celpe|CEPE6F|CEPE5F|CEPE3F|CEPE6|CEPE5|CEPE3)</v>
      </c>
    </row>
    <row r="275">
      <c r="A275" s="2">
        <v>1.0</v>
      </c>
      <c r="B275" s="2" t="s">
        <v>867</v>
      </c>
      <c r="C275" s="2" t="s">
        <v>1841</v>
      </c>
      <c r="D275" s="2" t="s">
        <v>1841</v>
      </c>
      <c r="E275" s="2" t="s">
        <v>1866</v>
      </c>
      <c r="F275" s="2" t="s">
        <v>1867</v>
      </c>
      <c r="G275" s="2" t="s">
        <v>1029</v>
      </c>
      <c r="H275" s="22" t="str">
        <f>VLOOKUP(E275,'Lista Infomoney'!B:H,2,FALSE)</f>
        <v>CMIG4</v>
      </c>
      <c r="I275" s="22" t="str">
        <f>VLOOKUP(E275,'Lista Infomoney'!B:F,3,FALSE)</f>
        <v>CMIG3F</v>
      </c>
      <c r="J275" s="22" t="str">
        <f>VLOOKUP(E275,'Lista Infomoney'!B:F,4,FALSE)</f>
        <v>CMIG3</v>
      </c>
      <c r="K275" s="2" t="s">
        <v>1868</v>
      </c>
      <c r="L275" s="2" t="s">
        <v>1869</v>
      </c>
      <c r="M275" s="2" t="s">
        <v>1870</v>
      </c>
      <c r="V275" s="6" t="str">
        <f>"(Ação da Cemig|Ações da Cemig|"&amp;H275&amp;"|"&amp;I275&amp;"|"&amp;J275&amp;"|"&amp;K275&amp;"|"&amp;L275&amp;"|"&amp;M275&amp;")"</f>
        <v>(Ação da Cemig|Ações da Cemig|CMIG4|CMIG3F|CMIG3|CMIG4F|CMIG10F|CMIG9F)</v>
      </c>
    </row>
    <row r="276">
      <c r="A276" s="2">
        <v>2.0</v>
      </c>
      <c r="B276" s="2" t="s">
        <v>867</v>
      </c>
      <c r="C276" s="2" t="s">
        <v>1841</v>
      </c>
      <c r="D276" s="2" t="s">
        <v>1841</v>
      </c>
      <c r="E276" s="2" t="s">
        <v>1871</v>
      </c>
      <c r="F276" s="24" t="s">
        <v>1872</v>
      </c>
      <c r="G276" s="2"/>
      <c r="H276" s="6" t="s">
        <v>1872</v>
      </c>
      <c r="V276" s="6" t="str">
        <f>"(Ação da Cemig dist|Ações da Cemig dist|"&amp;H276&amp;")"</f>
        <v>(Ação da Cemig dist|Ações da Cemig dist|CMGD)</v>
      </c>
    </row>
    <row r="277">
      <c r="A277" s="2">
        <v>2.0</v>
      </c>
      <c r="B277" s="2" t="s">
        <v>867</v>
      </c>
      <c r="C277" s="2" t="s">
        <v>1841</v>
      </c>
      <c r="D277" s="2" t="s">
        <v>1841</v>
      </c>
      <c r="E277" s="2" t="s">
        <v>1873</v>
      </c>
      <c r="F277" s="24" t="s">
        <v>1874</v>
      </c>
      <c r="G277" s="2"/>
      <c r="H277" s="6" t="s">
        <v>1874</v>
      </c>
      <c r="V277" s="6" t="str">
        <f>"(Ação da Cemig gt|Ações da Cemig gt|"&amp;H277&amp;")"</f>
        <v>(Ação da Cemig gt|Ações da Cemig gt|CMGT)</v>
      </c>
    </row>
    <row r="278">
      <c r="A278" s="2">
        <v>1.0</v>
      </c>
      <c r="B278" s="2" t="s">
        <v>867</v>
      </c>
      <c r="C278" s="2" t="s">
        <v>1841</v>
      </c>
      <c r="D278" s="2" t="s">
        <v>1841</v>
      </c>
      <c r="E278" s="2" t="s">
        <v>975</v>
      </c>
      <c r="F278" s="2" t="s">
        <v>975</v>
      </c>
      <c r="G278" s="2" t="s">
        <v>1029</v>
      </c>
      <c r="H278" s="22" t="str">
        <f>VLOOKUP(E278,'Lista Infomoney'!B:H,2,FALSE)</f>
        <v>CESP6</v>
      </c>
      <c r="I278" s="22" t="str">
        <f>VLOOKUP(E278,'Lista Infomoney'!B:F,3,FALSE)</f>
        <v>CESP5</v>
      </c>
      <c r="J278" s="22" t="str">
        <f>VLOOKUP(E278,'Lista Infomoney'!B:F,4,FALSE)</f>
        <v>CESP3F</v>
      </c>
      <c r="K278" s="22" t="str">
        <f>VLOOKUP(E278,'Lista Infomoney'!B:F,5,FALSE)</f>
        <v>CESP3</v>
      </c>
      <c r="L278" s="2" t="s">
        <v>1875</v>
      </c>
      <c r="M278" s="2" t="s">
        <v>1876</v>
      </c>
      <c r="V278" s="6" t="str">
        <f>"(Ações da Cesp|Ação da Cesp|"&amp;H278&amp;"|"&amp;I278&amp;"|"&amp;J278&amp;"|"&amp;K278&amp;"|"&amp;L278&amp;"|"&amp;M278&amp;")"</f>
        <v>(Ações da Cesp|Ação da Cesp|CESP6|CESP5|CESP3F|CESP3|CESP6F|CESP5F)</v>
      </c>
    </row>
    <row r="279">
      <c r="A279" s="2">
        <v>2.0</v>
      </c>
      <c r="B279" s="2" t="s">
        <v>867</v>
      </c>
      <c r="C279" s="2" t="s">
        <v>1841</v>
      </c>
      <c r="D279" s="2" t="s">
        <v>1841</v>
      </c>
      <c r="E279" s="2" t="s">
        <v>1877</v>
      </c>
      <c r="F279" s="2" t="s">
        <v>1878</v>
      </c>
      <c r="G279" s="2"/>
      <c r="H279" s="2" t="s">
        <v>1879</v>
      </c>
      <c r="I279" s="2" t="s">
        <v>1880</v>
      </c>
      <c r="J279" s="2" t="s">
        <v>1881</v>
      </c>
      <c r="V279" s="6" t="str">
        <f>"(Ação da Coelba|Ações da Coelba|"&amp;H279&amp;"|"&amp;I279&amp;"|"&amp;J279&amp;")"</f>
        <v>(Ação da Coelba|Ações da Coelba|CEEB5|CEEB3|CEEB6)</v>
      </c>
    </row>
    <row r="280">
      <c r="A280" s="2">
        <v>1.0</v>
      </c>
      <c r="B280" s="2" t="s">
        <v>867</v>
      </c>
      <c r="C280" s="2" t="s">
        <v>1841</v>
      </c>
      <c r="D280" s="2" t="s">
        <v>1841</v>
      </c>
      <c r="E280" s="2" t="s">
        <v>1882</v>
      </c>
      <c r="F280" s="2" t="s">
        <v>1883</v>
      </c>
      <c r="G280" s="2" t="s">
        <v>1865</v>
      </c>
      <c r="H280" s="22" t="str">
        <f>VLOOKUP(E280,'Lista Infomoney'!B:H,2,FALSE)</f>
        <v>COCE6F</v>
      </c>
      <c r="I280" s="22" t="str">
        <f>VLOOKUP(E280,'Lista Infomoney'!B:F,3,FALSE)</f>
        <v>COCE5F</v>
      </c>
      <c r="J280" s="22" t="str">
        <f>VLOOKUP(E280,'Lista Infomoney'!B:F,4,FALSE)</f>
        <v>COCE3F</v>
      </c>
      <c r="K280" s="22" t="str">
        <f>VLOOKUP(E280,'Lista Infomoney'!B:F,5,FALSE)</f>
        <v>COCE6</v>
      </c>
      <c r="L280" s="2" t="s">
        <v>911</v>
      </c>
      <c r="M280" s="2" t="s">
        <v>910</v>
      </c>
      <c r="V280" s="6" t="str">
        <f>"(Ação da Coelce|Ações da Coelce|"&amp;H280&amp;"|"&amp;I280&amp;"|"&amp;J280&amp;"|"&amp;K280&amp;"|"&amp;L280&amp;"|"&amp;M280&amp;")"</f>
        <v>(Ação da Coelce|Ações da Coelce|COCE6F|COCE5F|COCE3F|COCE6|COCE3|COCE5)</v>
      </c>
    </row>
    <row r="281">
      <c r="A281" s="2">
        <v>1.0</v>
      </c>
      <c r="B281" s="2" t="s">
        <v>867</v>
      </c>
      <c r="C281" s="2" t="s">
        <v>1841</v>
      </c>
      <c r="D281" s="2" t="s">
        <v>1841</v>
      </c>
      <c r="E281" s="2" t="s">
        <v>1884</v>
      </c>
      <c r="F281" s="2" t="s">
        <v>1885</v>
      </c>
      <c r="G281" s="2" t="s">
        <v>1029</v>
      </c>
      <c r="H281" s="22" t="str">
        <f>VLOOKUP(E281,'Lista Infomoney'!B:H,2,FALSE)</f>
        <v>CPLE5F</v>
      </c>
      <c r="I281" s="22" t="str">
        <f>VLOOKUP(E281,'Lista Infomoney'!B:F,3,FALSE)</f>
        <v>CPLE6F</v>
      </c>
      <c r="J281" s="22" t="str">
        <f>VLOOKUP(E281,'Lista Infomoney'!B:F,4,FALSE)</f>
        <v>CPLE6</v>
      </c>
      <c r="K281" s="22" t="str">
        <f>VLOOKUP(E281,'Lista Infomoney'!B:F,5,FALSE)</f>
        <v>CPLE5</v>
      </c>
      <c r="L281" s="2" t="s">
        <v>940</v>
      </c>
      <c r="M281" s="2" t="s">
        <v>939</v>
      </c>
      <c r="V281" s="6" t="str">
        <f>"(Ação da Copel|Ações da Copel|"&amp;H281&amp;"|"&amp;I281&amp;"|"&amp;J281&amp;"|"&amp;K281&amp;"|"&amp;L281&amp;"|"&amp;M281&amp;")"</f>
        <v>(Ação da Copel|Ações da Copel|CPLE5F|CPLE6F|CPLE6|CPLE5|CPLE3|CPLE3F)</v>
      </c>
    </row>
    <row r="282">
      <c r="A282" s="2">
        <v>2.0</v>
      </c>
      <c r="B282" s="2" t="s">
        <v>867</v>
      </c>
      <c r="C282" s="2" t="s">
        <v>1841</v>
      </c>
      <c r="D282" s="2" t="s">
        <v>1841</v>
      </c>
      <c r="E282" s="2" t="s">
        <v>1886</v>
      </c>
      <c r="F282" s="2" t="s">
        <v>1887</v>
      </c>
      <c r="G282" s="2"/>
      <c r="H282" s="2" t="s">
        <v>1888</v>
      </c>
      <c r="I282" s="2" t="s">
        <v>1889</v>
      </c>
      <c r="J282" s="2" t="s">
        <v>1890</v>
      </c>
      <c r="V282" s="6" t="str">
        <f>"(Ação da Cosern|Ações da Cosern|"&amp;H282&amp;"|"&amp;I282&amp;"|"&amp;J282&amp;")"</f>
        <v>(Ação da Cosern|Ações da Cosern|CSRN3|CSRN5|CSRN6)</v>
      </c>
    </row>
    <row r="283">
      <c r="A283" s="2">
        <v>1.0</v>
      </c>
      <c r="B283" s="2" t="s">
        <v>867</v>
      </c>
      <c r="C283" s="2" t="s">
        <v>1841</v>
      </c>
      <c r="D283" s="2" t="s">
        <v>1841</v>
      </c>
      <c r="E283" s="2" t="s">
        <v>1891</v>
      </c>
      <c r="F283" s="2" t="s">
        <v>1892</v>
      </c>
      <c r="G283" s="2" t="s">
        <v>1001</v>
      </c>
      <c r="H283" s="23" t="s">
        <v>942</v>
      </c>
      <c r="I283" s="22" t="str">
        <f>VLOOKUP(E283,'Lista Infomoney'!B:F,3,FALSE)</f>
        <v>CPFE3</v>
      </c>
      <c r="J283" s="6" t="str">
        <f>VLOOKUP(E283,'Lista Infomoney'!B:F,4,FALSE)</f>
        <v/>
      </c>
      <c r="K283" s="6" t="str">
        <f>VLOOKUP(E283,'Lista Infomoney'!B:F,5,FALSE)</f>
        <v/>
      </c>
      <c r="V283" s="6" t="str">
        <f>"(Ação da CPFL Energia|Ações da CPFL Energia|"&amp;H283&amp;"|"&amp;I283&amp;")"</f>
        <v>(Ação da CPFL Energia|Ações da CPFL Energia|CPFE3F|CPFE3)</v>
      </c>
    </row>
    <row r="284">
      <c r="A284" s="2">
        <v>2.0</v>
      </c>
      <c r="B284" s="2" t="s">
        <v>867</v>
      </c>
      <c r="C284" s="2" t="s">
        <v>1841</v>
      </c>
      <c r="D284" s="2" t="s">
        <v>1841</v>
      </c>
      <c r="E284" s="2" t="s">
        <v>1893</v>
      </c>
      <c r="F284" s="24" t="s">
        <v>1894</v>
      </c>
      <c r="G284" s="2"/>
      <c r="H284" s="6" t="s">
        <v>1894</v>
      </c>
      <c r="V284" s="6" t="str">
        <f>"(Ação da CPFL Geração|Ações da CPFL Geração|"&amp;H284&amp;")"</f>
        <v>(Ação da CPFL Geração|Ações da CPFL Geração|CPFG)</v>
      </c>
    </row>
    <row r="285">
      <c r="A285" s="2">
        <v>2.0</v>
      </c>
      <c r="B285" s="2" t="s">
        <v>867</v>
      </c>
      <c r="C285" s="2" t="s">
        <v>1841</v>
      </c>
      <c r="D285" s="2" t="s">
        <v>1841</v>
      </c>
      <c r="E285" s="2" t="s">
        <v>1895</v>
      </c>
      <c r="F285" s="24" t="s">
        <v>1896</v>
      </c>
      <c r="G285" s="2"/>
      <c r="H285" s="6" t="s">
        <v>1896</v>
      </c>
      <c r="V285" s="6" t="str">
        <f>"(Ações da CPFL Piratin|Ação da CPFL Piratin|"&amp;H285&amp;")"</f>
        <v>(Ações da CPFL Piratin|Ação da CPFL Piratin|CPFP)</v>
      </c>
    </row>
    <row r="286">
      <c r="A286" s="2">
        <v>1.0</v>
      </c>
      <c r="B286" s="2" t="s">
        <v>867</v>
      </c>
      <c r="C286" s="2" t="s">
        <v>1841</v>
      </c>
      <c r="D286" s="2" t="s">
        <v>1841</v>
      </c>
      <c r="E286" s="2" t="s">
        <v>1897</v>
      </c>
      <c r="F286" s="2" t="s">
        <v>1898</v>
      </c>
      <c r="G286" s="2"/>
      <c r="H286" s="22" t="str">
        <f>VLOOKUP(E286,'Lista Infomoney'!B:H,2,FALSE)</f>
        <v>CPRE3F</v>
      </c>
      <c r="I286" s="22" t="str">
        <f>VLOOKUP(E286,'Lista Infomoney'!B:F,3,FALSE)</f>
        <v>CPRE3</v>
      </c>
      <c r="J286" s="6" t="str">
        <f>VLOOKUP(E286,'Lista Infomoney'!B:F,4,FALSE)</f>
        <v/>
      </c>
      <c r="K286" s="6" t="str">
        <f>VLOOKUP(E286,'Lista Infomoney'!B:F,5,FALSE)</f>
        <v/>
      </c>
      <c r="V286" s="6" t="str">
        <f>"(Ação da CPFL Renovav|Ações da CPFL Renovav|"&amp;H286&amp;"|"&amp;I286&amp;")"</f>
        <v>(Ação da CPFL Renovav|Ações da CPFL Renovav|CPRE3F|CPRE3)</v>
      </c>
    </row>
    <row r="287">
      <c r="A287" s="2">
        <v>2.0</v>
      </c>
      <c r="B287" s="2" t="s">
        <v>867</v>
      </c>
      <c r="C287" s="2" t="s">
        <v>1841</v>
      </c>
      <c r="D287" s="2" t="s">
        <v>1841</v>
      </c>
      <c r="E287" s="2" t="s">
        <v>1899</v>
      </c>
      <c r="F287" s="24" t="s">
        <v>1900</v>
      </c>
      <c r="G287" s="2"/>
      <c r="H287" s="6" t="s">
        <v>1900</v>
      </c>
      <c r="V287" s="6" t="str">
        <f>"(Ação da EBE|Ações da EBE|"&amp;H287&amp;")"</f>
        <v>(Ação da EBE|Ações da EBE|EBEN)</v>
      </c>
    </row>
    <row r="288">
      <c r="A288" s="2">
        <v>2.0</v>
      </c>
      <c r="B288" s="2" t="s">
        <v>867</v>
      </c>
      <c r="C288" s="2" t="s">
        <v>1841</v>
      </c>
      <c r="D288" s="2" t="s">
        <v>1841</v>
      </c>
      <c r="E288" s="2" t="s">
        <v>1901</v>
      </c>
      <c r="F288" s="2" t="s">
        <v>1902</v>
      </c>
      <c r="G288" s="2"/>
      <c r="H288" s="2" t="s">
        <v>1903</v>
      </c>
      <c r="I288" s="2" t="s">
        <v>1904</v>
      </c>
      <c r="V288" s="6" t="str">
        <f>"(Ação da Elektro|Ações da Elektro|"&amp;H288&amp;"|"&amp;I288&amp;")"</f>
        <v>(Ação da Elektro|Ações da Elektro|EKTR3|EKTR4)</v>
      </c>
    </row>
    <row r="289">
      <c r="A289" s="2">
        <v>2.0</v>
      </c>
      <c r="B289" s="2" t="s">
        <v>867</v>
      </c>
      <c r="C289" s="2" t="s">
        <v>1841</v>
      </c>
      <c r="D289" s="2" t="s">
        <v>1841</v>
      </c>
      <c r="E289" s="2" t="s">
        <v>1905</v>
      </c>
      <c r="F289" s="2" t="s">
        <v>1906</v>
      </c>
      <c r="G289" s="2" t="s">
        <v>1029</v>
      </c>
      <c r="H289" s="2" t="s">
        <v>1907</v>
      </c>
      <c r="I289" s="2" t="s">
        <v>1908</v>
      </c>
      <c r="J289" s="2" t="s">
        <v>1909</v>
      </c>
      <c r="K289" s="2" t="s">
        <v>1910</v>
      </c>
      <c r="L289" s="2" t="s">
        <v>1911</v>
      </c>
      <c r="M289" s="2" t="s">
        <v>1912</v>
      </c>
      <c r="V289" s="6" t="str">
        <f>"(Ação da Eletrobras|Ações da Eletrobras|"&amp;H289&amp;"|"&amp;I289&amp;"|"&amp;J289&amp;"|"&amp;K289&amp;"|"&amp;L289&amp;"|"&amp;M289&amp;")"</f>
        <v>(Ação da Eletrobras|Ações da Eletrobras|ELET3|ELET5|ELET6|ELET3F|ELET5F|ELET6F)</v>
      </c>
    </row>
    <row r="290">
      <c r="A290" s="2">
        <v>2.0</v>
      </c>
      <c r="B290" s="2" t="s">
        <v>867</v>
      </c>
      <c r="C290" s="2" t="s">
        <v>1841</v>
      </c>
      <c r="D290" s="2" t="s">
        <v>1841</v>
      </c>
      <c r="E290" s="2" t="s">
        <v>1913</v>
      </c>
      <c r="F290" s="2" t="s">
        <v>1914</v>
      </c>
      <c r="G290" s="2"/>
      <c r="H290" s="2" t="s">
        <v>1915</v>
      </c>
      <c r="V290" s="6" t="str">
        <f>"(Ação da Eletropar|Ações da Eletropar|"&amp;H290&amp;")"</f>
        <v>(Ação da Eletropar|Ações da Eletropar|LIPR3)</v>
      </c>
    </row>
    <row r="291">
      <c r="A291" s="2">
        <v>2.0</v>
      </c>
      <c r="B291" s="2" t="s">
        <v>867</v>
      </c>
      <c r="C291" s="2" t="s">
        <v>1841</v>
      </c>
      <c r="D291" s="2" t="s">
        <v>1841</v>
      </c>
      <c r="E291" s="2" t="s">
        <v>1916</v>
      </c>
      <c r="F291" s="2" t="s">
        <v>1916</v>
      </c>
      <c r="G291" s="2"/>
      <c r="H291" s="2" t="s">
        <v>1917</v>
      </c>
      <c r="V291" s="6" t="str">
        <f>"(Ação da Emae|Ações da Emae|"&amp;H291&amp;")"</f>
        <v>(Ação da Emae|Ações da Emae|EMAE4)</v>
      </c>
    </row>
    <row r="292">
      <c r="A292" s="2">
        <v>2.0</v>
      </c>
      <c r="B292" s="2" t="s">
        <v>867</v>
      </c>
      <c r="C292" s="2" t="s">
        <v>1841</v>
      </c>
      <c r="D292" s="2" t="s">
        <v>1841</v>
      </c>
      <c r="E292" s="2" t="s">
        <v>1918</v>
      </c>
      <c r="F292" s="2" t="s">
        <v>1919</v>
      </c>
      <c r="G292" s="2" t="s">
        <v>1001</v>
      </c>
      <c r="H292" s="2" t="s">
        <v>1920</v>
      </c>
      <c r="I292" s="2" t="s">
        <v>1921</v>
      </c>
      <c r="V292" s="6" t="str">
        <f>"(Ação da Energias Br|Ações da Energias Br|"&amp;H292&amp;"|"&amp;I292&amp;")"</f>
        <v>(Ação da Energias Br|Ações da Energias Br|ENBR3|ENBR3F)</v>
      </c>
    </row>
    <row r="293">
      <c r="A293" s="2">
        <v>2.0</v>
      </c>
      <c r="B293" s="2" t="s">
        <v>867</v>
      </c>
      <c r="C293" s="2" t="s">
        <v>1841</v>
      </c>
      <c r="D293" s="2" t="s">
        <v>1841</v>
      </c>
      <c r="E293" s="2" t="s">
        <v>1922</v>
      </c>
      <c r="F293" s="2" t="s">
        <v>1923</v>
      </c>
      <c r="G293" s="2" t="s">
        <v>1013</v>
      </c>
      <c r="H293" s="2" t="s">
        <v>1924</v>
      </c>
      <c r="I293" s="2" t="s">
        <v>1925</v>
      </c>
      <c r="J293" s="2" t="s">
        <v>1926</v>
      </c>
      <c r="V293" s="6" t="str">
        <f>"(Ações da Energisa|Ação da Energisa|"&amp;H293&amp;"|"&amp;I293&amp;"|"&amp;J293&amp;")"</f>
        <v>(Ações da Energisa|Ação da Energisa|ENGI3|ENGI4|ENGI11)</v>
      </c>
    </row>
    <row r="294">
      <c r="A294" s="2">
        <v>2.0</v>
      </c>
      <c r="B294" s="2" t="s">
        <v>867</v>
      </c>
      <c r="C294" s="2" t="s">
        <v>1841</v>
      </c>
      <c r="D294" s="2" t="s">
        <v>1841</v>
      </c>
      <c r="E294" s="2" t="s">
        <v>1927</v>
      </c>
      <c r="F294" s="2" t="s">
        <v>1928</v>
      </c>
      <c r="G294" s="2" t="s">
        <v>1929</v>
      </c>
      <c r="H294" s="2" t="s">
        <v>1930</v>
      </c>
      <c r="V294" s="6" t="str">
        <f>"(Ação da Energisa MT|Ações da Energisa MT"&amp;H294&amp;")"</f>
        <v>(Ação da Energisa MT|Ações da Energisa MTENMT4)</v>
      </c>
    </row>
    <row r="295">
      <c r="A295" s="2">
        <v>2.0</v>
      </c>
      <c r="B295" s="2" t="s">
        <v>867</v>
      </c>
      <c r="C295" s="2" t="s">
        <v>1841</v>
      </c>
      <c r="D295" s="2" t="s">
        <v>1841</v>
      </c>
      <c r="E295" s="2" t="s">
        <v>1931</v>
      </c>
      <c r="F295" s="24" t="s">
        <v>1932</v>
      </c>
      <c r="G295" s="2"/>
      <c r="H295" s="6" t="s">
        <v>1932</v>
      </c>
      <c r="V295" s="6" t="str">
        <f>"(Ação da Enersul|Ações da Enersul|"&amp;H295&amp;")"</f>
        <v>(Ação da Enersul|Ações da Enersul|ENER)</v>
      </c>
    </row>
    <row r="296">
      <c r="A296" s="2">
        <v>1.0</v>
      </c>
      <c r="B296" s="2" t="s">
        <v>867</v>
      </c>
      <c r="C296" s="2" t="s">
        <v>1841</v>
      </c>
      <c r="D296" s="2" t="s">
        <v>1841</v>
      </c>
      <c r="E296" s="2" t="s">
        <v>1933</v>
      </c>
      <c r="F296" s="2" t="s">
        <v>1934</v>
      </c>
      <c r="G296" s="2" t="s">
        <v>1001</v>
      </c>
      <c r="H296" s="22" t="str">
        <f>VLOOKUP(E296,'Lista Infomoney'!B:H,2,FALSE)</f>
        <v>ENEV3F</v>
      </c>
      <c r="I296" s="22" t="str">
        <f>VLOOKUP(E296,'Lista Infomoney'!B:F,3,FALSE)</f>
        <v>ENEV3</v>
      </c>
      <c r="J296" s="6" t="str">
        <f>VLOOKUP(E296,'Lista Infomoney'!B:F,4,FALSE)</f>
        <v/>
      </c>
      <c r="K296" s="6" t="str">
        <f>VLOOKUP(E296,'Lista Infomoney'!B:F,5,FALSE)</f>
        <v/>
      </c>
      <c r="V296" s="6" t="str">
        <f>"(Ação da Eneva|Ações da Eneva|"&amp;H296&amp;"|"&amp;I296&amp;")"</f>
        <v>(Ação da Eneva|Ações da Eneva|ENEV3F|ENEV3)</v>
      </c>
    </row>
    <row r="297">
      <c r="A297" s="2">
        <v>1.0</v>
      </c>
      <c r="B297" s="2" t="s">
        <v>867</v>
      </c>
      <c r="C297" s="2" t="s">
        <v>1841</v>
      </c>
      <c r="D297" s="2" t="s">
        <v>1841</v>
      </c>
      <c r="E297" s="2" t="s">
        <v>77</v>
      </c>
      <c r="F297" s="2" t="s">
        <v>1935</v>
      </c>
      <c r="G297" s="2" t="s">
        <v>1001</v>
      </c>
      <c r="H297" s="22" t="str">
        <f>VLOOKUP(E297,'Lista Infomoney'!B:H,2,FALSE)</f>
        <v>EGIE3F</v>
      </c>
      <c r="I297" s="2" t="s">
        <v>78</v>
      </c>
      <c r="J297" s="6" t="str">
        <f>VLOOKUP(E297,'Lista Infomoney'!B:F,4,FALSE)</f>
        <v/>
      </c>
      <c r="K297" s="6" t="str">
        <f>VLOOKUP(E297,'Lista Infomoney'!B:F,5,FALSE)</f>
        <v/>
      </c>
      <c r="V297" s="6" t="str">
        <f>"(Ação da Engie Brasil|Ações da Engie Brasil|"&amp;H297&amp;"|"&amp;I297&amp;")"</f>
        <v>(Ação da Engie Brasil|Ações da Engie Brasil|EGIE3F|EGIE3F)</v>
      </c>
    </row>
    <row r="298">
      <c r="A298" s="2">
        <v>2.0</v>
      </c>
      <c r="B298" s="2" t="s">
        <v>867</v>
      </c>
      <c r="C298" s="2" t="s">
        <v>1841</v>
      </c>
      <c r="D298" s="2" t="s">
        <v>1841</v>
      </c>
      <c r="E298" s="2" t="s">
        <v>1936</v>
      </c>
      <c r="F298" s="2" t="s">
        <v>1937</v>
      </c>
      <c r="G298" s="2" t="s">
        <v>1938</v>
      </c>
      <c r="H298" s="2" t="s">
        <v>1939</v>
      </c>
      <c r="I298" s="2" t="s">
        <v>1940</v>
      </c>
      <c r="J298" s="2" t="s">
        <v>1941</v>
      </c>
      <c r="V298" s="6" t="str">
        <f>"(Ação da EQTL Pará|Ações da EQTL Pará|"&amp;H298&amp;"|"&amp;I298&amp;"|"&amp;J298&amp;")"</f>
        <v>(Ação da EQTL Pará|Ações da EQTL Pará|EQPA5|EQPA6|EQPA7)</v>
      </c>
    </row>
    <row r="299">
      <c r="A299" s="2">
        <v>2.0</v>
      </c>
      <c r="B299" s="2" t="s">
        <v>867</v>
      </c>
      <c r="C299" s="2" t="s">
        <v>1841</v>
      </c>
      <c r="D299" s="2" t="s">
        <v>1841</v>
      </c>
      <c r="E299" s="2" t="s">
        <v>1942</v>
      </c>
      <c r="F299" s="2" t="s">
        <v>1943</v>
      </c>
      <c r="G299" s="2" t="s">
        <v>1032</v>
      </c>
      <c r="H299" s="2" t="s">
        <v>1944</v>
      </c>
      <c r="I299" s="2" t="s">
        <v>1945</v>
      </c>
      <c r="J299" s="2" t="s">
        <v>1946</v>
      </c>
      <c r="V299" s="6" t="str">
        <f>"(Ação da EQTL Maranhão|Ações da EQTL Maranhão|"&amp;H299&amp;"|"&amp;I299&amp;"|"&amp;J299&amp;")"</f>
        <v>(Ação da EQTL Maranhão|Ações da EQTL Maranhão|EQMA3B|EQMA5B|EQMA6B)</v>
      </c>
    </row>
    <row r="300">
      <c r="A300" s="2">
        <v>2.0</v>
      </c>
      <c r="B300" s="2" t="s">
        <v>867</v>
      </c>
      <c r="C300" s="2" t="s">
        <v>1841</v>
      </c>
      <c r="D300" s="2" t="s">
        <v>1841</v>
      </c>
      <c r="E300" s="2" t="s">
        <v>1947</v>
      </c>
      <c r="F300" s="2" t="s">
        <v>1948</v>
      </c>
      <c r="G300" s="2" t="s">
        <v>1001</v>
      </c>
      <c r="H300" s="2" t="s">
        <v>1949</v>
      </c>
      <c r="I300" s="2" t="s">
        <v>1950</v>
      </c>
      <c r="V300" s="6" t="str">
        <f>"(Ação da Equatorial|Ações da Equatorial|"&amp;H300&amp;"|"&amp;I300&amp;")"</f>
        <v>(Ação da Equatorial|Ações da Equatorial|EQTL3|EQTL3F)</v>
      </c>
    </row>
    <row r="301">
      <c r="A301" s="2">
        <v>2.0</v>
      </c>
      <c r="B301" s="2" t="s">
        <v>867</v>
      </c>
      <c r="C301" s="2" t="s">
        <v>1841</v>
      </c>
      <c r="D301" s="2" t="s">
        <v>1841</v>
      </c>
      <c r="E301" s="2" t="s">
        <v>1951</v>
      </c>
      <c r="F301" s="24" t="s">
        <v>1952</v>
      </c>
      <c r="G301" s="2"/>
      <c r="H301" s="6" t="s">
        <v>1952</v>
      </c>
      <c r="V301" s="6" t="str">
        <f>"(Ação da Escelsa|Ações da Escelsa|"&amp;H301&amp;")"</f>
        <v>(Ação da Escelsa|Ações da Escelsa|ESCE)</v>
      </c>
    </row>
    <row r="302">
      <c r="A302" s="2">
        <v>2.0</v>
      </c>
      <c r="B302" s="2" t="s">
        <v>867</v>
      </c>
      <c r="C302" s="2" t="s">
        <v>1841</v>
      </c>
      <c r="D302" s="2" t="s">
        <v>1841</v>
      </c>
      <c r="E302" s="2" t="s">
        <v>1953</v>
      </c>
      <c r="F302" s="24" t="s">
        <v>1954</v>
      </c>
      <c r="G302" s="2"/>
      <c r="H302" s="6" t="s">
        <v>1954</v>
      </c>
      <c r="V302" s="6" t="str">
        <f>"(Ação da Fgenergia|Ações da Fgenergia|"&amp;H302&amp;")"</f>
        <v>(Ação da Fgenergia|Ações da Fgenergia|FGEN)</v>
      </c>
    </row>
    <row r="303">
      <c r="A303" s="2">
        <v>1.0</v>
      </c>
      <c r="B303" s="2" t="s">
        <v>867</v>
      </c>
      <c r="C303" s="2" t="s">
        <v>1841</v>
      </c>
      <c r="D303" s="2" t="s">
        <v>1841</v>
      </c>
      <c r="E303" s="2" t="s">
        <v>90</v>
      </c>
      <c r="F303" s="2" t="s">
        <v>1955</v>
      </c>
      <c r="G303" s="2" t="s">
        <v>1956</v>
      </c>
      <c r="H303" s="22" t="str">
        <f>VLOOKUP(E303,'Lista Infomoney'!B:H,2,FALSE)</f>
        <v>GEPA4F</v>
      </c>
      <c r="I303" s="22" t="str">
        <f>VLOOKUP(E303,'Lista Infomoney'!B:F,3,FALSE)</f>
        <v>GEPA3F</v>
      </c>
      <c r="J303" s="2" t="s">
        <v>973</v>
      </c>
      <c r="K303" s="2" t="s">
        <v>974</v>
      </c>
      <c r="V303" s="6" t="str">
        <f>"(Ação da Ger Paranepanema|Ações da Ger Panerapanema|"&amp;H303&amp;"|"&amp;I303&amp;"|"&amp;J303&amp;"|"&amp;K303&amp;")"</f>
        <v>(Ação da Ger Paranepanema|Ações da Ger Panerapanema|GEPA4F|GEPA3F|GEPA4|GEPA3)</v>
      </c>
    </row>
    <row r="304">
      <c r="A304" s="2">
        <v>2.0</v>
      </c>
      <c r="B304" s="2" t="s">
        <v>867</v>
      </c>
      <c r="C304" s="2" t="s">
        <v>1841</v>
      </c>
      <c r="D304" s="2" t="s">
        <v>1841</v>
      </c>
      <c r="E304" s="2" t="s">
        <v>1957</v>
      </c>
      <c r="F304" s="24" t="s">
        <v>1958</v>
      </c>
      <c r="G304" s="2"/>
      <c r="H304" s="6" t="s">
        <v>1958</v>
      </c>
      <c r="V304" s="6" t="str">
        <f>"(Ação da Itapebi|Ações da Itapebi|"&amp;H304&amp;")"</f>
        <v>(Ação da Itapebi|Ações da Itapebi|ITPB)</v>
      </c>
    </row>
    <row r="305">
      <c r="A305" s="2">
        <v>2.0</v>
      </c>
      <c r="B305" s="2" t="s">
        <v>867</v>
      </c>
      <c r="C305" s="2" t="s">
        <v>1841</v>
      </c>
      <c r="D305" s="2" t="s">
        <v>1841</v>
      </c>
      <c r="E305" s="2" t="s">
        <v>1959</v>
      </c>
      <c r="F305" s="2" t="s">
        <v>1960</v>
      </c>
      <c r="G305" s="2" t="s">
        <v>1001</v>
      </c>
      <c r="H305" s="2" t="s">
        <v>1961</v>
      </c>
      <c r="I305" s="2" t="s">
        <v>1962</v>
      </c>
      <c r="V305" s="6" t="str">
        <f>"(Ação da Light SA|Ações da Light SA|"&amp;H305&amp;"|"&amp;I305&amp;")"</f>
        <v>(Ação da Light SA|Ações da Light SA|LIGT3|LIGT3F)</v>
      </c>
    </row>
    <row r="306">
      <c r="A306" s="2">
        <v>1.0</v>
      </c>
      <c r="B306" s="2" t="s">
        <v>867</v>
      </c>
      <c r="C306" s="2" t="s">
        <v>1841</v>
      </c>
      <c r="D306" s="2" t="s">
        <v>1841</v>
      </c>
      <c r="E306" s="2" t="s">
        <v>1963</v>
      </c>
      <c r="F306" s="2" t="s">
        <v>1964</v>
      </c>
      <c r="G306" s="2" t="s">
        <v>1001</v>
      </c>
      <c r="H306" s="22" t="str">
        <f>VLOOKUP(E306,'Lista Infomoney'!B:H,2,FALSE)</f>
        <v>NEOE3</v>
      </c>
      <c r="I306" s="2" t="s">
        <v>1965</v>
      </c>
      <c r="J306" s="6" t="str">
        <f>VLOOKUP(E306,'Lista Infomoney'!B:F,4,FALSE)</f>
        <v/>
      </c>
      <c r="K306" s="6" t="str">
        <f>VLOOKUP(E306,'Lista Infomoney'!B:F,5,FALSE)</f>
        <v/>
      </c>
      <c r="V306" s="6" t="str">
        <f>"(Ação da Neoenergia|Ações da Neoenergia|"&amp;H306&amp;"|"&amp;I306&amp;")"</f>
        <v>(Ação da Neoenergia|Ações da Neoenergia|NEOE3|NEOE3BF)</v>
      </c>
    </row>
    <row r="307">
      <c r="A307" s="2">
        <v>2.0</v>
      </c>
      <c r="B307" s="2" t="s">
        <v>867</v>
      </c>
      <c r="C307" s="2" t="s">
        <v>1841</v>
      </c>
      <c r="D307" s="2" t="s">
        <v>1841</v>
      </c>
      <c r="E307" s="2" t="s">
        <v>1966</v>
      </c>
      <c r="F307" s="2" t="s">
        <v>1967</v>
      </c>
      <c r="G307" s="2" t="s">
        <v>1001</v>
      </c>
      <c r="H307" s="2" t="s">
        <v>1968</v>
      </c>
      <c r="I307" s="2" t="s">
        <v>1969</v>
      </c>
      <c r="V307" s="6" t="str">
        <f>"(Ação da Omega Ger|Ações da Omega Ger|"&amp;H307&amp;"|"&amp;I307&amp;")"</f>
        <v>(Ação da Omega Ger|Ações da Omega Ger|OMGE3|OMGE3F)</v>
      </c>
    </row>
    <row r="308">
      <c r="A308" s="2">
        <v>2.0</v>
      </c>
      <c r="B308" s="2" t="s">
        <v>867</v>
      </c>
      <c r="C308" s="2" t="s">
        <v>1841</v>
      </c>
      <c r="D308" s="2" t="s">
        <v>1841</v>
      </c>
      <c r="E308" s="2" t="s">
        <v>1970</v>
      </c>
      <c r="F308" s="24" t="s">
        <v>1971</v>
      </c>
      <c r="G308" s="2"/>
      <c r="H308" s="6" t="s">
        <v>1971</v>
      </c>
      <c r="V308" s="6" t="str">
        <f>"(Ação da Paul F Cruz|Ações da Paul F Cruz|"&amp;H308&amp;")"</f>
        <v>(Ação da Paul F Cruz|Ações da Paul F Cruz|PALF)</v>
      </c>
    </row>
    <row r="309">
      <c r="A309" s="2">
        <v>2.0</v>
      </c>
      <c r="B309" s="2" t="s">
        <v>867</v>
      </c>
      <c r="C309" s="2" t="s">
        <v>1841</v>
      </c>
      <c r="D309" s="2" t="s">
        <v>1841</v>
      </c>
      <c r="E309" s="2" t="s">
        <v>1972</v>
      </c>
      <c r="F309" s="2" t="s">
        <v>1973</v>
      </c>
      <c r="G309" s="2" t="s">
        <v>1032</v>
      </c>
      <c r="H309" s="2" t="s">
        <v>1974</v>
      </c>
      <c r="I309" s="2" t="s">
        <v>1975</v>
      </c>
      <c r="V309" s="6" t="str">
        <f>"(Ação da Proman|Ações da Proman|"&amp;H309&amp;"|"&amp;I309&amp;")"</f>
        <v>(Ação da Proman|Ações da Proman|PRMN3B|PRMN3BF)</v>
      </c>
    </row>
    <row r="310">
      <c r="A310" s="2">
        <v>2.0</v>
      </c>
      <c r="B310" s="2" t="s">
        <v>867</v>
      </c>
      <c r="C310" s="2" t="s">
        <v>1841</v>
      </c>
      <c r="D310" s="2" t="s">
        <v>1841</v>
      </c>
      <c r="E310" s="2" t="s">
        <v>1976</v>
      </c>
      <c r="F310" s="2" t="s">
        <v>1977</v>
      </c>
      <c r="G310" s="2"/>
      <c r="H310" s="2" t="s">
        <v>1978</v>
      </c>
      <c r="I310" s="2" t="s">
        <v>1979</v>
      </c>
      <c r="V310" s="6" t="str">
        <f>"(Ação da Rede Energia|Ações da Rede Energia|"&amp;H310&amp;"|"&amp;I310&amp;")"</f>
        <v>(Ação da Rede Energia|Ações da Rede Energia|REDE3|REDE3F)</v>
      </c>
    </row>
    <row r="311">
      <c r="A311" s="2">
        <v>1.0</v>
      </c>
      <c r="B311" s="2" t="s">
        <v>867</v>
      </c>
      <c r="C311" s="2" t="s">
        <v>1841</v>
      </c>
      <c r="D311" s="2" t="s">
        <v>1841</v>
      </c>
      <c r="E311" s="2" t="s">
        <v>1980</v>
      </c>
      <c r="F311" s="2" t="s">
        <v>1981</v>
      </c>
      <c r="G311" s="2" t="s">
        <v>1013</v>
      </c>
      <c r="H311" s="22" t="str">
        <f>VLOOKUP(E311,'Lista Infomoney'!B:H,2,FALSE)</f>
        <v>RNEW11F</v>
      </c>
      <c r="I311" s="2" t="s">
        <v>972</v>
      </c>
      <c r="J311" s="22" t="str">
        <f>VLOOKUP(E311,'Lista Infomoney'!B:F,4,FALSE)</f>
        <v>RNEW4F</v>
      </c>
      <c r="K311" s="22" t="str">
        <f>VLOOKUP(E311,'Lista Infomoney'!B:F,5,FALSE)</f>
        <v>RNEW4</v>
      </c>
      <c r="L311" s="2" t="s">
        <v>904</v>
      </c>
      <c r="M311" s="2" t="s">
        <v>1982</v>
      </c>
      <c r="V311" s="6" t="str">
        <f>"(Ação da Renova|Ações da Renova|"&amp;H311&amp;"|"&amp;I311&amp;"|"&amp;J311&amp;"|"&amp;K311&amp;"|"&amp;L311&amp;"|"&amp;M311&amp;")"</f>
        <v>(Ação da Renova|Ações da Renova|RNEW11F|RNEW11|RNEW4F|RNEW4|RNEW3|RNEW3F)</v>
      </c>
    </row>
    <row r="312">
      <c r="A312" s="2">
        <v>2.0</v>
      </c>
      <c r="B312" s="2" t="s">
        <v>867</v>
      </c>
      <c r="C312" s="2" t="s">
        <v>1841</v>
      </c>
      <c r="D312" s="2" t="s">
        <v>1841</v>
      </c>
      <c r="E312" s="2" t="s">
        <v>1983</v>
      </c>
      <c r="F312" s="2" t="s">
        <v>1984</v>
      </c>
      <c r="G312" s="2"/>
      <c r="H312" s="2" t="s">
        <v>1985</v>
      </c>
      <c r="I312" s="2" t="s">
        <v>1986</v>
      </c>
      <c r="V312" s="6" t="str">
        <f>"(Ação da Statkraft|Ações da Statkraft|"&amp;H312&amp;"|"&amp;I312&amp;")"</f>
        <v>(Ação da Statkraft|Ações da Statkraft|STKF3|STKF3F)</v>
      </c>
    </row>
    <row r="313">
      <c r="A313" s="2">
        <v>2.0</v>
      </c>
      <c r="B313" s="2" t="s">
        <v>867</v>
      </c>
      <c r="C313" s="2" t="s">
        <v>1841</v>
      </c>
      <c r="D313" s="2" t="s">
        <v>1841</v>
      </c>
      <c r="E313" s="2" t="s">
        <v>1987</v>
      </c>
      <c r="F313" s="24" t="s">
        <v>1988</v>
      </c>
      <c r="G313" s="2"/>
      <c r="H313" s="6" t="s">
        <v>1988</v>
      </c>
      <c r="V313" s="6" t="str">
        <f>"(Ação da Sto Antonio|Ações da Sto Antonio|"&amp;H313&amp;")"</f>
        <v>(Ação da Sto Antonio|Ações da Sto Antonio|STEN)</v>
      </c>
    </row>
    <row r="314">
      <c r="A314" s="2">
        <v>1.0</v>
      </c>
      <c r="B314" s="2" t="s">
        <v>867</v>
      </c>
      <c r="C314" s="2" t="s">
        <v>1841</v>
      </c>
      <c r="D314" s="2" t="s">
        <v>1841</v>
      </c>
      <c r="E314" s="2" t="s">
        <v>1989</v>
      </c>
      <c r="F314" s="2" t="s">
        <v>1990</v>
      </c>
      <c r="G314" s="2" t="s">
        <v>1013</v>
      </c>
      <c r="H314" s="22" t="str">
        <f>VLOOKUP(E314,'Lista Infomoney'!B:H,2,FALSE)</f>
        <v>TAEE4</v>
      </c>
      <c r="I314" s="22" t="str">
        <f>VLOOKUP(E314,'Lista Infomoney'!B:F,3,FALSE)</f>
        <v>TAEE3</v>
      </c>
      <c r="J314" s="22" t="str">
        <f>VLOOKUP(E314,'Lista Infomoney'!B:F,4,FALSE)</f>
        <v>TAEE11</v>
      </c>
      <c r="K314" s="2" t="s">
        <v>1991</v>
      </c>
      <c r="L314" s="2" t="s">
        <v>1992</v>
      </c>
      <c r="M314" s="2" t="s">
        <v>1993</v>
      </c>
      <c r="V314" s="6" t="str">
        <f>"(Ação da Taesa|Ações da Taesa|"&amp;H314&amp;"|"&amp;I314&amp;"|"&amp;J314&amp;"|"&amp;K314&amp;"|"&amp;L314&amp;"|"&amp;M314&amp;")"</f>
        <v>(Ação da Taesa|Ações da Taesa|TAEE4|TAEE3|TAEE11|TAEE11F|TAEE3F|TAEE4F)</v>
      </c>
    </row>
    <row r="315">
      <c r="A315" s="2">
        <v>2.0</v>
      </c>
      <c r="B315" s="2" t="s">
        <v>867</v>
      </c>
      <c r="C315" s="2" t="s">
        <v>1841</v>
      </c>
      <c r="D315" s="2" t="s">
        <v>1841</v>
      </c>
      <c r="E315" s="2" t="s">
        <v>1994</v>
      </c>
      <c r="F315" s="24" t="s">
        <v>1995</v>
      </c>
      <c r="G315" s="2"/>
      <c r="H315" s="6" t="s">
        <v>1995</v>
      </c>
      <c r="V315" s="6" t="str">
        <f>"(Ação da TermoPE|Ações da TermoPE|"&amp;H315&amp;")"</f>
        <v>(Ação da TermoPE|Ações da TermoPE|TMPE)</v>
      </c>
    </row>
    <row r="316">
      <c r="A316" s="2">
        <v>2.0</v>
      </c>
      <c r="B316" s="2" t="s">
        <v>867</v>
      </c>
      <c r="C316" s="2" t="s">
        <v>1841</v>
      </c>
      <c r="D316" s="2" t="s">
        <v>1841</v>
      </c>
      <c r="E316" s="2" t="s">
        <v>1996</v>
      </c>
      <c r="F316" s="24" t="s">
        <v>1997</v>
      </c>
      <c r="G316" s="2"/>
      <c r="H316" s="6" t="s">
        <v>1997</v>
      </c>
      <c r="V316" s="6" t="str">
        <f>"(Ação da Term PE III|Ações da Term PE III|Ação da Term PE|Ações da Term PE|"&amp;H316&amp;")"</f>
        <v>(Ação da Term PE III|Ações da Term PE III|Ação da Term PE|Ações da Term PE|TEPE)</v>
      </c>
    </row>
    <row r="317">
      <c r="A317" s="2">
        <v>1.0</v>
      </c>
      <c r="B317" s="2" t="s">
        <v>867</v>
      </c>
      <c r="C317" s="2" t="s">
        <v>1841</v>
      </c>
      <c r="D317" s="2" t="s">
        <v>1841</v>
      </c>
      <c r="E317" s="2" t="s">
        <v>958</v>
      </c>
      <c r="F317" s="2" t="s">
        <v>1998</v>
      </c>
      <c r="G317" s="2" t="s">
        <v>1029</v>
      </c>
      <c r="H317" s="22" t="str">
        <f>VLOOKUP(E317,'Lista Infomoney'!B:H,2,FALSE)</f>
        <v>TRPL4F</v>
      </c>
      <c r="I317" s="22" t="str">
        <f>VLOOKUP(E317,'Lista Infomoney'!B:F,3,FALSE)</f>
        <v>TRPL4</v>
      </c>
      <c r="J317" s="22" t="str">
        <f>VLOOKUP(E317,'Lista Infomoney'!B:F,4,FALSE)</f>
        <v>TRPL3F</v>
      </c>
      <c r="K317" s="22" t="str">
        <f>VLOOKUP(E317,'Lista Infomoney'!B:F,5,FALSE)</f>
        <v>TRPL3</v>
      </c>
      <c r="V317" s="6" t="str">
        <f>"(Ação da Tran Paulista|Ações da Tran Paulista|"&amp;H317&amp;"|"&amp;I317&amp;"|"&amp;J317&amp;"|"&amp;K317&amp;")"</f>
        <v>(Ação da Tran Paulista|Ações da Tran Paulista|TRPL4F|TRPL4|TRPL3F|TRPL3)</v>
      </c>
    </row>
    <row r="318">
      <c r="A318" s="2">
        <v>2.0</v>
      </c>
      <c r="B318" s="2" t="s">
        <v>867</v>
      </c>
      <c r="C318" s="2" t="s">
        <v>1841</v>
      </c>
      <c r="D318" s="2" t="s">
        <v>1841</v>
      </c>
      <c r="E318" s="2" t="s">
        <v>1999</v>
      </c>
      <c r="F318" s="2" t="s">
        <v>2000</v>
      </c>
      <c r="G318" s="2" t="s">
        <v>1032</v>
      </c>
      <c r="H318" s="2" t="s">
        <v>2001</v>
      </c>
      <c r="I318" s="2" t="s">
        <v>2002</v>
      </c>
      <c r="V318" s="6" t="str">
        <f>"(Ação da Uptick|Ações da Uptick|"&amp;H318&amp;"|"&amp;I318&amp;")"</f>
        <v>(Ação da Uptick|Ações da Uptick|UPKP3B|UPKP3F)</v>
      </c>
    </row>
    <row r="319">
      <c r="A319" s="2">
        <v>1.0</v>
      </c>
      <c r="B319" s="2" t="s">
        <v>867</v>
      </c>
      <c r="C319" s="2" t="s">
        <v>2003</v>
      </c>
      <c r="D319" s="2" t="s">
        <v>2003</v>
      </c>
      <c r="E319" s="2" t="s">
        <v>2004</v>
      </c>
      <c r="F319" s="2" t="s">
        <v>2005</v>
      </c>
      <c r="G319" s="2" t="s">
        <v>1433</v>
      </c>
      <c r="H319" s="22" t="str">
        <f>VLOOKUP(E319,'Lista Infomoney'!B:H,2,FALSE)</f>
        <v>CASN4F</v>
      </c>
      <c r="I319" s="22" t="str">
        <f>VLOOKUP(E319,'Lista Infomoney'!B:F,3,FALSE)</f>
        <v>CASN3F</v>
      </c>
      <c r="J319" s="22" t="str">
        <f>VLOOKUP(E319,'Lista Infomoney'!B:F,4,FALSE)</f>
        <v>CASN4</v>
      </c>
      <c r="K319" s="22" t="str">
        <f>VLOOKUP(E319,'Lista Infomoney'!B:F,5,FALSE)</f>
        <v>CASN3</v>
      </c>
      <c r="V319" s="6" t="str">
        <f>"(Ação da Casan|Ações da Casan|"&amp;H319&amp;"|"&amp;I319&amp;"|"&amp;J319&amp;"|"&amp;K319&amp;")"</f>
        <v>(Ação da Casan|Ações da Casan|CASN4F|CASN3F|CASN4|CASN3)</v>
      </c>
    </row>
    <row r="320">
      <c r="A320" s="2">
        <v>2.0</v>
      </c>
      <c r="B320" s="2" t="s">
        <v>867</v>
      </c>
      <c r="C320" s="2" t="s">
        <v>2003</v>
      </c>
      <c r="D320" s="2" t="s">
        <v>2003</v>
      </c>
      <c r="E320" s="2" t="s">
        <v>2006</v>
      </c>
      <c r="F320" s="2" t="s">
        <v>2007</v>
      </c>
      <c r="G320" s="2" t="s">
        <v>1001</v>
      </c>
      <c r="H320" s="2" t="s">
        <v>2008</v>
      </c>
      <c r="I320" s="2" t="s">
        <v>2009</v>
      </c>
      <c r="V320" s="6" t="str">
        <f>"(Ação da COPASA|Ações da COPASA|"&amp;H320&amp;"|"&amp;I320&amp;")"</f>
        <v>(Ação da COPASA|Ações da COPASA|CSMG3|CSMG3F)</v>
      </c>
    </row>
    <row r="321">
      <c r="A321" s="2">
        <v>2.0</v>
      </c>
      <c r="B321" s="2" t="s">
        <v>867</v>
      </c>
      <c r="C321" s="2" t="s">
        <v>2003</v>
      </c>
      <c r="D321" s="2" t="s">
        <v>2003</v>
      </c>
      <c r="E321" s="2" t="s">
        <v>2010</v>
      </c>
      <c r="F321" s="2" t="s">
        <v>2011</v>
      </c>
      <c r="G321" s="2" t="s">
        <v>1107</v>
      </c>
      <c r="H321" s="2" t="s">
        <v>2012</v>
      </c>
      <c r="I321" s="2" t="s">
        <v>2013</v>
      </c>
      <c r="V321" s="6" t="str">
        <f>"(Ação da IGUA SA|Ações da IGUA SA|"&amp;H321&amp;"|"&amp;I321&amp;")"</f>
        <v>(Ação da IGUA SA|Ações da IGUA SA|IGSN3|IGSN3F)</v>
      </c>
    </row>
    <row r="322">
      <c r="A322" s="2">
        <v>1.0</v>
      </c>
      <c r="B322" s="2" t="s">
        <v>867</v>
      </c>
      <c r="C322" s="2" t="s">
        <v>2003</v>
      </c>
      <c r="D322" s="2" t="s">
        <v>2003</v>
      </c>
      <c r="E322" s="2" t="s">
        <v>2014</v>
      </c>
      <c r="F322" s="2" t="s">
        <v>2015</v>
      </c>
      <c r="G322" s="2" t="s">
        <v>1001</v>
      </c>
      <c r="H322" s="22" t="str">
        <f>VLOOKUP(E322,'Lista Infomoney'!B:H,2,FALSE)</f>
        <v>SBSP3F</v>
      </c>
      <c r="I322" s="22" t="str">
        <f>VLOOKUP(E322,'Lista Infomoney'!B:F,3,FALSE)</f>
        <v>SBSP3</v>
      </c>
      <c r="J322" s="6" t="str">
        <f>VLOOKUP(E322,'Lista Infomoney'!B:F,4,FALSE)</f>
        <v/>
      </c>
      <c r="K322" s="6" t="str">
        <f>VLOOKUP(E322,'Lista Infomoney'!B:F,5,FALSE)</f>
        <v/>
      </c>
      <c r="V322" s="6" t="str">
        <f>"(Ação da SABESP|Ações da SABESP|"&amp;H322&amp;"|"&amp;I322&amp;")"</f>
        <v>(Ação da SABESP|Ações da SABESP|SBSP3F|SBSP3)</v>
      </c>
    </row>
    <row r="323">
      <c r="A323" s="2">
        <v>1.0</v>
      </c>
      <c r="B323" s="2" t="s">
        <v>867</v>
      </c>
      <c r="C323" s="2" t="s">
        <v>2003</v>
      </c>
      <c r="D323" s="2" t="s">
        <v>2003</v>
      </c>
      <c r="E323" s="2" t="s">
        <v>2016</v>
      </c>
      <c r="F323" s="2" t="s">
        <v>2017</v>
      </c>
      <c r="G323" s="2" t="s">
        <v>1013</v>
      </c>
      <c r="H323" s="22" t="str">
        <f>VLOOKUP(E323,'Lista Infomoney'!B:H,2,FALSE)</f>
        <v>SAPR11F</v>
      </c>
      <c r="I323" s="22" t="str">
        <f>VLOOKUP(E323,'Lista Infomoney'!B:F,3,FALSE)</f>
        <v>SAPR4F</v>
      </c>
      <c r="J323" s="22" t="str">
        <f>VLOOKUP(E323,'Lista Infomoney'!B:F,4,FALSE)</f>
        <v>SAPR3F</v>
      </c>
      <c r="K323" s="22" t="str">
        <f>VLOOKUP(E323,'Lista Infomoney'!B:F,5,FALSE)</f>
        <v>SAPR4</v>
      </c>
      <c r="L323" s="2" t="s">
        <v>929</v>
      </c>
      <c r="M323" s="2" t="s">
        <v>930</v>
      </c>
      <c r="V323" s="6" t="str">
        <f>"(Ação da Sanepar|Ações da Sanepar|"&amp;H323&amp;"|"&amp;I323&amp;"|"&amp;J323&amp;"|"&amp;K323&amp;"|"&amp;L323&amp;"|"&amp;M323&amp;")"</f>
        <v>(Ação da Sanepar|Ações da Sanepar|SAPR11F|SAPR4F|SAPR3F|SAPR4|SAPR3|SAPR11)</v>
      </c>
    </row>
    <row r="324">
      <c r="A324" s="2">
        <v>2.0</v>
      </c>
      <c r="B324" s="2" t="s">
        <v>867</v>
      </c>
      <c r="C324" s="2" t="s">
        <v>2003</v>
      </c>
      <c r="D324" s="2" t="s">
        <v>2003</v>
      </c>
      <c r="E324" s="2" t="s">
        <v>2018</v>
      </c>
      <c r="F324" s="24" t="s">
        <v>2019</v>
      </c>
      <c r="G324" s="2"/>
      <c r="H324" s="6" t="s">
        <v>2019</v>
      </c>
      <c r="V324" s="6" t="str">
        <f>"(Ação da Sanesalto|Ações da Sanesalto|"&amp;H324&amp;")"</f>
        <v>(Ação da Sanesalto|Ações da Sanesalto|SNST)</v>
      </c>
    </row>
    <row r="325">
      <c r="A325" s="2">
        <v>1.0</v>
      </c>
      <c r="B325" s="2" t="s">
        <v>867</v>
      </c>
      <c r="C325" s="2" t="s">
        <v>2020</v>
      </c>
      <c r="D325" s="2" t="s">
        <v>2020</v>
      </c>
      <c r="E325" s="2" t="s">
        <v>890</v>
      </c>
      <c r="F325" s="2" t="s">
        <v>2021</v>
      </c>
      <c r="G325" s="2" t="s">
        <v>1433</v>
      </c>
      <c r="H325" s="22" t="str">
        <f>VLOOKUP(E325,'Lista Infomoney'!B:H,2,FALSE)</f>
        <v>CEGR3F</v>
      </c>
      <c r="I325" s="22" t="str">
        <f>VLOOKUP(E325,'Lista Infomoney'!B:F,3,FALSE)</f>
        <v>CEGR3</v>
      </c>
      <c r="J325" s="6" t="str">
        <f>VLOOKUP(E325,'Lista Infomoney'!B:F,4,FALSE)</f>
        <v/>
      </c>
      <c r="K325" s="6" t="str">
        <f>VLOOKUP(E325,'Lista Infomoney'!B:F,5,FALSE)</f>
        <v/>
      </c>
      <c r="V325" s="6" t="str">
        <f>"(Ação da CEG|Ações da CEG|"&amp;H325&amp;"|"&amp;I325&amp;")"</f>
        <v>(Ação da CEG|Ações da CEG|CEGR3F|CEGR3)</v>
      </c>
    </row>
    <row r="326">
      <c r="A326" s="2">
        <v>1.0</v>
      </c>
      <c r="B326" s="2" t="s">
        <v>867</v>
      </c>
      <c r="C326" s="2" t="s">
        <v>2020</v>
      </c>
      <c r="D326" s="2" t="s">
        <v>2020</v>
      </c>
      <c r="E326" s="2" t="s">
        <v>2022</v>
      </c>
      <c r="F326" s="2" t="s">
        <v>2023</v>
      </c>
      <c r="G326" s="2" t="s">
        <v>1433</v>
      </c>
      <c r="H326" s="22" t="str">
        <f>VLOOKUP(E326,'Lista Infomoney'!B:H,2,FALSE)</f>
        <v>CGAS3F</v>
      </c>
      <c r="I326" s="22" t="str">
        <f>VLOOKUP(E326,'Lista Infomoney'!B:F,3,FALSE)</f>
        <v>CGAS5F</v>
      </c>
      <c r="J326" s="22" t="str">
        <f>VLOOKUP(E326,'Lista Infomoney'!B:F,4,FALSE)</f>
        <v>CGAS5</v>
      </c>
      <c r="K326" s="22" t="str">
        <f>VLOOKUP(E326,'Lista Infomoney'!B:F,5,FALSE)</f>
        <v>CGAS3</v>
      </c>
      <c r="V326" s="6" t="str">
        <f>"(Ação da COMGÀS|Ações da COMGÁS|"&amp;H326&amp;"|"&amp;I326&amp;"|"&amp;J326&amp;"|"&amp;K326&amp;")"</f>
        <v>(Ação da COMGÀS|Ações da COMGÁS|CGAS3F|CGAS5F|CGAS5|CGAS3)</v>
      </c>
    </row>
    <row r="327">
      <c r="A327" s="2">
        <v>2.0</v>
      </c>
      <c r="B327" s="2" t="s">
        <v>375</v>
      </c>
      <c r="C327" s="2" t="s">
        <v>2024</v>
      </c>
      <c r="D327" s="2" t="s">
        <v>2025</v>
      </c>
      <c r="E327" s="2" t="s">
        <v>2026</v>
      </c>
      <c r="F327" s="2" t="s">
        <v>2027</v>
      </c>
      <c r="G327" s="2" t="s">
        <v>1013</v>
      </c>
      <c r="H327" s="2" t="s">
        <v>2028</v>
      </c>
      <c r="I327" s="2" t="s">
        <v>2029</v>
      </c>
      <c r="J327" s="2" t="s">
        <v>2030</v>
      </c>
      <c r="V327" s="6" t="str">
        <f>"(Ação da ABC Brasil|Ações da ABC Brasil|"&amp;H327&amp;"|"&amp;I327&amp;"|"&amp;J327&amp;")"</f>
        <v>(Ação da ABC Brasil|Ações da ABC Brasil|ABCB10|ABCB4|ABCB4F)</v>
      </c>
    </row>
    <row r="328">
      <c r="A328" s="2">
        <v>2.0</v>
      </c>
      <c r="B328" s="2" t="s">
        <v>375</v>
      </c>
      <c r="C328" s="2" t="s">
        <v>2024</v>
      </c>
      <c r="D328" s="2" t="s">
        <v>2025</v>
      </c>
      <c r="E328" s="2" t="s">
        <v>2031</v>
      </c>
      <c r="F328" s="2" t="s">
        <v>2032</v>
      </c>
      <c r="G328" s="2"/>
      <c r="H328" s="2" t="s">
        <v>2033</v>
      </c>
      <c r="I328" s="2" t="s">
        <v>2034</v>
      </c>
      <c r="J328" s="2" t="s">
        <v>2035</v>
      </c>
      <c r="K328" s="2" t="s">
        <v>2036</v>
      </c>
      <c r="L328" s="2" t="s">
        <v>2037</v>
      </c>
      <c r="M328" s="2" t="s">
        <v>2038</v>
      </c>
      <c r="V328" s="6" t="str">
        <f>"(Ação da Alfa Holding|Ações da Alfa Holding|"&amp;H328&amp;"|"&amp;I328&amp;"|"&amp;J328&amp;"|"&amp;K328&amp;"|"&amp;L328&amp;"|"&amp;M328&amp;")"</f>
        <v>(Ação da Alfa Holding|Ações da Alfa Holding|RPAD3|RPAD5|RPAD6|RPAD3F|RPAD5F|RPAD6F)</v>
      </c>
    </row>
    <row r="329">
      <c r="A329" s="2">
        <v>2.0</v>
      </c>
      <c r="B329" s="2" t="s">
        <v>375</v>
      </c>
      <c r="C329" s="2" t="s">
        <v>2024</v>
      </c>
      <c r="D329" s="2" t="s">
        <v>2025</v>
      </c>
      <c r="E329" s="2" t="s">
        <v>2039</v>
      </c>
      <c r="F329" s="2" t="s">
        <v>2040</v>
      </c>
      <c r="G329" s="2"/>
      <c r="H329" s="2" t="s">
        <v>2041</v>
      </c>
      <c r="I329" s="2" t="s">
        <v>2042</v>
      </c>
      <c r="J329" s="2" t="s">
        <v>2043</v>
      </c>
      <c r="K329" s="2" t="s">
        <v>2044</v>
      </c>
      <c r="V329" s="6" t="str">
        <f>"(Ação da Alfa Invest|Ações da Alfa Invest|"&amp;H329&amp;"|"&amp;I329&amp;"|"&amp;J329&amp;"|"&amp;K329&amp;")"</f>
        <v>(Ação da Alfa Invest|Ações da Alfa Invest|BRIV3|BRIV4|BRIV3F|BRIV4F)</v>
      </c>
    </row>
    <row r="330">
      <c r="A330" s="2">
        <v>2.0</v>
      </c>
      <c r="B330" s="2" t="s">
        <v>375</v>
      </c>
      <c r="C330" s="2" t="s">
        <v>2024</v>
      </c>
      <c r="D330" s="2" t="s">
        <v>2025</v>
      </c>
      <c r="E330" s="2" t="s">
        <v>2045</v>
      </c>
      <c r="F330" s="2" t="s">
        <v>2046</v>
      </c>
      <c r="G330" s="2"/>
      <c r="H330" s="2" t="s">
        <v>2047</v>
      </c>
      <c r="I330" s="2" t="s">
        <v>2048</v>
      </c>
      <c r="V330" s="6" t="str">
        <f>"(Ação da Amazônia|Ações da Amazônia|"&amp;H330&amp;"|"&amp;I330&amp;")"</f>
        <v>(Ação da Amazônia|Ações da Amazônia|BAZA3|BAZA3F)</v>
      </c>
    </row>
    <row r="331">
      <c r="A331" s="2">
        <v>1.0</v>
      </c>
      <c r="B331" s="2" t="s">
        <v>375</v>
      </c>
      <c r="C331" s="2" t="s">
        <v>2024</v>
      </c>
      <c r="D331" s="2" t="s">
        <v>2025</v>
      </c>
      <c r="E331" s="2" t="s">
        <v>426</v>
      </c>
      <c r="F331" s="2" t="s">
        <v>2049</v>
      </c>
      <c r="G331" s="2" t="s">
        <v>1029</v>
      </c>
      <c r="H331" s="22" t="str">
        <f>VLOOKUP(E331,'Lista Infomoney'!B:H,2,FALSE)</f>
        <v>BMGB11</v>
      </c>
      <c r="I331" s="22" t="str">
        <f>VLOOKUP(E331,'Lista Infomoney'!B:F,3,FALSE)</f>
        <v>BMGB4</v>
      </c>
      <c r="J331" s="6" t="str">
        <f>VLOOKUP(E331,'Lista Infomoney'!B:F,4,FALSE)</f>
        <v/>
      </c>
      <c r="K331" s="6" t="str">
        <f>VLOOKUP(E331,'Lista Infomoney'!B:F,5,FALSE)</f>
        <v/>
      </c>
      <c r="V331" s="6" t="str">
        <f>"(Ação da BMG|Ações da BMG|"&amp;H331&amp;"|"&amp;I331&amp;")"</f>
        <v>(Ação da BMG|Ações da BMG|BMGB11|BMGB4)</v>
      </c>
    </row>
    <row r="332">
      <c r="A332" s="2">
        <v>1.0</v>
      </c>
      <c r="B332" s="2" t="s">
        <v>375</v>
      </c>
      <c r="C332" s="2" t="s">
        <v>2024</v>
      </c>
      <c r="D332" s="2" t="s">
        <v>2025</v>
      </c>
      <c r="E332" s="2" t="s">
        <v>2050</v>
      </c>
      <c r="F332" s="2" t="s">
        <v>2051</v>
      </c>
      <c r="G332" s="2" t="s">
        <v>1013</v>
      </c>
      <c r="H332" s="22" t="str">
        <f>VLOOKUP(E332,'Lista Infomoney'!B:H,2,FALSE)</f>
        <v>BIDI3</v>
      </c>
      <c r="I332" s="22" t="str">
        <f>VLOOKUP(E332,'Lista Infomoney'!B:F,3,FALSE)</f>
        <v>BIDI11</v>
      </c>
      <c r="J332" s="22" t="str">
        <f>VLOOKUP(E332,'Lista Infomoney'!B:F,4,FALSE)</f>
        <v>BIDI4</v>
      </c>
      <c r="K332" s="6" t="str">
        <f>VLOOKUP(E332,'Lista Infomoney'!B:F,5,FALSE)</f>
        <v/>
      </c>
      <c r="V332" s="6" t="str">
        <f>"(Ação do Banco Inter|Ações do Banco Inter|"&amp;H332&amp;"|"&amp;I332&amp;"|"&amp;J332&amp;")"</f>
        <v>(Ação do Banco Inter|Ações do Banco Inter|BIDI3|BIDI11|BIDI4)</v>
      </c>
    </row>
    <row r="333">
      <c r="A333" s="2">
        <v>1.0</v>
      </c>
      <c r="B333" s="2" t="s">
        <v>375</v>
      </c>
      <c r="C333" s="2" t="s">
        <v>2024</v>
      </c>
      <c r="D333" s="2" t="s">
        <v>2025</v>
      </c>
      <c r="E333" s="2" t="s">
        <v>2052</v>
      </c>
      <c r="F333" s="2" t="s">
        <v>2053</v>
      </c>
      <c r="G333" s="2" t="s">
        <v>1029</v>
      </c>
      <c r="H333" s="22" t="str">
        <f>VLOOKUP(E333,'Lista Infomoney'!B:H,2,FALSE)</f>
        <v>BPAN4F</v>
      </c>
      <c r="I333" s="2" t="s">
        <v>500</v>
      </c>
      <c r="J333" s="2" t="s">
        <v>2054</v>
      </c>
      <c r="K333" s="6" t="str">
        <f>VLOOKUP(E333,'Lista Infomoney'!B:F,5,FALSE)</f>
        <v/>
      </c>
      <c r="V333" s="6" t="str">
        <f>"(Ação da Banco Pan|Ações da Banco Pan|"&amp;H333&amp;"|"&amp;I333&amp;"|"&amp;J333&amp;")"</f>
        <v>(Ação da Banco Pan|Ações da Banco Pan|BPAN4F|BPAN4|BPAN2F)</v>
      </c>
    </row>
    <row r="334">
      <c r="A334" s="2">
        <v>2.0</v>
      </c>
      <c r="B334" s="2" t="s">
        <v>375</v>
      </c>
      <c r="C334" s="2" t="s">
        <v>2024</v>
      </c>
      <c r="D334" s="2" t="s">
        <v>2025</v>
      </c>
      <c r="E334" s="2" t="s">
        <v>2055</v>
      </c>
      <c r="F334" s="2" t="s">
        <v>2056</v>
      </c>
      <c r="G334" s="2"/>
      <c r="H334" s="2" t="s">
        <v>2057</v>
      </c>
      <c r="I334" s="2" t="s">
        <v>2058</v>
      </c>
      <c r="J334" s="2" t="s">
        <v>2059</v>
      </c>
      <c r="K334" s="2" t="s">
        <v>2060</v>
      </c>
      <c r="V334" s="6" t="str">
        <f>"(Ação da Banese|Ações da Banese|"&amp;H334&amp;"|"&amp;I334&amp;"|"&amp;J334&amp;"|"&amp;K334&amp;")"</f>
        <v>(Ação da Banese|Ações da Banese|BGIP3|BGIP4|BGIP3F|BGIP4F)</v>
      </c>
    </row>
    <row r="335">
      <c r="A335" s="2">
        <v>2.0</v>
      </c>
      <c r="B335" s="2" t="s">
        <v>375</v>
      </c>
      <c r="C335" s="2" t="s">
        <v>2024</v>
      </c>
      <c r="D335" s="2" t="s">
        <v>2025</v>
      </c>
      <c r="E335" s="2" t="s">
        <v>2061</v>
      </c>
      <c r="F335" s="2" t="s">
        <v>2062</v>
      </c>
      <c r="G335" s="2"/>
      <c r="H335" s="2" t="s">
        <v>2063</v>
      </c>
      <c r="I335" s="2" t="s">
        <v>2064</v>
      </c>
      <c r="J335" s="2" t="s">
        <v>2065</v>
      </c>
      <c r="K335" s="2" t="s">
        <v>2066</v>
      </c>
      <c r="V335" s="6" t="str">
        <f>"(Ação da Banestes|Ações da Banestes|"&amp;H335&amp;"|"&amp;I335&amp;"|"&amp;J335&amp;"|"&amp;K335&amp;")"</f>
        <v>(Ação da Banestes|Ações da Banestes|BEES3|BEES4|BEES3F|BEES4F)</v>
      </c>
    </row>
    <row r="336">
      <c r="A336" s="2">
        <v>1.0</v>
      </c>
      <c r="B336" s="2" t="s">
        <v>375</v>
      </c>
      <c r="C336" s="2" t="s">
        <v>2024</v>
      </c>
      <c r="D336" s="2" t="s">
        <v>2025</v>
      </c>
      <c r="E336" s="2" t="s">
        <v>2067</v>
      </c>
      <c r="F336" s="2" t="s">
        <v>2068</v>
      </c>
      <c r="G336" s="2" t="s">
        <v>1433</v>
      </c>
      <c r="H336" s="22" t="str">
        <f>VLOOKUP(E336,'Lista Infomoney'!B:H,2,FALSE)</f>
        <v>BPAR3F</v>
      </c>
      <c r="I336" s="22" t="str">
        <f>VLOOKUP(E336,'Lista Infomoney'!B:F,3,FALSE)</f>
        <v>BPAR3</v>
      </c>
      <c r="J336" s="6" t="str">
        <f>VLOOKUP(E336,'Lista Infomoney'!B:F,4,FALSE)</f>
        <v/>
      </c>
      <c r="K336" s="6" t="str">
        <f>VLOOKUP(E336,'Lista Infomoney'!B:F,5,FALSE)</f>
        <v/>
      </c>
      <c r="V336" s="6" t="str">
        <f>"(Ação da Banpara|Ações da Banpara|"&amp;H336&amp;"|"&amp;I336&amp;")"</f>
        <v>(Ação da Banpara|Ações da Banpara|BPAR3F|BPAR3)</v>
      </c>
    </row>
    <row r="337">
      <c r="A337" s="2">
        <v>1.0</v>
      </c>
      <c r="B337" s="2" t="s">
        <v>375</v>
      </c>
      <c r="C337" s="2" t="s">
        <v>2024</v>
      </c>
      <c r="D337" s="2" t="s">
        <v>2025</v>
      </c>
      <c r="E337" s="2" t="s">
        <v>2069</v>
      </c>
      <c r="F337" s="2" t="s">
        <v>2070</v>
      </c>
      <c r="G337" s="2" t="s">
        <v>1029</v>
      </c>
      <c r="H337" s="22" t="str">
        <f>VLOOKUP(E337,'Lista Infomoney'!B:H,2,FALSE)</f>
        <v>BRSR6F</v>
      </c>
      <c r="I337" s="22" t="str">
        <f>VLOOKUP(E337,'Lista Infomoney'!B:F,3,FALSE)</f>
        <v>BRSR5F</v>
      </c>
      <c r="J337" s="22" t="str">
        <f>VLOOKUP(E337,'Lista Infomoney'!B:F,4,FALSE)</f>
        <v>BRSR3F</v>
      </c>
      <c r="K337" s="22" t="str">
        <f>VLOOKUP(E337,'Lista Infomoney'!B:F,5,FALSE)</f>
        <v>BRSR6</v>
      </c>
      <c r="L337" s="2" t="s">
        <v>452</v>
      </c>
      <c r="M337" s="2" t="s">
        <v>453</v>
      </c>
      <c r="V337" s="6" t="str">
        <f>"(Ação da Banrisul|Ações da Banrisul|"&amp;H337&amp;"|"&amp;I337&amp;"|"&amp;J337&amp;"|"&amp;K337&amp;"|"&amp;L337&amp;"|"&amp;M337&amp;")"</f>
        <v>(Ação da Banrisul|Ações da Banrisul|BRSR6F|BRSR5F|BRSR3F|BRSR6|BRSR5|BRSR3)</v>
      </c>
    </row>
    <row r="338">
      <c r="A338" s="2">
        <v>1.0</v>
      </c>
      <c r="B338" s="2" t="s">
        <v>375</v>
      </c>
      <c r="C338" s="2" t="s">
        <v>2024</v>
      </c>
      <c r="D338" s="2" t="s">
        <v>2025</v>
      </c>
      <c r="E338" s="2" t="s">
        <v>2071</v>
      </c>
      <c r="F338" s="2" t="s">
        <v>2072</v>
      </c>
      <c r="G338" s="2" t="s">
        <v>1029</v>
      </c>
      <c r="H338" s="22" t="str">
        <f>VLOOKUP(E338,'Lista Infomoney'!B:H,2,FALSE)</f>
        <v>BBDC4F</v>
      </c>
      <c r="I338" s="22" t="str">
        <f>VLOOKUP(E338,'Lista Infomoney'!B:F,3,FALSE)</f>
        <v>BBDC4</v>
      </c>
      <c r="J338" s="22" t="str">
        <f>VLOOKUP(E338,'Lista Infomoney'!B:F,4,FALSE)</f>
        <v>BBDC3</v>
      </c>
      <c r="K338" s="2" t="s">
        <v>2073</v>
      </c>
      <c r="V338" s="6" t="str">
        <f>"(Ação da Bradesco|Ações da Bradesco|"&amp;H338&amp;"|"&amp;I338&amp;"|"&amp;J338&amp;"|"&amp;K338&amp;")"</f>
        <v>(Ação da Bradesco|Ações da Bradesco|BBDC4F|BBDC4|BBDC3|BBDC3F)</v>
      </c>
    </row>
    <row r="339">
      <c r="A339" s="2">
        <v>1.0</v>
      </c>
      <c r="B339" s="2" t="s">
        <v>375</v>
      </c>
      <c r="C339" s="2" t="s">
        <v>2024</v>
      </c>
      <c r="D339" s="2" t="s">
        <v>2025</v>
      </c>
      <c r="E339" s="2" t="s">
        <v>501</v>
      </c>
      <c r="F339" s="2" t="s">
        <v>2074</v>
      </c>
      <c r="G339" s="2" t="s">
        <v>1001</v>
      </c>
      <c r="H339" s="22" t="str">
        <f>VLOOKUP(E339,'Lista Infomoney'!B:H,2,FALSE)</f>
        <v>BBAS3F</v>
      </c>
      <c r="I339" s="22" t="str">
        <f>VLOOKUP(E339,'Lista Infomoney'!B:F,3,FALSE)</f>
        <v>BBAS3</v>
      </c>
      <c r="J339" s="22" t="str">
        <f>VLOOKUP(E339,'Lista Infomoney'!B:F,4,FALSE)</f>
        <v>BBAS12</v>
      </c>
      <c r="K339" s="22" t="str">
        <f>VLOOKUP(E339,'Lista Infomoney'!B:F,5,FALSE)</f>
        <v>BBAS11</v>
      </c>
      <c r="L339" s="2" t="s">
        <v>2075</v>
      </c>
      <c r="M339" s="2" t="s">
        <v>2076</v>
      </c>
      <c r="V339" s="6" t="str">
        <f>"(Ação do Banco do Brasil|Ações do Banco do Brasil|"&amp;H339&amp;"|"&amp;I339&amp;"|"&amp;J339&amp;"|"&amp;K339&amp;"|"&amp;L339&amp;"|"&amp;M339&amp;")"</f>
        <v>(Ação do Banco do Brasil|Ações do Banco do Brasil|BBAS3F|BBAS3|BBAS12|BBAS11|BBAS11F|BBAS12F)</v>
      </c>
    </row>
    <row r="340">
      <c r="A340" s="2">
        <v>1.0</v>
      </c>
      <c r="B340" s="2" t="s">
        <v>375</v>
      </c>
      <c r="C340" s="2" t="s">
        <v>2024</v>
      </c>
      <c r="D340" s="2" t="s">
        <v>2025</v>
      </c>
      <c r="E340" s="2" t="s">
        <v>2077</v>
      </c>
      <c r="F340" s="2" t="s">
        <v>2078</v>
      </c>
      <c r="G340" s="2" t="s">
        <v>1433</v>
      </c>
      <c r="H340" s="22" t="str">
        <f>VLOOKUP(E340,'Lista Infomoney'!B:H,2,FALSE)</f>
        <v>BSLI4F</v>
      </c>
      <c r="I340" s="22" t="str">
        <f>VLOOKUP(E340,'Lista Infomoney'!B:F,3,FALSE)</f>
        <v>BSLI3F</v>
      </c>
      <c r="J340" s="22" t="str">
        <f>VLOOKUP(E340,'Lista Infomoney'!B:F,4,FALSE)</f>
        <v>BSLI4</v>
      </c>
      <c r="K340" s="22" t="str">
        <f>VLOOKUP(E340,'Lista Infomoney'!B:F,5,FALSE)</f>
        <v>BSLI3</v>
      </c>
      <c r="V340" s="6" t="str">
        <f>"(Ação da BRB Banco|Ações da BRB Banco|"&amp;H340&amp;"|"&amp;I340&amp;"|"&amp;J340&amp;"|"&amp;K340&amp;")"</f>
        <v>(Ação da BRB Banco|Ações da BRB Banco|BSLI4F|BSLI3F|BSLI4|BSLI3)</v>
      </c>
    </row>
    <row r="341">
      <c r="A341" s="2">
        <v>2.0</v>
      </c>
      <c r="B341" s="2" t="s">
        <v>375</v>
      </c>
      <c r="C341" s="2" t="s">
        <v>2024</v>
      </c>
      <c r="D341" s="2" t="s">
        <v>2025</v>
      </c>
      <c r="E341" s="2" t="s">
        <v>2079</v>
      </c>
      <c r="F341" s="2" t="s">
        <v>2080</v>
      </c>
      <c r="G341" s="2"/>
      <c r="H341" s="2" t="s">
        <v>2081</v>
      </c>
      <c r="I341" s="2" t="s">
        <v>2082</v>
      </c>
      <c r="J341" s="2" t="s">
        <v>2083</v>
      </c>
      <c r="K341" s="2" t="s">
        <v>2084</v>
      </c>
      <c r="L341" s="2" t="s">
        <v>2085</v>
      </c>
      <c r="M341" s="2" t="s">
        <v>2086</v>
      </c>
      <c r="V341" s="6" t="str">
        <f>"(Ação da BTGP Banco|Ações da BTGP Banco|"&amp;H341&amp;"|"&amp;I341&amp;"|"&amp;J341&amp;"|"&amp;K341&amp;"|"&amp;L341&amp;"|"&amp;M341&amp;")"</f>
        <v>(Ação da BTGP Banco|Ações da BTGP Banco|BPAC11|BPAC3|BPAC5|BPAC11F|BPAC3F|BPAC5F)</v>
      </c>
    </row>
    <row r="342">
      <c r="A342" s="2">
        <v>2.0</v>
      </c>
      <c r="B342" s="2" t="s">
        <v>375</v>
      </c>
      <c r="C342" s="2" t="s">
        <v>2024</v>
      </c>
      <c r="D342" s="2" t="s">
        <v>2025</v>
      </c>
      <c r="E342" s="2" t="s">
        <v>2087</v>
      </c>
      <c r="F342" s="2" t="s">
        <v>2088</v>
      </c>
      <c r="G342" s="2" t="s">
        <v>1013</v>
      </c>
      <c r="H342" s="2" t="s">
        <v>2089</v>
      </c>
      <c r="I342" s="2" t="s">
        <v>2090</v>
      </c>
      <c r="J342" s="2" t="s">
        <v>2091</v>
      </c>
      <c r="K342" s="2" t="s">
        <v>2092</v>
      </c>
      <c r="V342" s="6" t="str">
        <f>"(Ação da Indusval|Ações da Indusval|"&amp;H342&amp;"|"&amp;I342&amp;"|"&amp;J342&amp;"|"&amp;K342&amp;")"</f>
        <v>(Ação da Indusval|Ações da Indusval|IDVL3|IDVL4|IDVL3F|IDVL4F)</v>
      </c>
    </row>
    <row r="343">
      <c r="A343" s="2">
        <v>1.0</v>
      </c>
      <c r="B343" s="2" t="s">
        <v>375</v>
      </c>
      <c r="C343" s="2" t="s">
        <v>2024</v>
      </c>
      <c r="D343" s="2" t="s">
        <v>2025</v>
      </c>
      <c r="E343" s="2" t="s">
        <v>2093</v>
      </c>
      <c r="F343" s="2" t="s">
        <v>2094</v>
      </c>
      <c r="G343" s="2" t="s">
        <v>1029</v>
      </c>
      <c r="H343" s="22" t="str">
        <f>VLOOKUP(E343,'Lista Infomoney'!B:H,2,FALSE)</f>
        <v>ITSA4F</v>
      </c>
      <c r="I343" s="22" t="str">
        <f>VLOOKUP(E343,'Lista Infomoney'!B:F,3,FALSE)</f>
        <v>ITSA4</v>
      </c>
      <c r="J343" s="22" t="str">
        <f>VLOOKUP(E343,'Lista Infomoney'!B:F,4,FALSE)</f>
        <v>ITSA3F</v>
      </c>
      <c r="K343" s="2" t="s">
        <v>2095</v>
      </c>
      <c r="V343" s="6" t="str">
        <f>"(Ação da Itaúsa|Ações da Itaúsa|"&amp;H343&amp;"|"&amp;I343&amp;"|"&amp;J343&amp;"|"&amp;K343&amp;")"</f>
        <v>(Ação da Itaúsa|Ações da Itaúsa|ITSA4F|ITSA4|ITSA3F|ITSA3)</v>
      </c>
    </row>
    <row r="344">
      <c r="A344" s="2">
        <v>1.0</v>
      </c>
      <c r="B344" s="2" t="s">
        <v>375</v>
      </c>
      <c r="C344" s="2" t="s">
        <v>2024</v>
      </c>
      <c r="D344" s="2" t="s">
        <v>2025</v>
      </c>
      <c r="E344" s="2" t="s">
        <v>468</v>
      </c>
      <c r="F344" s="2" t="s">
        <v>2096</v>
      </c>
      <c r="G344" s="2" t="s">
        <v>1029</v>
      </c>
      <c r="H344" s="22" t="str">
        <f>VLOOKUP(E344,'Lista Infomoney'!B:H,2,FALSE)</f>
        <v>ITUB3F</v>
      </c>
      <c r="I344" s="22" t="str">
        <f>VLOOKUP(E344,'Lista Infomoney'!B:F,3,FALSE)</f>
        <v>ITUB4</v>
      </c>
      <c r="J344" s="22" t="str">
        <f>VLOOKUP(E344,'Lista Infomoney'!B:F,4,FALSE)</f>
        <v>ITUB3</v>
      </c>
      <c r="K344" s="22" t="str">
        <f>VLOOKUP(E344,'Lista Infomoney'!B:F,5,FALSE)</f>
        <v>ITUB4F</v>
      </c>
      <c r="V344" s="6" t="str">
        <f>"(Ação da Itaú Unibanco|Ações da Itaú Unibanco|"&amp;H344&amp;"|"&amp;I344&amp;"|"&amp;J344&amp;"|"&amp;K344&amp;")"</f>
        <v>(Ação da Itaú Unibanco|Ações da Itaú Unibanco|ITUB3F|ITUB4|ITUB3|ITUB4F)</v>
      </c>
    </row>
    <row r="345">
      <c r="A345" s="2">
        <v>2.0</v>
      </c>
      <c r="B345" s="2" t="s">
        <v>375</v>
      </c>
      <c r="C345" s="2" t="s">
        <v>2024</v>
      </c>
      <c r="D345" s="2" t="s">
        <v>2025</v>
      </c>
      <c r="E345" s="2" t="s">
        <v>2097</v>
      </c>
      <c r="F345" s="2" t="s">
        <v>2098</v>
      </c>
      <c r="G345" s="2"/>
      <c r="H345" s="2" t="s">
        <v>2099</v>
      </c>
      <c r="I345" s="2" t="s">
        <v>2100</v>
      </c>
      <c r="J345" s="2" t="s">
        <v>2101</v>
      </c>
      <c r="K345" s="2" t="s">
        <v>2102</v>
      </c>
      <c r="L345" s="2" t="s">
        <v>2103</v>
      </c>
      <c r="V345" s="6" t="str">
        <f>"(Ação da Merc Brasil|Ações da Merc Brasil|"&amp;H345&amp;"|"&amp;I345&amp;"|"&amp;J345&amp;"|"&amp;K345&amp;"|"&amp;L345&amp;")"</f>
        <v>(Ação da Merc Brasil|Ações da Merc Brasil|BMEB3|BMEB4|BMEB3F|BMEB4F|BMEB9F)</v>
      </c>
    </row>
    <row r="346">
      <c r="A346" s="2">
        <v>1.0</v>
      </c>
      <c r="B346" s="2" t="s">
        <v>375</v>
      </c>
      <c r="C346" s="2" t="s">
        <v>2024</v>
      </c>
      <c r="D346" s="2" t="s">
        <v>2025</v>
      </c>
      <c r="E346" s="2" t="s">
        <v>475</v>
      </c>
      <c r="F346" s="2" t="s">
        <v>2104</v>
      </c>
      <c r="G346" s="2" t="s">
        <v>1433</v>
      </c>
      <c r="H346" s="22" t="str">
        <f>VLOOKUP(E346,'Lista Infomoney'!B:H,2,FALSE)</f>
        <v>BMIN3</v>
      </c>
      <c r="I346" s="2" t="s">
        <v>2105</v>
      </c>
      <c r="J346" s="2" t="s">
        <v>2106</v>
      </c>
      <c r="K346" s="2" t="s">
        <v>2107</v>
      </c>
      <c r="V346" s="6" t="str">
        <f>"(Ação do Banco Mercantil de Investimentos|Ações do Banco Mercantil de Investimentos|"&amp;H346&amp;"|"&amp;I346&amp;"|"&amp;J346&amp;"|"&amp;K346&amp;")"</f>
        <v>(Ação do Banco Mercantil de Investimentos|Ações do Banco Mercantil de Investimentos|BMIN3|BMIN4|BMIN3F|BMIN4F)</v>
      </c>
    </row>
    <row r="347">
      <c r="A347" s="2">
        <v>2.0</v>
      </c>
      <c r="B347" s="2" t="s">
        <v>375</v>
      </c>
      <c r="C347" s="2" t="s">
        <v>2024</v>
      </c>
      <c r="D347" s="2" t="s">
        <v>2025</v>
      </c>
      <c r="E347" s="2" t="s">
        <v>2108</v>
      </c>
      <c r="F347" s="2" t="s">
        <v>2109</v>
      </c>
      <c r="G347" s="2"/>
      <c r="H347" s="2" t="s">
        <v>2110</v>
      </c>
      <c r="I347" s="2" t="s">
        <v>2111</v>
      </c>
      <c r="V347" s="6" t="str">
        <f>"(Ação da Nord Brasil|Ações da Nord Brasil|"&amp;H347&amp;"|"&amp;I347&amp;")"</f>
        <v>(Ação da Nord Brasil|Ações da Nord Brasil|BNBR3|BNBR3F)</v>
      </c>
    </row>
    <row r="348">
      <c r="A348" s="2">
        <v>2.0</v>
      </c>
      <c r="B348" s="2" t="s">
        <v>375</v>
      </c>
      <c r="C348" s="2" t="s">
        <v>2024</v>
      </c>
      <c r="D348" s="2" t="s">
        <v>2025</v>
      </c>
      <c r="E348" s="2" t="s">
        <v>2112</v>
      </c>
      <c r="F348" s="24" t="s">
        <v>2113</v>
      </c>
      <c r="G348" s="2"/>
      <c r="H348" s="6" t="s">
        <v>2113</v>
      </c>
      <c r="V348" s="6" t="str">
        <f>"(Ação da Parana|Ações da Parana|"&amp;H348&amp;")"</f>
        <v>(Ação da Parana|Ações da Parana|PRBC)</v>
      </c>
    </row>
    <row r="349">
      <c r="A349" s="2">
        <v>2.0</v>
      </c>
      <c r="B349" s="2" t="s">
        <v>375</v>
      </c>
      <c r="C349" s="2" t="s">
        <v>2024</v>
      </c>
      <c r="D349" s="2" t="s">
        <v>2025</v>
      </c>
      <c r="E349" s="2" t="s">
        <v>2114</v>
      </c>
      <c r="F349" s="2" t="s">
        <v>2114</v>
      </c>
      <c r="G349" s="2" t="s">
        <v>1013</v>
      </c>
      <c r="H349" s="2" t="s">
        <v>2115</v>
      </c>
      <c r="I349" s="2" t="s">
        <v>2116</v>
      </c>
      <c r="J349" s="2" t="s">
        <v>2117</v>
      </c>
      <c r="K349" s="2" t="s">
        <v>2118</v>
      </c>
      <c r="V349" s="6" t="str">
        <f>"(Ação da Pine|Ações da Pine|"&amp;H349&amp;"|"&amp;I349&amp;"|"&amp;J349&amp;"|"&amp;K349&amp;")"</f>
        <v>(Ação da Pine|Ações da Pine|PINE3|PINE4|PINE3F|PINE4F)</v>
      </c>
    </row>
    <row r="350">
      <c r="A350" s="2">
        <v>1.0</v>
      </c>
      <c r="B350" s="2" t="s">
        <v>375</v>
      </c>
      <c r="C350" s="2" t="s">
        <v>2024</v>
      </c>
      <c r="D350" s="2" t="s">
        <v>2025</v>
      </c>
      <c r="E350" s="2" t="s">
        <v>2119</v>
      </c>
      <c r="F350" s="2" t="s">
        <v>2120</v>
      </c>
      <c r="G350" s="2" t="s">
        <v>1956</v>
      </c>
      <c r="H350" s="22" t="str">
        <f>VLOOKUP(E350,'Lista Infomoney'!B:H,2,FALSE)</f>
        <v>SANB4F</v>
      </c>
      <c r="I350" s="22" t="str">
        <f>VLOOKUP(E350,'Lista Infomoney'!B:F,3,FALSE)</f>
        <v>SANB3F</v>
      </c>
      <c r="J350" s="22" t="str">
        <f>VLOOKUP(E350,'Lista Infomoney'!B:F,4,FALSE)</f>
        <v>SANB11F</v>
      </c>
      <c r="K350" s="22" t="str">
        <f>VLOOKUP(E350,'Lista Infomoney'!B:F,5,FALSE)</f>
        <v>SANB4</v>
      </c>
      <c r="L350" s="2" t="s">
        <v>463</v>
      </c>
      <c r="M350" s="2" t="s">
        <v>461</v>
      </c>
      <c r="V350" s="6" t="str">
        <f>"(Ação da Santander BR|Ações da Santander BR|"&amp;H350&amp;"|"&amp;I350&amp;"|"&amp;J350&amp;"|"&amp;K350&amp;"|"&amp;L350&amp;"|"&amp;M350&amp;")"</f>
        <v>(Ação da Santander BR|Ações da Santander BR|SANB4F|SANB3F|SANB11F|SANB4|SANB3|SANB11F)</v>
      </c>
    </row>
    <row r="351">
      <c r="A351" s="2">
        <v>2.0</v>
      </c>
      <c r="B351" s="2" t="s">
        <v>375</v>
      </c>
      <c r="C351" s="2" t="s">
        <v>2024</v>
      </c>
      <c r="D351" s="2" t="s">
        <v>2121</v>
      </c>
      <c r="E351" s="2" t="s">
        <v>2122</v>
      </c>
      <c r="F351" s="2" t="s">
        <v>2123</v>
      </c>
      <c r="G351" s="2"/>
      <c r="H351" s="2" t="s">
        <v>2124</v>
      </c>
      <c r="I351" s="2" t="s">
        <v>2125</v>
      </c>
      <c r="J351" s="2" t="s">
        <v>2126</v>
      </c>
      <c r="K351" s="2" t="s">
        <v>2127</v>
      </c>
      <c r="V351" s="6" t="str">
        <f>"(Ação da Alfa Financ|Ações da Alfa Financ|"&amp;H351&amp;"|"&amp;I351&amp;"|"&amp;J351&amp;"|"&amp;K351&amp;")"</f>
        <v>(Ação da Alfa Financ|Ações da Alfa Financ|CRIV3|CRIV4|CRIV3F|CRIV4F)</v>
      </c>
    </row>
    <row r="352">
      <c r="A352" s="2">
        <v>2.0</v>
      </c>
      <c r="B352" s="2" t="s">
        <v>375</v>
      </c>
      <c r="C352" s="2" t="s">
        <v>2024</v>
      </c>
      <c r="D352" s="2" t="s">
        <v>2121</v>
      </c>
      <c r="E352" s="2" t="s">
        <v>2128</v>
      </c>
      <c r="F352" s="2" t="s">
        <v>2129</v>
      </c>
      <c r="G352" s="2"/>
      <c r="H352" s="2" t="s">
        <v>2130</v>
      </c>
      <c r="I352" s="2" t="s">
        <v>2131</v>
      </c>
      <c r="V352" s="6" t="str">
        <f>"(Ação da Finansinos|Ações da Finansinos|"&amp;H352&amp;"|"&amp;I352&amp;")"</f>
        <v>(Ação da Finansinos|Ações da Finansinos|FNCN3|FNCN3F)</v>
      </c>
    </row>
    <row r="353">
      <c r="A353" s="2">
        <v>1.0</v>
      </c>
      <c r="B353" s="2" t="s">
        <v>375</v>
      </c>
      <c r="C353" s="2" t="s">
        <v>2024</v>
      </c>
      <c r="D353" s="2" t="s">
        <v>2121</v>
      </c>
      <c r="E353" s="2" t="s">
        <v>477</v>
      </c>
      <c r="F353" s="2" t="s">
        <v>2132</v>
      </c>
      <c r="G353" s="2" t="s">
        <v>1956</v>
      </c>
      <c r="H353" s="22" t="str">
        <f>VLOOKUP(E353,'Lista Infomoney'!B:H,2,FALSE)</f>
        <v>MERC4</v>
      </c>
      <c r="I353" s="2" t="s">
        <v>2133</v>
      </c>
      <c r="J353" s="2" t="s">
        <v>2134</v>
      </c>
      <c r="K353" s="2" t="s">
        <v>2135</v>
      </c>
      <c r="V353" s="6" t="str">
        <f>"(Ação da Mercantil do Brasil Financeiro|Ações do Mercantil do Brasil Financeiro|"&amp;H353&amp;"|"&amp;I353&amp;"|"&amp;J353&amp;"|"&amp;K353&amp;")"</f>
        <v>(Ação da Mercantil do Brasil Financeiro|Ações do Mercantil do Brasil Financeiro|MERC4|MERC3|MERC3F|MERC4F)</v>
      </c>
    </row>
    <row r="354">
      <c r="A354" s="2">
        <v>2.0</v>
      </c>
      <c r="B354" s="2" t="s">
        <v>375</v>
      </c>
      <c r="C354" s="2" t="s">
        <v>2024</v>
      </c>
      <c r="D354" s="2" t="s">
        <v>2136</v>
      </c>
      <c r="E354" s="2" t="s">
        <v>2137</v>
      </c>
      <c r="F354" s="24" t="s">
        <v>2138</v>
      </c>
      <c r="G354" s="2"/>
      <c r="H354" s="6" t="s">
        <v>2138</v>
      </c>
      <c r="V354" s="6" t="str">
        <f>"(Ação da Bradesco LSG|Ações da Bradesco LSG|"&amp;H354&amp;")"</f>
        <v>(Ação da Bradesco LSG|Ações da Bradesco LSG|BDLS)</v>
      </c>
    </row>
    <row r="355">
      <c r="A355" s="2">
        <v>2.0</v>
      </c>
      <c r="B355" s="2" t="s">
        <v>375</v>
      </c>
      <c r="C355" s="2" t="s">
        <v>2024</v>
      </c>
      <c r="D355" s="2" t="s">
        <v>2136</v>
      </c>
      <c r="E355" s="2" t="s">
        <v>2139</v>
      </c>
      <c r="F355" s="24" t="s">
        <v>2140</v>
      </c>
      <c r="G355" s="2"/>
      <c r="H355" s="6" t="s">
        <v>2140</v>
      </c>
      <c r="V355" s="6" t="str">
        <f>"(Ação da Dibens LSG|Ações da Dibens LSG|"&amp;H355&amp;")"</f>
        <v>(Ação da Dibens LSG|Ações da Dibens LSG|DBEN)</v>
      </c>
    </row>
    <row r="356">
      <c r="A356" s="2">
        <v>2.0</v>
      </c>
      <c r="B356" s="2" t="s">
        <v>375</v>
      </c>
      <c r="C356" s="2" t="s">
        <v>2141</v>
      </c>
      <c r="D356" s="2" t="s">
        <v>2141</v>
      </c>
      <c r="E356" s="2" t="s">
        <v>2142</v>
      </c>
      <c r="F356" s="24" t="s">
        <v>2143</v>
      </c>
      <c r="G356" s="2"/>
      <c r="H356" s="6" t="s">
        <v>2143</v>
      </c>
      <c r="V356" s="6" t="str">
        <f>"(Ação da Brazil Realt|Ações da Brazil Realt|"&amp;H356&amp;")"</f>
        <v>(Ação da Brazil Realt|Ações da Brazil Realt|BZRS)</v>
      </c>
    </row>
    <row r="357">
      <c r="A357" s="2">
        <v>2.0</v>
      </c>
      <c r="B357" s="2" t="s">
        <v>375</v>
      </c>
      <c r="C357" s="2" t="s">
        <v>2141</v>
      </c>
      <c r="D357" s="2" t="s">
        <v>2141</v>
      </c>
      <c r="E357" s="2" t="s">
        <v>2144</v>
      </c>
      <c r="F357" s="2" t="s">
        <v>2145</v>
      </c>
      <c r="G357" s="2"/>
      <c r="H357" s="2" t="s">
        <v>2145</v>
      </c>
      <c r="I357" s="28"/>
      <c r="J357" s="28"/>
      <c r="V357" s="6" t="str">
        <f>"(Ação da BRAZILIAN SC|Ações da BRAZILIAN SC|"&amp;H357&amp;")"</f>
        <v>(Ação da BRAZILIAN SC|Ações da BRAZILIAN SC|BSCS)</v>
      </c>
    </row>
    <row r="358">
      <c r="A358" s="2">
        <v>2.0</v>
      </c>
      <c r="B358" s="2" t="s">
        <v>375</v>
      </c>
      <c r="C358" s="2" t="s">
        <v>2141</v>
      </c>
      <c r="D358" s="2" t="s">
        <v>2141</v>
      </c>
      <c r="E358" s="2" t="s">
        <v>2146</v>
      </c>
      <c r="F358" s="2" t="s">
        <v>2147</v>
      </c>
      <c r="G358" s="2"/>
      <c r="H358" s="2" t="s">
        <v>2147</v>
      </c>
      <c r="V358" s="6" t="str">
        <f>"(Ação da BRPR 56 Sec|Ações da BRPR 56 Sec|"&amp;H358&amp;")"</f>
        <v>(Ação da BRPR 56 Sec|Ações da BRPR 56 Sec|WTVR)</v>
      </c>
    </row>
    <row r="359">
      <c r="A359" s="2">
        <v>2.0</v>
      </c>
      <c r="B359" s="2" t="s">
        <v>375</v>
      </c>
      <c r="C359" s="2" t="s">
        <v>2141</v>
      </c>
      <c r="D359" s="2" t="s">
        <v>2141</v>
      </c>
      <c r="E359" s="2" t="s">
        <v>2148</v>
      </c>
      <c r="F359" s="2" t="s">
        <v>2149</v>
      </c>
      <c r="G359" s="2"/>
      <c r="H359" s="2" t="s">
        <v>2149</v>
      </c>
      <c r="V359" s="6" t="str">
        <f>"(Ação da Cibrasec|Ações da Cibrasec|"&amp;H359&amp;")"</f>
        <v>(Ação da Cibrasec|Ações da Cibrasec|CBSC)</v>
      </c>
    </row>
    <row r="360">
      <c r="A360" s="2">
        <v>2.0</v>
      </c>
      <c r="B360" s="2" t="s">
        <v>375</v>
      </c>
      <c r="C360" s="2" t="s">
        <v>2141</v>
      </c>
      <c r="D360" s="2" t="s">
        <v>2141</v>
      </c>
      <c r="E360" s="2" t="s">
        <v>2150</v>
      </c>
      <c r="F360" s="2" t="s">
        <v>2151</v>
      </c>
      <c r="G360" s="2" t="s">
        <v>1032</v>
      </c>
      <c r="H360" s="2" t="s">
        <v>2151</v>
      </c>
      <c r="V360" s="6" t="str">
        <f>"(Ação da Eco Sec Agro|Ações da Eco Sec Agro|"&amp;H360&amp;")"</f>
        <v>(Ação da Eco Sec Agro|Ações da Eco Sec Agro|ECOA)</v>
      </c>
    </row>
    <row r="361">
      <c r="A361" s="2">
        <v>2.0</v>
      </c>
      <c r="B361" s="2" t="s">
        <v>375</v>
      </c>
      <c r="C361" s="2" t="s">
        <v>2141</v>
      </c>
      <c r="D361" s="2" t="s">
        <v>2141</v>
      </c>
      <c r="E361" s="2" t="s">
        <v>2152</v>
      </c>
      <c r="F361" s="2" t="s">
        <v>2153</v>
      </c>
      <c r="G361" s="2"/>
      <c r="H361" s="2" t="s">
        <v>2153</v>
      </c>
      <c r="V361" s="6" t="str">
        <f>"(Ação da Gaia Agro|Ações da Gaia Agro|"&amp;H361&amp;")"</f>
        <v>(Ação da Gaia Agro|Ações da Gaia Agro|GAFL)</v>
      </c>
    </row>
    <row r="362">
      <c r="A362" s="2">
        <v>2.0</v>
      </c>
      <c r="B362" s="2" t="s">
        <v>375</v>
      </c>
      <c r="C362" s="2" t="s">
        <v>2141</v>
      </c>
      <c r="D362" s="2" t="s">
        <v>2141</v>
      </c>
      <c r="E362" s="2" t="s">
        <v>2154</v>
      </c>
      <c r="F362" s="24" t="s">
        <v>2155</v>
      </c>
      <c r="G362" s="2" t="s">
        <v>1032</v>
      </c>
      <c r="H362" s="6" t="s">
        <v>2155</v>
      </c>
      <c r="V362" s="6" t="str">
        <f>"(Ação da Gaia Securit|Ações da Gaia Securit|"&amp;H362&amp;")"</f>
        <v>(Ação da Gaia Securit|Ações da Gaia Securit|GAIA)</v>
      </c>
    </row>
    <row r="363">
      <c r="A363" s="2">
        <v>2.0</v>
      </c>
      <c r="B363" s="2" t="s">
        <v>375</v>
      </c>
      <c r="C363" s="2" t="s">
        <v>2141</v>
      </c>
      <c r="D363" s="2" t="s">
        <v>2141</v>
      </c>
      <c r="E363" s="2" t="s">
        <v>2156</v>
      </c>
      <c r="F363" s="2" t="s">
        <v>2157</v>
      </c>
      <c r="G363" s="2"/>
      <c r="H363" s="29" t="s">
        <v>2157</v>
      </c>
      <c r="V363" s="6" t="str">
        <f>"(Ação da Octante Sec|Ações da Octante Sec|"&amp;H363&amp;")"</f>
        <v>(Ação da Octante Sec|Ações da Octante Sec|OCTS)</v>
      </c>
    </row>
    <row r="364">
      <c r="A364" s="2">
        <v>2.0</v>
      </c>
      <c r="B364" s="2" t="s">
        <v>375</v>
      </c>
      <c r="C364" s="2" t="s">
        <v>2141</v>
      </c>
      <c r="D364" s="2" t="s">
        <v>2141</v>
      </c>
      <c r="E364" s="2" t="s">
        <v>2158</v>
      </c>
      <c r="F364" s="2" t="s">
        <v>2159</v>
      </c>
      <c r="G364" s="2"/>
      <c r="H364" s="2" t="s">
        <v>2159</v>
      </c>
      <c r="V364" s="6" t="str">
        <f>"(Ação da PDG Securit|Ações da PDG Securit|"&amp;H364&amp;")"</f>
        <v>(Ação da PDG Securit|Ações da PDG Securit|PDGS)</v>
      </c>
    </row>
    <row r="365">
      <c r="A365" s="2">
        <v>2.0</v>
      </c>
      <c r="B365" s="2" t="s">
        <v>375</v>
      </c>
      <c r="C365" s="2" t="s">
        <v>2141</v>
      </c>
      <c r="D365" s="2" t="s">
        <v>2141</v>
      </c>
      <c r="E365" s="2" t="s">
        <v>2160</v>
      </c>
      <c r="F365" s="2" t="s">
        <v>2161</v>
      </c>
      <c r="G365" s="2"/>
      <c r="H365" s="2" t="s">
        <v>2161</v>
      </c>
      <c r="V365" s="6" t="str">
        <f>"(Ação da Polo Cap Sec|Ações da Polo Cap Sec|"&amp;H365&amp;")"</f>
        <v>(Ação da Polo Cap Sec|Ações da Polo Cap Sec|PLSC)</v>
      </c>
    </row>
    <row r="366">
      <c r="A366" s="2">
        <v>2.0</v>
      </c>
      <c r="B366" s="2" t="s">
        <v>375</v>
      </c>
      <c r="C366" s="2" t="s">
        <v>2141</v>
      </c>
      <c r="D366" s="2" t="s">
        <v>2141</v>
      </c>
      <c r="E366" s="2" t="s">
        <v>2162</v>
      </c>
      <c r="F366" s="2" t="s">
        <v>2163</v>
      </c>
      <c r="G366" s="2" t="s">
        <v>1032</v>
      </c>
      <c r="H366" s="2" t="s">
        <v>2163</v>
      </c>
      <c r="V366" s="6" t="str">
        <f>"(Ação da RB Capital RES|Ações da RB Capital RES|"&amp;H366&amp;")"</f>
        <v>(Ação da RB Capital RES|Ações da RB Capital RES|RBRA)</v>
      </c>
    </row>
    <row r="367">
      <c r="A367" s="2">
        <v>2.0</v>
      </c>
      <c r="B367" s="2" t="s">
        <v>375</v>
      </c>
      <c r="C367" s="2" t="s">
        <v>2141</v>
      </c>
      <c r="D367" s="2" t="s">
        <v>2141</v>
      </c>
      <c r="E367" s="2" t="s">
        <v>2164</v>
      </c>
      <c r="F367" s="2" t="s">
        <v>2165</v>
      </c>
      <c r="G367" s="2"/>
      <c r="H367" s="2" t="s">
        <v>2165</v>
      </c>
      <c r="V367" s="6" t="str">
        <f>"(Ação da Truesec|Ações da Truesec|"&amp;H367&amp;")"</f>
        <v>(Ação da Truesec|Ações da Truesec|APCS)</v>
      </c>
    </row>
    <row r="368">
      <c r="A368" s="2">
        <v>2.0</v>
      </c>
      <c r="B368" s="2" t="s">
        <v>375</v>
      </c>
      <c r="C368" s="2" t="s">
        <v>2141</v>
      </c>
      <c r="D368" s="2" t="s">
        <v>2141</v>
      </c>
      <c r="E368" s="2" t="s">
        <v>2166</v>
      </c>
      <c r="F368" s="2" t="s">
        <v>2167</v>
      </c>
      <c r="G368" s="2"/>
      <c r="H368" s="2" t="s">
        <v>2167</v>
      </c>
      <c r="V368" s="6" t="str">
        <f>"(Ação da Vertciasec|Ações da Vertciasec|"&amp;H368&amp;")"</f>
        <v>(Ação da Vertciasec|Ações da Vertciasec|VERT)</v>
      </c>
    </row>
    <row r="369">
      <c r="A369" s="2">
        <v>2.0</v>
      </c>
      <c r="B369" s="2" t="s">
        <v>375</v>
      </c>
      <c r="C369" s="2" t="s">
        <v>2141</v>
      </c>
      <c r="D369" s="2" t="s">
        <v>2141</v>
      </c>
      <c r="E369" s="2" t="s">
        <v>2168</v>
      </c>
      <c r="F369" s="24" t="s">
        <v>2169</v>
      </c>
      <c r="G369" s="2"/>
      <c r="H369" s="6" t="s">
        <v>2169</v>
      </c>
      <c r="V369" s="6" t="str">
        <f>"(Ação da Wtorre Pic|Ações da Wtorre Pic|"&amp;H369&amp;")"</f>
        <v>(Ação da Wtorre Pic|Ações da Wtorre Pic|WTPI)</v>
      </c>
    </row>
    <row r="370">
      <c r="A370" s="2">
        <v>2.0</v>
      </c>
      <c r="B370" s="2" t="s">
        <v>375</v>
      </c>
      <c r="C370" s="2" t="s">
        <v>2170</v>
      </c>
      <c r="D370" s="2" t="s">
        <v>2171</v>
      </c>
      <c r="E370" s="2" t="s">
        <v>2172</v>
      </c>
      <c r="F370" s="24" t="s">
        <v>2173</v>
      </c>
      <c r="G370" s="2" t="s">
        <v>1032</v>
      </c>
      <c r="H370" s="6" t="s">
        <v>2173</v>
      </c>
      <c r="V370" s="6" t="str">
        <f>"(Ação da BNDES Par|Ações da BNDES Par|"&amp;H370&amp;")"</f>
        <v>(Ação da BNDES Par|Ações da BNDES Par|BNDP)</v>
      </c>
    </row>
    <row r="371">
      <c r="A371" s="2">
        <v>2.0</v>
      </c>
      <c r="B371" s="2" t="s">
        <v>375</v>
      </c>
      <c r="C371" s="2" t="s">
        <v>2170</v>
      </c>
      <c r="D371" s="2" t="s">
        <v>2171</v>
      </c>
      <c r="E371" s="2" t="s">
        <v>2174</v>
      </c>
      <c r="F371" s="24" t="s">
        <v>2175</v>
      </c>
      <c r="G371" s="2"/>
      <c r="H371" s="6" t="s">
        <v>2175</v>
      </c>
      <c r="V371" s="6" t="str">
        <f>"(Ação da Brazilian FR|Ações da Brazilian FR|"&amp;H371&amp;")"</f>
        <v>(Ação da Brazilian FR|Ações da Brazilian FR|BFRE)</v>
      </c>
    </row>
    <row r="372">
      <c r="A372" s="2">
        <v>2.0</v>
      </c>
      <c r="B372" s="2" t="s">
        <v>375</v>
      </c>
      <c r="C372" s="2" t="s">
        <v>2170</v>
      </c>
      <c r="D372" s="2" t="s">
        <v>2171</v>
      </c>
      <c r="E372" s="2" t="s">
        <v>2176</v>
      </c>
      <c r="F372" s="2" t="s">
        <v>2177</v>
      </c>
      <c r="G372" s="2" t="s">
        <v>1401</v>
      </c>
      <c r="H372" s="2" t="s">
        <v>2178</v>
      </c>
      <c r="I372" s="2" t="s">
        <v>2179</v>
      </c>
      <c r="V372" s="6" t="str">
        <f>"(Ação da GP Invest|Ações da GP Invest|"&amp;H372&amp;"|"&amp;I372&amp;")"</f>
        <v>(Ação da GP Invest|Ações da GP Invest|GPIV33|GPIV33F)</v>
      </c>
    </row>
    <row r="373">
      <c r="A373" s="2">
        <v>2.0</v>
      </c>
      <c r="B373" s="2" t="s">
        <v>375</v>
      </c>
      <c r="C373" s="2" t="s">
        <v>2170</v>
      </c>
      <c r="D373" s="2" t="s">
        <v>2171</v>
      </c>
      <c r="E373" s="2" t="s">
        <v>2180</v>
      </c>
      <c r="F373" s="2" t="s">
        <v>2181</v>
      </c>
      <c r="G373" s="2"/>
      <c r="H373" s="2" t="s">
        <v>2182</v>
      </c>
      <c r="V373" s="6" t="str">
        <f>"(Ação da PADTEC|Ações da PADTEC|"&amp;H373&amp;")"</f>
        <v>(Ação da PADTEC|Ações da PADTEC|PDTC3)</v>
      </c>
    </row>
    <row r="374">
      <c r="A374" s="2">
        <v>2.0</v>
      </c>
      <c r="B374" s="2" t="s">
        <v>375</v>
      </c>
      <c r="C374" s="2" t="s">
        <v>2170</v>
      </c>
      <c r="D374" s="2" t="s">
        <v>2171</v>
      </c>
      <c r="E374" s="2" t="s">
        <v>2183</v>
      </c>
      <c r="F374" s="2" t="s">
        <v>2183</v>
      </c>
      <c r="G374" s="2" t="s">
        <v>1401</v>
      </c>
      <c r="H374" s="2" t="s">
        <v>2184</v>
      </c>
      <c r="I374" s="2" t="s">
        <v>2185</v>
      </c>
      <c r="V374" s="6" t="str">
        <f>"(Ação da PPLA|Ações da PPLA|"&amp;H374&amp;"|"&amp;I374&amp;")"</f>
        <v>(Ação da PPLA|Ações da PPLA|PPLA11|PPLA11F)</v>
      </c>
    </row>
    <row r="375">
      <c r="A375" s="2">
        <v>2.0</v>
      </c>
      <c r="B375" s="2" t="s">
        <v>375</v>
      </c>
      <c r="C375" s="2" t="s">
        <v>2170</v>
      </c>
      <c r="D375" s="2" t="s">
        <v>2170</v>
      </c>
      <c r="E375" s="2" t="s">
        <v>2186</v>
      </c>
      <c r="F375" s="2" t="s">
        <v>2187</v>
      </c>
      <c r="G375" s="2" t="s">
        <v>1001</v>
      </c>
      <c r="H375" s="2" t="s">
        <v>2188</v>
      </c>
      <c r="V375" s="6" t="str">
        <f>"(Ação da B3|Ações da B3|"&amp;H375&amp;")"</f>
        <v>(Ação da B3|Ações da B3|B3SA3)</v>
      </c>
    </row>
    <row r="376">
      <c r="A376" s="2">
        <v>1.0</v>
      </c>
      <c r="B376" s="2" t="s">
        <v>375</v>
      </c>
      <c r="C376" s="2" t="s">
        <v>2170</v>
      </c>
      <c r="D376" s="2" t="s">
        <v>2170</v>
      </c>
      <c r="E376" s="2" t="s">
        <v>2189</v>
      </c>
      <c r="F376" s="2" t="s">
        <v>2190</v>
      </c>
      <c r="G376" s="2" t="s">
        <v>1001</v>
      </c>
      <c r="H376" s="22" t="str">
        <f>VLOOKUP(E376,'Lista Infomoney'!B:H,2,FALSE)</f>
        <v>BOAS3</v>
      </c>
      <c r="I376" s="6" t="str">
        <f>VLOOKUP(E376,'Lista Infomoney'!B:F,3,FALSE)</f>
        <v/>
      </c>
      <c r="J376" s="6" t="str">
        <f>VLOOKUP(E376,'Lista Infomoney'!B:F,4,FALSE)</f>
        <v/>
      </c>
      <c r="K376" s="6" t="str">
        <f>VLOOKUP(E376,'Lista Infomoney'!B:F,5,FALSE)</f>
        <v/>
      </c>
      <c r="V376" s="6" t="str">
        <f>"(Ação da Boa vista SCPC|Ações da Boa Vista SCPC|"&amp;H376&amp;")"</f>
        <v>(Ação da Boa vista SCPC|Ações da Boa Vista SCPC|BOAS3)</v>
      </c>
    </row>
    <row r="377">
      <c r="A377" s="2">
        <v>2.0</v>
      </c>
      <c r="B377" s="2" t="s">
        <v>375</v>
      </c>
      <c r="C377" s="2" t="s">
        <v>2170</v>
      </c>
      <c r="D377" s="2" t="s">
        <v>2170</v>
      </c>
      <c r="E377" s="2" t="s">
        <v>2191</v>
      </c>
      <c r="F377" s="2" t="s">
        <v>2192</v>
      </c>
      <c r="G377" s="2" t="s">
        <v>1001</v>
      </c>
      <c r="H377" s="2" t="s">
        <v>2193</v>
      </c>
      <c r="I377" s="2" t="s">
        <v>2194</v>
      </c>
      <c r="V377" s="6" t="str">
        <f>"(Ação da Cielo|Ações da Cielo|"&amp;H377&amp;"|"&amp;I377&amp;")"</f>
        <v>(Ação da Cielo|Ações da Cielo|CIEL3|CIEL3F)</v>
      </c>
    </row>
    <row r="378">
      <c r="A378" s="2">
        <v>2.0</v>
      </c>
      <c r="B378" s="2" t="s">
        <v>375</v>
      </c>
      <c r="C378" s="2" t="s">
        <v>2195</v>
      </c>
      <c r="D378" s="2" t="s">
        <v>2196</v>
      </c>
      <c r="E378" s="2" t="s">
        <v>2197</v>
      </c>
      <c r="F378" s="2" t="s">
        <v>2198</v>
      </c>
      <c r="G378" s="2"/>
      <c r="H378" s="2" t="s">
        <v>2199</v>
      </c>
      <c r="I378" s="2" t="s">
        <v>2200</v>
      </c>
      <c r="J378" s="2" t="s">
        <v>2201</v>
      </c>
      <c r="K378" s="2" t="s">
        <v>2202</v>
      </c>
      <c r="L378" s="2" t="s">
        <v>2203</v>
      </c>
      <c r="M378" s="2" t="s">
        <v>2204</v>
      </c>
      <c r="N378" s="2" t="s">
        <v>2205</v>
      </c>
      <c r="O378" s="2" t="s">
        <v>2514</v>
      </c>
      <c r="P378" s="2" t="s">
        <v>2515</v>
      </c>
      <c r="Q378" s="2" t="s">
        <v>2516</v>
      </c>
      <c r="R378" s="2" t="s">
        <v>2517</v>
      </c>
      <c r="S378" s="2" t="s">
        <v>2518</v>
      </c>
      <c r="T378" s="2" t="s">
        <v>2519</v>
      </c>
      <c r="U378" s="2" t="s">
        <v>2520</v>
      </c>
      <c r="V378" s="6" t="str">
        <f>"(Ação da Alfa Consorc|Ações da Alfa Consorc|"&amp;H378&amp;"|"&amp;I378&amp;"|"&amp;J378&amp;"|"&amp;K378&amp;"|"&amp;L378&amp;"|"&amp;M378&amp;"|"&amp;N378&amp;"|"&amp;O378&amp;"|"&amp;P378&amp;"|"&amp;Q378&amp;"|"&amp;R378&amp;"|"&amp;S378&amp;"|"&amp;T378&amp;"|"&amp;U378&amp;")"</f>
        <v>(Ação da Alfa Consorc|Ações da Alfa Consorc|BRGE11|BRGE12|BRGE3|BRGE5|BRGE6|BRGE7|BRGE8|BRGE11F|BRGE12F|BRGE3F|BRGE5F|BRGE6F|BRGE7F|BRGE8F)</v>
      </c>
    </row>
    <row r="379">
      <c r="A379" s="2">
        <v>2.0</v>
      </c>
      <c r="B379" s="2" t="s">
        <v>375</v>
      </c>
      <c r="C379" s="2" t="s">
        <v>2195</v>
      </c>
      <c r="D379" s="2" t="s">
        <v>2196</v>
      </c>
      <c r="E379" s="2" t="s">
        <v>2207</v>
      </c>
      <c r="F379" s="2" t="s">
        <v>2208</v>
      </c>
      <c r="G379" s="2" t="s">
        <v>1001</v>
      </c>
      <c r="H379" s="2" t="s">
        <v>499</v>
      </c>
      <c r="I379" s="2" t="s">
        <v>2209</v>
      </c>
      <c r="V379" s="6" t="str">
        <f>"(Ação da BB Seguridade|Ações da BB Seguridade|"&amp;H379&amp;"|"&amp;I379&amp;")"</f>
        <v>(Ação da BB Seguridade|Ações da BB Seguridade|BBSE3|BBSE3F)</v>
      </c>
    </row>
    <row r="380">
      <c r="A380" s="2">
        <v>1.0</v>
      </c>
      <c r="B380" s="2" t="s">
        <v>375</v>
      </c>
      <c r="C380" s="2" t="s">
        <v>2195</v>
      </c>
      <c r="D380" s="2" t="s">
        <v>2196</v>
      </c>
      <c r="E380" s="2" t="s">
        <v>485</v>
      </c>
      <c r="F380" s="2" t="s">
        <v>2210</v>
      </c>
      <c r="G380" s="2" t="s">
        <v>1001</v>
      </c>
      <c r="H380" s="22" t="str">
        <f>VLOOKUP(E380,'Lista Infomoney'!B:H,2,FALSE)</f>
        <v>IRBR3</v>
      </c>
      <c r="I380" s="2" t="s">
        <v>2211</v>
      </c>
      <c r="J380" s="6" t="str">
        <f>VLOOKUP(E380,'Lista Infomoney'!B:F,4,FALSE)</f>
        <v/>
      </c>
      <c r="K380" s="6" t="str">
        <f>VLOOKUP(E380,'Lista Infomoney'!B:F,5,FALSE)</f>
        <v/>
      </c>
      <c r="V380" s="6" t="str">
        <f>"(Ação da IRB Brasil RE|Ações da IRB Brasil RE|"&amp;H380&amp;"|"&amp;I380&amp;")"</f>
        <v>(Ação da IRB Brasil RE|Ações da IRB Brasil RE|IRBR3|IRBR3F)</v>
      </c>
    </row>
    <row r="381">
      <c r="A381" s="2">
        <v>1.0</v>
      </c>
      <c r="B381" s="2" t="s">
        <v>375</v>
      </c>
      <c r="C381" s="2" t="s">
        <v>2195</v>
      </c>
      <c r="D381" s="2" t="s">
        <v>2196</v>
      </c>
      <c r="E381" s="2" t="s">
        <v>2212</v>
      </c>
      <c r="F381" s="2" t="s">
        <v>2213</v>
      </c>
      <c r="G381" s="2" t="s">
        <v>1001</v>
      </c>
      <c r="H381" s="22" t="str">
        <f>VLOOKUP(E381,'Lista Infomoney'!B:H,2,FALSE)</f>
        <v>PSSA3F</v>
      </c>
      <c r="I381" s="22" t="str">
        <f>VLOOKUP(E381,'Lista Infomoney'!B:F,3,FALSE)</f>
        <v>PSSA3</v>
      </c>
      <c r="J381" s="6" t="str">
        <f>VLOOKUP(E381,'Lista Infomoney'!B:F,4,FALSE)</f>
        <v/>
      </c>
      <c r="K381" s="6" t="str">
        <f>VLOOKUP(E381,'Lista Infomoney'!B:F,5,FALSE)</f>
        <v/>
      </c>
      <c r="V381" s="6" t="str">
        <f>"(Ação da Porto Seguro|Ações da Porto Seguro|"&amp;H381&amp;"|"&amp;I381&amp;")"</f>
        <v>(Ação da Porto Seguro|Ações da Porto Seguro|PSSA3F|PSSA3)</v>
      </c>
    </row>
    <row r="382">
      <c r="A382" s="2">
        <v>2.0</v>
      </c>
      <c r="B382" s="2" t="s">
        <v>375</v>
      </c>
      <c r="C382" s="2" t="s">
        <v>2195</v>
      </c>
      <c r="D382" s="2" t="s">
        <v>2196</v>
      </c>
      <c r="E382" s="2" t="s">
        <v>2214</v>
      </c>
      <c r="F382" s="2" t="s">
        <v>2215</v>
      </c>
      <c r="G382" s="2"/>
      <c r="H382" s="2" t="s">
        <v>2216</v>
      </c>
      <c r="I382" s="2" t="s">
        <v>2217</v>
      </c>
      <c r="J382" s="2" t="s">
        <v>2218</v>
      </c>
      <c r="K382" s="2" t="s">
        <v>2219</v>
      </c>
      <c r="V382" s="6" t="str">
        <f>"(Ação da Seg Al Bahia|Ações da Seg Al Bahia|"&amp;H382&amp;"|"&amp;I382&amp;"|"&amp;J382&amp;"|"&amp;K382&amp;")"</f>
        <v>(Ação da Seg Al Bahia|Ações da Seg Al Bahia|CSAB3|CSAB4|CSAB3F|CSAB4F)</v>
      </c>
    </row>
    <row r="383">
      <c r="A383" s="2">
        <v>2.0</v>
      </c>
      <c r="B383" s="2" t="s">
        <v>375</v>
      </c>
      <c r="C383" s="2" t="s">
        <v>2195</v>
      </c>
      <c r="D383" s="2" t="s">
        <v>2196</v>
      </c>
      <c r="E383" s="2" t="s">
        <v>2220</v>
      </c>
      <c r="F383" s="2" t="s">
        <v>2221</v>
      </c>
      <c r="G383" s="2" t="s">
        <v>1013</v>
      </c>
      <c r="H383" s="2" t="s">
        <v>2222</v>
      </c>
      <c r="I383" s="2" t="s">
        <v>2223</v>
      </c>
      <c r="J383" s="2" t="s">
        <v>2224</v>
      </c>
      <c r="K383" s="2" t="s">
        <v>2225</v>
      </c>
      <c r="L383" s="2" t="s">
        <v>2226</v>
      </c>
      <c r="M383" s="2" t="s">
        <v>2227</v>
      </c>
      <c r="V383" s="6" t="str">
        <f>"(Ação da Sul America|Ações da Sul America|"&amp;H383&amp;"|"&amp;I383&amp;"|"&amp;J383&amp;"|"&amp;K383&amp;"|"&amp;L383&amp;"|"&amp;M383&amp;")"</f>
        <v>(Ação da Sul America|Ações da Sul America|SULA11|SULA3|SULA4|SULA11F|SULA3F|SULA4F)</v>
      </c>
    </row>
    <row r="384">
      <c r="A384" s="2">
        <v>1.0</v>
      </c>
      <c r="B384" s="2" t="s">
        <v>375</v>
      </c>
      <c r="C384" s="2" t="s">
        <v>2195</v>
      </c>
      <c r="D384" s="2" t="s">
        <v>2228</v>
      </c>
      <c r="E384" s="2" t="s">
        <v>495</v>
      </c>
      <c r="F384" s="2" t="s">
        <v>2229</v>
      </c>
      <c r="G384" s="2" t="s">
        <v>1001</v>
      </c>
      <c r="H384" s="22" t="str">
        <f>VLOOKUP(E384,'Lista Infomoney'!B:H,2,FALSE)</f>
        <v>APER3F</v>
      </c>
      <c r="I384" s="22" t="str">
        <f>VLOOKUP(E384,'Lista Infomoney'!B:F,3,FALSE)</f>
        <v>APER3</v>
      </c>
      <c r="J384" s="6" t="str">
        <f>VLOOKUP(E384,'Lista Infomoney'!B:F,4,FALSE)</f>
        <v/>
      </c>
      <c r="K384" s="6" t="str">
        <f>VLOOKUP(E384,'Lista Infomoney'!B:F,5,FALSE)</f>
        <v/>
      </c>
      <c r="V384" s="6" t="str">
        <f>"(Ação da Alper SA|Ações da Alper SA|"&amp;H384&amp;"|"&amp;I384&amp;")"</f>
        <v>(Ação da Alper SA|Ações da Alper SA|APER3F|APER3)</v>
      </c>
    </row>
    <row r="385">
      <c r="A385" s="2">
        <v>2.0</v>
      </c>
      <c r="B385" s="2" t="s">
        <v>375</v>
      </c>
      <c r="C385" s="2" t="s">
        <v>2195</v>
      </c>
      <c r="D385" s="2" t="s">
        <v>2228</v>
      </c>
      <c r="E385" s="2" t="s">
        <v>2230</v>
      </c>
      <c r="F385" s="2" t="s">
        <v>2231</v>
      </c>
      <c r="G385" s="2" t="s">
        <v>1001</v>
      </c>
      <c r="H385" s="2" t="s">
        <v>2232</v>
      </c>
      <c r="I385" s="2" t="s">
        <v>2233</v>
      </c>
      <c r="V385" s="6" t="str">
        <f>"(Ação da Wiz SA|Ações da Wiz SA|"&amp;H385&amp;"|"&amp;I385&amp;")"</f>
        <v>(Ação da Wiz SA|Ações da Wiz SA|WIZS3|WIZS3F)</v>
      </c>
    </row>
    <row r="386">
      <c r="A386" s="2">
        <v>1.0</v>
      </c>
      <c r="B386" s="2" t="s">
        <v>375</v>
      </c>
      <c r="C386" s="2" t="s">
        <v>2234</v>
      </c>
      <c r="D386" s="2" t="s">
        <v>2234</v>
      </c>
      <c r="E386" s="2" t="s">
        <v>473</v>
      </c>
      <c r="F386" s="2" t="s">
        <v>2235</v>
      </c>
      <c r="G386" s="2" t="s">
        <v>1001</v>
      </c>
      <c r="H386" s="22" t="str">
        <f>VLOOKUP(E386,'Lista Infomoney'!B:H,2,FALSE)</f>
        <v>ALSO3</v>
      </c>
      <c r="I386" s="6" t="str">
        <f>VLOOKUP(E386,'Lista Infomoney'!B:F,3,FALSE)</f>
        <v/>
      </c>
      <c r="J386" s="6" t="str">
        <f>VLOOKUP(E386,'Lista Infomoney'!B:F,4,FALSE)</f>
        <v/>
      </c>
      <c r="K386" s="6" t="str">
        <f>VLOOKUP(E386,'Lista Infomoney'!B:F,5,FALSE)</f>
        <v/>
      </c>
      <c r="V386" s="6" t="str">
        <f>"(Ação da Aliansce|Ações da Aliansce|"&amp;H386&amp;")"</f>
        <v>(Ação da Aliansce|Ações da Aliansce|ALSO3)</v>
      </c>
    </row>
    <row r="387">
      <c r="A387" s="2">
        <v>1.0</v>
      </c>
      <c r="B387" s="2" t="s">
        <v>375</v>
      </c>
      <c r="C387" s="2" t="s">
        <v>2234</v>
      </c>
      <c r="D387" s="2" t="s">
        <v>2234</v>
      </c>
      <c r="E387" s="2" t="s">
        <v>493</v>
      </c>
      <c r="F387" s="2" t="s">
        <v>2236</v>
      </c>
      <c r="G387" s="2" t="s">
        <v>1001</v>
      </c>
      <c r="H387" s="22" t="str">
        <f>VLOOKUP(E387,'Lista Infomoney'!B:H,2,FALSE)</f>
        <v>BRML3</v>
      </c>
      <c r="I387" s="2" t="s">
        <v>2237</v>
      </c>
      <c r="J387" s="6" t="str">
        <f>VLOOKUP(E387,'Lista Infomoney'!B:F,4,FALSE)</f>
        <v/>
      </c>
      <c r="K387" s="6" t="str">
        <f>VLOOKUP(E387,'Lista Infomoney'!B:F,5,FALSE)</f>
        <v/>
      </c>
      <c r="V387" s="6" t="str">
        <f>"(Ação de BR Malls|Ações da BR Malls|"&amp;H387&amp;"|"&amp;I387&amp;")"</f>
        <v>(Ação de BR Malls|Ações da BR Malls|BRML3|BRML3F)</v>
      </c>
    </row>
    <row r="388">
      <c r="A388" s="2">
        <v>1.0</v>
      </c>
      <c r="B388" s="2" t="s">
        <v>375</v>
      </c>
      <c r="C388" s="2" t="s">
        <v>2234</v>
      </c>
      <c r="D388" s="2" t="s">
        <v>2234</v>
      </c>
      <c r="E388" s="2" t="s">
        <v>444</v>
      </c>
      <c r="F388" s="2" t="s">
        <v>2238</v>
      </c>
      <c r="G388" s="2" t="s">
        <v>1001</v>
      </c>
      <c r="H388" s="22" t="str">
        <f>VLOOKUP(E388,'Lista Infomoney'!B:H,2,FALSE)</f>
        <v>BRPR3F</v>
      </c>
      <c r="I388" s="22" t="str">
        <f>VLOOKUP(E388,'Lista Infomoney'!B:F,3,FALSE)</f>
        <v>BRPR3</v>
      </c>
      <c r="J388" s="6" t="str">
        <f>VLOOKUP(E388,'Lista Infomoney'!B:F,4,FALSE)</f>
        <v/>
      </c>
      <c r="K388" s="6" t="str">
        <f>VLOOKUP(E388,'Lista Infomoney'!B:F,5,FALSE)</f>
        <v/>
      </c>
      <c r="V388" s="6" t="str">
        <f>"(Ação da BR Properties|Ações da BR Properties|"&amp;H388&amp;"|"&amp;I388&amp;")"</f>
        <v>(Ação da BR Properties|Ações da BR Properties|BRPR3F|BRPR3)</v>
      </c>
    </row>
    <row r="389">
      <c r="A389" s="2">
        <v>2.0</v>
      </c>
      <c r="B389" s="2" t="s">
        <v>375</v>
      </c>
      <c r="C389" s="2" t="s">
        <v>2234</v>
      </c>
      <c r="D389" s="2" t="s">
        <v>2234</v>
      </c>
      <c r="E389" s="2" t="s">
        <v>2239</v>
      </c>
      <c r="F389" s="2" t="s">
        <v>2240</v>
      </c>
      <c r="G389" s="2"/>
      <c r="H389" s="2" t="s">
        <v>2241</v>
      </c>
      <c r="I389" s="2" t="s">
        <v>2242</v>
      </c>
      <c r="J389" s="2" t="s">
        <v>2243</v>
      </c>
      <c r="K389" s="2" t="s">
        <v>2244</v>
      </c>
      <c r="V389" s="6" t="str">
        <f>"(Ação da Cor Ribeiro|Ações da Cor Ribeiro|"&amp;H389&amp;"|"&amp;I389&amp;"|"&amp;J389&amp;"|"&amp;K389&amp;")"</f>
        <v>(Ação da Cor Ribeiro|Ações da Cor Ribeiro|CORR3|CORR4|CORR3F|CORR4F)</v>
      </c>
    </row>
    <row r="390">
      <c r="A390" s="2">
        <v>2.0</v>
      </c>
      <c r="B390" s="2" t="s">
        <v>375</v>
      </c>
      <c r="C390" s="2" t="s">
        <v>2234</v>
      </c>
      <c r="D390" s="2" t="s">
        <v>2234</v>
      </c>
      <c r="E390" s="2" t="s">
        <v>2245</v>
      </c>
      <c r="F390" s="2" t="s">
        <v>2246</v>
      </c>
      <c r="G390" s="2" t="s">
        <v>1001</v>
      </c>
      <c r="H390" s="2" t="s">
        <v>2247</v>
      </c>
      <c r="I390" s="2" t="s">
        <v>2248</v>
      </c>
      <c r="V390" s="6" t="str">
        <f>"(Ação da Cyre COM-CCP|AÇões da Cyre|Ação da Cyre|Ações da Cyre|"&amp;H390&amp;"|"&amp;I390&amp;")"</f>
        <v>(Ação da Cyre COM-CCP|AÇões da Cyre|Ação da Cyre|Ações da Cyre|CCPR3|CCPR3F)</v>
      </c>
    </row>
    <row r="391">
      <c r="A391" s="2">
        <v>1.0</v>
      </c>
      <c r="B391" s="2" t="s">
        <v>375</v>
      </c>
      <c r="C391" s="2" t="s">
        <v>2234</v>
      </c>
      <c r="D391" s="2" t="s">
        <v>2234</v>
      </c>
      <c r="E391" s="2" t="s">
        <v>432</v>
      </c>
      <c r="F391" s="2" t="s">
        <v>2249</v>
      </c>
      <c r="G391" s="2" t="s">
        <v>1001</v>
      </c>
      <c r="H391" s="22" t="str">
        <f>VLOOKUP(E391,'Lista Infomoney'!B:H,2,FALSE)</f>
        <v>GSHP3F</v>
      </c>
      <c r="I391" s="22" t="str">
        <f>VLOOKUP(E391,'Lista Infomoney'!B:F,3,FALSE)</f>
        <v>GSHP3</v>
      </c>
      <c r="J391" s="6" t="str">
        <f>VLOOKUP(E391,'Lista Infomoney'!B:F,4,FALSE)</f>
        <v/>
      </c>
      <c r="K391" s="6" t="str">
        <f>VLOOKUP(E391,'Lista Infomoney'!B:F,5,FALSE)</f>
        <v/>
      </c>
      <c r="V391" s="6" t="str">
        <f>"(Ação da General Shopping|Ações da General Shopping|"&amp;H391&amp;"|"&amp;I391&amp;")"</f>
        <v>(Ação da General Shopping|Ações da General Shopping|GSHP3F|GSHP3)</v>
      </c>
    </row>
    <row r="392">
      <c r="A392" s="2">
        <v>2.0</v>
      </c>
      <c r="B392" s="2" t="s">
        <v>375</v>
      </c>
      <c r="C392" s="2" t="s">
        <v>2234</v>
      </c>
      <c r="D392" s="2" t="s">
        <v>2234</v>
      </c>
      <c r="E392" s="2" t="s">
        <v>2250</v>
      </c>
      <c r="F392" s="2" t="s">
        <v>2251</v>
      </c>
      <c r="G392" s="2"/>
      <c r="H392" s="2" t="s">
        <v>2252</v>
      </c>
      <c r="I392" s="2" t="s">
        <v>2253</v>
      </c>
      <c r="J392" s="2" t="s">
        <v>2254</v>
      </c>
      <c r="K392" s="2" t="s">
        <v>2255</v>
      </c>
      <c r="L392" s="2" t="s">
        <v>2256</v>
      </c>
      <c r="M392" s="2" t="s">
        <v>2257</v>
      </c>
      <c r="V392" s="6" t="str">
        <f>"(Ação da Habitasul|Ações da Habitasul|"&amp;H392&amp;"|"&amp;I392&amp;"|"&amp;J392&amp;"|"&amp;K392&amp;"|"&amp;L392&amp;"|"&amp;M392&amp;")"</f>
        <v>(Ação da Habitasul|Ações da Habitasul|HBTS3|HBTS5|HBTS6|HBTS3F|HBTS5F|HBTS6F)</v>
      </c>
    </row>
    <row r="393">
      <c r="A393" s="2">
        <v>1.0</v>
      </c>
      <c r="B393" s="2" t="s">
        <v>375</v>
      </c>
      <c r="C393" s="2" t="s">
        <v>2234</v>
      </c>
      <c r="D393" s="2" t="s">
        <v>2234</v>
      </c>
      <c r="E393" s="2" t="s">
        <v>429</v>
      </c>
      <c r="F393" s="2" t="s">
        <v>2258</v>
      </c>
      <c r="G393" s="2" t="s">
        <v>1433</v>
      </c>
      <c r="H393" s="22" t="str">
        <f>VLOOKUP(E393,'Lista Infomoney'!B:H,2,FALSE)</f>
        <v>IGBR3F</v>
      </c>
      <c r="I393" s="22" t="str">
        <f>VLOOKUP(E393,'Lista Infomoney'!B:F,3,FALSE)</f>
        <v>IGBR3</v>
      </c>
      <c r="J393" s="6" t="str">
        <f>VLOOKUP(E393,'Lista Infomoney'!B:F,4,FALSE)</f>
        <v/>
      </c>
      <c r="K393" s="6" t="str">
        <f>VLOOKUP(E393,'Lista Infomoney'!B:F,5,FALSE)</f>
        <v/>
      </c>
      <c r="V393" s="6" t="str">
        <f>"(Ação da Gradiente|Ações da Gradiente|"&amp;H393&amp;"|"&amp;I393&amp;")"</f>
        <v>(Ação da Gradiente|Ações da Gradiente|IGBR3F|IGBR3)</v>
      </c>
    </row>
    <row r="394">
      <c r="A394" s="2">
        <v>1.0</v>
      </c>
      <c r="B394" s="2" t="s">
        <v>375</v>
      </c>
      <c r="C394" s="2" t="s">
        <v>2234</v>
      </c>
      <c r="D394" s="2" t="s">
        <v>2234</v>
      </c>
      <c r="E394" s="2" t="s">
        <v>2259</v>
      </c>
      <c r="F394" s="2" t="s">
        <v>2260</v>
      </c>
      <c r="G394" s="2" t="s">
        <v>1001</v>
      </c>
      <c r="H394" s="22" t="str">
        <f>VLOOKUP(E394,'Lista Infomoney'!B:H,2,FALSE)</f>
        <v>IGTA3</v>
      </c>
      <c r="I394" s="2" t="s">
        <v>2261</v>
      </c>
      <c r="J394" s="6" t="str">
        <f>VLOOKUP(E394,'Lista Infomoney'!B:F,4,FALSE)</f>
        <v/>
      </c>
      <c r="K394" s="6" t="str">
        <f>VLOOKUP(E394,'Lista Infomoney'!B:F,5,FALSE)</f>
        <v/>
      </c>
      <c r="V394" s="6" t="str">
        <f>"(Ação da Iguatemi|Ações da Iguatemi|"&amp;H394&amp;"|"&amp;I394&amp;")"</f>
        <v>(Ação da Iguatemi|Ações da Iguatemi|IGTA3|IGTA3F)</v>
      </c>
    </row>
    <row r="395">
      <c r="A395" s="2">
        <v>2.0</v>
      </c>
      <c r="B395" s="2" t="s">
        <v>375</v>
      </c>
      <c r="C395" s="2" t="s">
        <v>2234</v>
      </c>
      <c r="D395" s="2" t="s">
        <v>2234</v>
      </c>
      <c r="E395" s="2" t="s">
        <v>2262</v>
      </c>
      <c r="F395" s="2" t="s">
        <v>2263</v>
      </c>
      <c r="G395" s="2"/>
      <c r="H395" s="2" t="s">
        <v>2264</v>
      </c>
      <c r="V395" s="6" t="str">
        <f>"(Ação da Jereissati|Ações da Jereissati|"&amp;H395&amp;")"</f>
        <v>(Ação da Jereissati|Ações da Jereissati|JPSA3)</v>
      </c>
    </row>
    <row r="396">
      <c r="A396" s="2">
        <v>1.0</v>
      </c>
      <c r="B396" s="2" t="s">
        <v>375</v>
      </c>
      <c r="C396" s="2" t="s">
        <v>2234</v>
      </c>
      <c r="D396" s="2" t="s">
        <v>2234</v>
      </c>
      <c r="E396" s="2" t="s">
        <v>2265</v>
      </c>
      <c r="F396" s="2" t="s">
        <v>2266</v>
      </c>
      <c r="G396" s="2" t="s">
        <v>1001</v>
      </c>
      <c r="H396" s="22" t="str">
        <f>VLOOKUP(E396,'Lista Infomoney'!B:H,2,FALSE)</f>
        <v>LOGG3</v>
      </c>
      <c r="I396" s="6" t="str">
        <f>VLOOKUP(E396,'Lista Infomoney'!B:F,3,FALSE)</f>
        <v/>
      </c>
      <c r="J396" s="6" t="str">
        <f>VLOOKUP(E396,'Lista Infomoney'!B:F,4,FALSE)</f>
        <v/>
      </c>
      <c r="K396" s="6" t="str">
        <f>VLOOKUP(E396,'Lista Infomoney'!B:F,5,FALSE)</f>
        <v/>
      </c>
      <c r="V396" s="6" t="str">
        <f>"(Ação da Log|Ações da Log|"&amp;H396&amp;")"</f>
        <v>(Ação da Log|Ações da Log|LOGG3)</v>
      </c>
    </row>
    <row r="397">
      <c r="A397" s="2">
        <v>2.0</v>
      </c>
      <c r="B397" s="2" t="s">
        <v>375</v>
      </c>
      <c r="C397" s="2" t="s">
        <v>2234</v>
      </c>
      <c r="D397" s="2" t="s">
        <v>2234</v>
      </c>
      <c r="E397" s="2" t="s">
        <v>2267</v>
      </c>
      <c r="F397" s="2" t="s">
        <v>2268</v>
      </c>
      <c r="G397" s="2" t="s">
        <v>1032</v>
      </c>
      <c r="H397" s="2" t="s">
        <v>2269</v>
      </c>
      <c r="I397" s="2" t="s">
        <v>2270</v>
      </c>
      <c r="V397" s="6" t="str">
        <f>"(Ação da Menezes Cort|Ações da Menezes Cort|"&amp;H397&amp;"|"&amp;I397&amp;")"</f>
        <v>(Ação da Menezes Cort|Ações da Menezes Cort|MNZC3B|MNZC3BF)</v>
      </c>
    </row>
    <row r="398">
      <c r="A398" s="2">
        <v>1.0</v>
      </c>
      <c r="B398" s="2" t="s">
        <v>375</v>
      </c>
      <c r="C398" s="2" t="s">
        <v>2234</v>
      </c>
      <c r="D398" s="2" t="s">
        <v>2234</v>
      </c>
      <c r="E398" s="2" t="s">
        <v>2271</v>
      </c>
      <c r="F398" s="2" t="s">
        <v>2272</v>
      </c>
      <c r="G398" s="2" t="s">
        <v>1013</v>
      </c>
      <c r="H398" s="22" t="str">
        <f>VLOOKUP(E398,'Lista Infomoney'!B:H,2,FALSE)</f>
        <v>MULT3F</v>
      </c>
      <c r="I398" s="22" t="str">
        <f>VLOOKUP(E398,'Lista Infomoney'!B:F,3,FALSE)</f>
        <v>MULT3</v>
      </c>
      <c r="J398" s="6" t="str">
        <f>VLOOKUP(E398,'Lista Infomoney'!B:F,4,FALSE)</f>
        <v/>
      </c>
      <c r="K398" s="6" t="str">
        <f>VLOOKUP(E398,'Lista Infomoney'!B:F,5,FALSE)</f>
        <v/>
      </c>
      <c r="V398" s="6" t="str">
        <f>"(Ação da Multiplan|Ações da Multiplan|"&amp;H398&amp;"|"&amp;I398&amp;")"</f>
        <v>(Ação da Multiplan|Ações da Multiplan|MULT3F|MULT3)</v>
      </c>
    </row>
    <row r="399">
      <c r="A399" s="2">
        <v>1.0</v>
      </c>
      <c r="B399" s="2" t="s">
        <v>375</v>
      </c>
      <c r="C399" s="2" t="s">
        <v>2234</v>
      </c>
      <c r="D399" s="2" t="s">
        <v>2234</v>
      </c>
      <c r="E399" s="2" t="s">
        <v>2273</v>
      </c>
      <c r="F399" s="2" t="s">
        <v>2274</v>
      </c>
      <c r="G399" s="2" t="s">
        <v>1001</v>
      </c>
      <c r="H399" s="22" t="str">
        <f>VLOOKUP(E399,'Lista Infomoney'!B:H,2,FALSE)</f>
        <v>SCAR3F</v>
      </c>
      <c r="I399" s="22" t="str">
        <f>VLOOKUP(E399,'Lista Infomoney'!B:F,3,FALSE)</f>
        <v>SCAR3</v>
      </c>
      <c r="J399" s="6" t="str">
        <f>VLOOKUP(E399,'Lista Infomoney'!B:F,4,FALSE)</f>
        <v/>
      </c>
      <c r="K399" s="6" t="str">
        <f>VLOOKUP(E399,'Lista Infomoney'!B:F,5,FALSE)</f>
        <v/>
      </c>
      <c r="V399" s="6" t="str">
        <f>"(Ação da São Carlos|Ações da São Carlos|"&amp;H399&amp;"|"&amp;I399&amp;")"</f>
        <v>(Ação da São Carlos|Ações da São Carlos|SCAR3F|SCAR3)</v>
      </c>
    </row>
    <row r="400">
      <c r="A400" s="2">
        <v>1.0</v>
      </c>
      <c r="B400" s="2" t="s">
        <v>375</v>
      </c>
      <c r="C400" s="2" t="s">
        <v>2234</v>
      </c>
      <c r="D400" s="2" t="s">
        <v>2275</v>
      </c>
      <c r="E400" s="2" t="s">
        <v>441</v>
      </c>
      <c r="F400" s="2" t="s">
        <v>2276</v>
      </c>
      <c r="G400" s="2" t="s">
        <v>1001</v>
      </c>
      <c r="H400" s="22" t="str">
        <f>VLOOKUP(E400,'Lista Infomoney'!B:H,2,FALSE)</f>
        <v>BBRK3F</v>
      </c>
      <c r="I400" s="22" t="str">
        <f>VLOOKUP(E400,'Lista Infomoney'!B:F,3,FALSE)</f>
        <v>BBRK3</v>
      </c>
      <c r="J400" s="6" t="str">
        <f>VLOOKUP(E400,'Lista Infomoney'!B:F,4,FALSE)</f>
        <v/>
      </c>
      <c r="K400" s="6" t="str">
        <f>VLOOKUP(E400,'Lista Infomoney'!B:F,5,FALSE)</f>
        <v/>
      </c>
      <c r="V400" s="6" t="str">
        <f>"(Ação da Brasil Brokers|Ações da Brasil Brokers|"&amp;H400&amp;"|"&amp;I400&amp;")"</f>
        <v>(Ação da Brasil Brokers|Ações da Brasil Brokers|BBRK3F|BBRK3)</v>
      </c>
    </row>
    <row r="401">
      <c r="A401" s="2">
        <v>1.0</v>
      </c>
      <c r="B401" s="2" t="s">
        <v>375</v>
      </c>
      <c r="C401" s="2" t="s">
        <v>2234</v>
      </c>
      <c r="D401" s="2" t="s">
        <v>2275</v>
      </c>
      <c r="E401" s="2" t="s">
        <v>423</v>
      </c>
      <c r="F401" s="2" t="s">
        <v>2277</v>
      </c>
      <c r="G401" s="2" t="s">
        <v>1001</v>
      </c>
      <c r="H401" s="22" t="str">
        <f>VLOOKUP(E401,'Lista Infomoney'!B:H,2,FALSE)</f>
        <v>LPSB3F</v>
      </c>
      <c r="I401" s="22" t="str">
        <f>VLOOKUP(E401,'Lista Infomoney'!B:F,3,FALSE)</f>
        <v>LPSB3</v>
      </c>
      <c r="J401" s="6" t="str">
        <f>VLOOKUP(E401,'Lista Infomoney'!B:F,4,FALSE)</f>
        <v/>
      </c>
      <c r="K401" s="6" t="str">
        <f>VLOOKUP(E401,'Lista Infomoney'!B:F,5,FALSE)</f>
        <v/>
      </c>
      <c r="V401" s="6" t="str">
        <f>"(Ação da Lopes Brasil|Ações da Lopes Brasil|"&amp;H401&amp;"|"&amp;I401&amp;")"</f>
        <v>(Ação da Lopes Brasil|Ações da Lopes Brasil|LPSB3F|LPSB3)</v>
      </c>
    </row>
    <row r="402">
      <c r="A402" s="2">
        <v>2.0</v>
      </c>
      <c r="B402" s="2" t="s">
        <v>375</v>
      </c>
      <c r="C402" s="2" t="s">
        <v>2278</v>
      </c>
      <c r="D402" s="2" t="s">
        <v>2278</v>
      </c>
      <c r="E402" s="2" t="s">
        <v>2279</v>
      </c>
      <c r="F402" s="2" t="s">
        <v>2280</v>
      </c>
      <c r="G402" s="2"/>
      <c r="H402" s="2" t="s">
        <v>2281</v>
      </c>
      <c r="I402" s="2" t="s">
        <v>2282</v>
      </c>
      <c r="V402" s="6" t="str">
        <f>"(Ação da Mont Aranha|Ações da Mont Aranha|"&amp;H402&amp;"|"&amp;I402&amp;")"</f>
        <v>(Ação da Mont Aranha|Ações da Mont Aranha|MOAR3|MOAR3F)</v>
      </c>
    </row>
    <row r="403">
      <c r="A403" s="2">
        <v>2.0</v>
      </c>
      <c r="B403" s="2" t="s">
        <v>375</v>
      </c>
      <c r="C403" s="2" t="s">
        <v>2278</v>
      </c>
      <c r="D403" s="2" t="s">
        <v>2278</v>
      </c>
      <c r="E403" s="2" t="s">
        <v>2283</v>
      </c>
      <c r="F403" s="2" t="s">
        <v>2284</v>
      </c>
      <c r="G403" s="2"/>
      <c r="H403" s="2" t="s">
        <v>2285</v>
      </c>
      <c r="I403" s="2" t="s">
        <v>2286</v>
      </c>
      <c r="J403" s="2" t="s">
        <v>2287</v>
      </c>
      <c r="K403" s="2" t="s">
        <v>2288</v>
      </c>
      <c r="V403" s="6" t="str">
        <f>"(Ação da Par Al Bahia|Ações da Par Al Bahia|"&amp;H403&amp;"|"&amp;I403&amp;"|"&amp;J403&amp;"|"&amp;K403&amp;")"</f>
        <v>(Ação da Par Al Bahia|Ações da Par Al Bahia|PEAB3|PEAB4|PEAB3F|PEAB4F)</v>
      </c>
    </row>
    <row r="404">
      <c r="A404" s="2">
        <v>1.0</v>
      </c>
      <c r="B404" s="2" t="s">
        <v>375</v>
      </c>
      <c r="C404" s="2" t="s">
        <v>2278</v>
      </c>
      <c r="D404" s="2" t="s">
        <v>2278</v>
      </c>
      <c r="E404" s="2" t="s">
        <v>2289</v>
      </c>
      <c r="F404" s="2" t="s">
        <v>2290</v>
      </c>
      <c r="G404" s="2" t="s">
        <v>1001</v>
      </c>
      <c r="H404" s="22" t="str">
        <f>VLOOKUP(E404,'Lista Infomoney'!B:H,2,FALSE)</f>
        <v>SIMH3F</v>
      </c>
      <c r="I404" s="22" t="str">
        <f>VLOOKUP(E404,'Lista Infomoney'!B:F,3,FALSE)</f>
        <v>SIMH3</v>
      </c>
      <c r="J404" s="6" t="str">
        <f>VLOOKUP(E404,'Lista Infomoney'!B:F,4,FALSE)</f>
        <v/>
      </c>
      <c r="K404" s="6" t="str">
        <f>VLOOKUP(E404,'Lista Infomoney'!B:F,5,FALSE)</f>
        <v/>
      </c>
      <c r="V404" s="6" t="str">
        <f>"(Ação da Simpar|Ações da Simpar|"&amp;H404&amp;"|"&amp;I404&amp;")"</f>
        <v>(Ação da Simpar|Ações da Simpar|SIMH3F|SIMH3)</v>
      </c>
    </row>
    <row r="405">
      <c r="A405" s="2">
        <v>2.0</v>
      </c>
      <c r="B405" s="2" t="s">
        <v>375</v>
      </c>
      <c r="C405" s="2" t="s">
        <v>2291</v>
      </c>
      <c r="D405" s="2" t="s">
        <v>2291</v>
      </c>
      <c r="E405" s="2" t="s">
        <v>2292</v>
      </c>
      <c r="F405" s="24" t="s">
        <v>2293</v>
      </c>
      <c r="G405" s="2" t="s">
        <v>1032</v>
      </c>
      <c r="H405" s="6" t="s">
        <v>2293</v>
      </c>
      <c r="V405" s="6" t="str">
        <f>"(Ação da Cepac-CTBA|Ação da Cepc CTBA|Ações da Cepac-CTBA|Ações da Cepac CTBA|"&amp;H405&amp;")"</f>
        <v>(Ação da Cepac-CTBA|Ação da Cepc CTBA|Ações da Cepac-CTBA|Ações da Cepac CTBA|CTBA)</v>
      </c>
    </row>
    <row r="406">
      <c r="A406" s="2">
        <v>2.0</v>
      </c>
      <c r="B406" s="2" t="s">
        <v>375</v>
      </c>
      <c r="C406" s="2" t="s">
        <v>2291</v>
      </c>
      <c r="D406" s="2" t="s">
        <v>2291</v>
      </c>
      <c r="E406" s="2" t="s">
        <v>2294</v>
      </c>
      <c r="F406" s="24" t="s">
        <v>2295</v>
      </c>
      <c r="G406" s="2" t="s">
        <v>1032</v>
      </c>
      <c r="H406" s="6" t="s">
        <v>2295</v>
      </c>
      <c r="V406" s="6" t="str">
        <f>"(Ação da Cepac-MCRJ|Ação da Cepc MCRJ|Ações da Cepac-MCRJ|Ações da Cepac MCRJ|"&amp;H406&amp;")"</f>
        <v>(Ação da Cepac-MCRJ|Ação da Cepc MCRJ|Ações da Cepac-MCRJ|Ações da Cepac MCRJ|MCRJ)</v>
      </c>
    </row>
    <row r="407">
      <c r="A407" s="2">
        <v>2.0</v>
      </c>
      <c r="B407" s="2" t="s">
        <v>375</v>
      </c>
      <c r="C407" s="2" t="s">
        <v>2291</v>
      </c>
      <c r="D407" s="2" t="s">
        <v>2291</v>
      </c>
      <c r="E407" s="2" t="s">
        <v>2296</v>
      </c>
      <c r="F407" s="24" t="s">
        <v>2297</v>
      </c>
      <c r="G407" s="2" t="s">
        <v>1032</v>
      </c>
      <c r="H407" s="6" t="s">
        <v>2297</v>
      </c>
      <c r="V407" s="6" t="str">
        <f>"(Ação da Cepac-PMSP|Ação da Cepc PMSP|Ações da Cepac-PMSP|Ações da Cepac PMSP|"&amp;H407&amp;")"</f>
        <v>(Ação da Cepac-PMSP|Ação da Cepc PMSP|Ações da Cepac-PMSP|Ações da Cepac PMSP|PMSP)</v>
      </c>
    </row>
    <row r="408">
      <c r="A408" s="2">
        <v>2.0</v>
      </c>
      <c r="B408" s="2" t="s">
        <v>566</v>
      </c>
      <c r="C408" s="2" t="s">
        <v>566</v>
      </c>
      <c r="D408" s="2" t="s">
        <v>566</v>
      </c>
      <c r="E408" s="2" t="s">
        <v>2298</v>
      </c>
      <c r="F408" s="2" t="s">
        <v>2299</v>
      </c>
      <c r="G408" s="2" t="s">
        <v>1032</v>
      </c>
      <c r="H408" s="2" t="s">
        <v>2300</v>
      </c>
      <c r="I408" s="2" t="s">
        <v>2301</v>
      </c>
      <c r="V408" s="6" t="str">
        <f>"(Ação da QVQP|Ações da QVQP|"&amp;H408&amp;"|"&amp;I408&amp;")"</f>
        <v>(Ação da QVQP|Ações da QVQP|QVQP3B|QVQP3BF)</v>
      </c>
    </row>
    <row r="409">
      <c r="A409" s="2">
        <v>2.0</v>
      </c>
      <c r="B409" s="2" t="s">
        <v>566</v>
      </c>
      <c r="C409" s="2" t="s">
        <v>566</v>
      </c>
      <c r="D409" s="2" t="s">
        <v>566</v>
      </c>
      <c r="E409" s="2" t="s">
        <v>2302</v>
      </c>
      <c r="F409" s="2" t="s">
        <v>2303</v>
      </c>
      <c r="G409" s="2" t="s">
        <v>1032</v>
      </c>
      <c r="H409" s="2" t="s">
        <v>2304</v>
      </c>
      <c r="I409" s="2" t="s">
        <v>2305</v>
      </c>
      <c r="V409" s="6" t="str">
        <f>"(Ação da Alef SA|Ações da Alef SA|"&amp;H409&amp;"|"&amp;I409&amp;")"</f>
        <v>(Ação da Alef SA|Ações da Alef SA|ALEF3B|ALEF3BF)</v>
      </c>
    </row>
    <row r="410">
      <c r="A410" s="2">
        <v>2.0</v>
      </c>
      <c r="B410" s="2" t="s">
        <v>566</v>
      </c>
      <c r="C410" s="2" t="s">
        <v>566</v>
      </c>
      <c r="D410" s="2" t="s">
        <v>566</v>
      </c>
      <c r="E410" s="2" t="s">
        <v>2306</v>
      </c>
      <c r="F410" s="2" t="s">
        <v>2307</v>
      </c>
      <c r="G410" s="2"/>
      <c r="H410" s="2" t="s">
        <v>2308</v>
      </c>
      <c r="I410" s="2" t="s">
        <v>2309</v>
      </c>
      <c r="V410" s="6" t="str">
        <f>"(Ação da Atompar|Ações da Atompar|"&amp;H410&amp;"|"&amp;I410&amp;")"</f>
        <v>(Ação da Atompar|Ações da Atompar|ATOM3|ATOM3F)</v>
      </c>
    </row>
    <row r="411">
      <c r="A411" s="2">
        <v>2.0</v>
      </c>
      <c r="B411" s="2" t="s">
        <v>566</v>
      </c>
      <c r="C411" s="2" t="s">
        <v>566</v>
      </c>
      <c r="D411" s="2" t="s">
        <v>566</v>
      </c>
      <c r="E411" s="2" t="s">
        <v>2310</v>
      </c>
      <c r="F411" s="2" t="s">
        <v>2311</v>
      </c>
      <c r="G411" s="2" t="s">
        <v>1032</v>
      </c>
      <c r="H411" s="2" t="s">
        <v>2312</v>
      </c>
      <c r="I411" s="2" t="s">
        <v>2313</v>
      </c>
      <c r="V411" s="6" t="str">
        <f>"(Ação da Betapart|Ações da Betapart|"&amp;H411&amp;"|"&amp;I411&amp;")"</f>
        <v>(Ação da Betapart|Ações da Betapart|BETP3B|BETP3BF)</v>
      </c>
    </row>
    <row r="412">
      <c r="A412" s="2">
        <v>2.0</v>
      </c>
      <c r="B412" s="2" t="s">
        <v>566</v>
      </c>
      <c r="C412" s="2" t="s">
        <v>566</v>
      </c>
      <c r="D412" s="2" t="s">
        <v>566</v>
      </c>
      <c r="E412" s="2" t="s">
        <v>2314</v>
      </c>
      <c r="F412" s="2" t="s">
        <v>2315</v>
      </c>
      <c r="G412" s="2" t="s">
        <v>1032</v>
      </c>
      <c r="H412" s="2" t="s">
        <v>2316</v>
      </c>
      <c r="I412" s="2" t="s">
        <v>2317</v>
      </c>
      <c r="V412" s="6" t="str">
        <f>"(Ação da Cabinda Part|Ações da Cabinda Part|"&amp;H412&amp;"|"&amp;I412&amp;")"</f>
        <v>(Ação da Cabinda Part|Ações da Cabinda Part|CABI3B|CABI3BF)</v>
      </c>
    </row>
    <row r="413">
      <c r="A413" s="2">
        <v>2.0</v>
      </c>
      <c r="B413" s="2" t="s">
        <v>566</v>
      </c>
      <c r="C413" s="2" t="s">
        <v>566</v>
      </c>
      <c r="D413" s="2" t="s">
        <v>566</v>
      </c>
      <c r="E413" s="2" t="s">
        <v>2318</v>
      </c>
      <c r="F413" s="2" t="s">
        <v>2319</v>
      </c>
      <c r="G413" s="2" t="s">
        <v>1032</v>
      </c>
      <c r="H413" s="2" t="s">
        <v>2320</v>
      </c>
      <c r="I413" s="2" t="s">
        <v>2321</v>
      </c>
      <c r="V413" s="6" t="str">
        <f>"(Ação da Cacode Part|Ações da Cacode Part|"&amp;H413&amp;"|"&amp;I413&amp;")"</f>
        <v>(Ação da Cacode Part|Ações da Cacode Part|CACO3B|CACO3BF)</v>
      </c>
    </row>
    <row r="414">
      <c r="A414" s="2">
        <v>2.0</v>
      </c>
      <c r="B414" s="2" t="s">
        <v>566</v>
      </c>
      <c r="C414" s="2" t="s">
        <v>566</v>
      </c>
      <c r="D414" s="2" t="s">
        <v>566</v>
      </c>
      <c r="E414" s="2" t="s">
        <v>2322</v>
      </c>
      <c r="F414" s="2" t="s">
        <v>2323</v>
      </c>
      <c r="G414" s="2"/>
      <c r="H414" s="2" t="s">
        <v>2324</v>
      </c>
      <c r="I414" s="2" t="s">
        <v>2325</v>
      </c>
      <c r="J414" s="2" t="s">
        <v>2326</v>
      </c>
      <c r="K414" s="2" t="s">
        <v>2327</v>
      </c>
      <c r="V414" s="6" t="str">
        <f>"(Ação da CEMEPE|Ações da CEMEPE|"&amp;H414&amp;"|"&amp;I414&amp;"|"&amp;J414&amp;"|"&amp;K414&amp;")"</f>
        <v>(Ação da CEMEPE|Ações da CEMEPE|MAPT3|MAPT4|MAPT3F|MAPT4F)</v>
      </c>
    </row>
    <row r="415">
      <c r="A415" s="2">
        <v>2.0</v>
      </c>
      <c r="B415" s="2" t="s">
        <v>566</v>
      </c>
      <c r="C415" s="2" t="s">
        <v>566</v>
      </c>
      <c r="D415" s="2" t="s">
        <v>566</v>
      </c>
      <c r="E415" s="2" t="s">
        <v>2328</v>
      </c>
      <c r="F415" s="2" t="s">
        <v>2329</v>
      </c>
      <c r="G415" s="2"/>
      <c r="H415" s="2" t="s">
        <v>2330</v>
      </c>
      <c r="I415" s="2" t="s">
        <v>2331</v>
      </c>
      <c r="J415" s="2" t="s">
        <v>2332</v>
      </c>
      <c r="K415" s="2" t="s">
        <v>2333</v>
      </c>
      <c r="V415" s="6" t="str">
        <f>"(Ação da CIMS|Ações da CIMS|"&amp;H415&amp;"|"&amp;I415&amp;"|"&amp;J415&amp;"|"&amp;K415&amp;")"</f>
        <v>(Ação da CIMS|Ações da CIMS|CMSA3|CMSA4|CMSA3F|CMSA4F)</v>
      </c>
    </row>
    <row r="416">
      <c r="A416" s="2">
        <v>2.0</v>
      </c>
      <c r="B416" s="2" t="s">
        <v>566</v>
      </c>
      <c r="C416" s="2" t="s">
        <v>566</v>
      </c>
      <c r="D416" s="2" t="s">
        <v>566</v>
      </c>
      <c r="E416" s="2" t="s">
        <v>2334</v>
      </c>
      <c r="F416" s="2" t="s">
        <v>2335</v>
      </c>
      <c r="G416" s="2" t="s">
        <v>1032</v>
      </c>
      <c r="H416" s="2" t="s">
        <v>2336</v>
      </c>
      <c r="I416" s="2" t="s">
        <v>2337</v>
      </c>
      <c r="V416" s="6" t="str">
        <f>"(Ação Gama Part|Ações Gama Part|"&amp;H416&amp;"|"&amp;I416&amp;")"</f>
        <v>(Ação Gama Part|Ações Gama Part|OPGM3B|OPGM3BF)</v>
      </c>
    </row>
    <row r="417">
      <c r="A417" s="2">
        <v>2.0</v>
      </c>
      <c r="B417" s="2" t="s">
        <v>566</v>
      </c>
      <c r="C417" s="2" t="s">
        <v>566</v>
      </c>
      <c r="D417" s="2" t="s">
        <v>566</v>
      </c>
      <c r="E417" s="2" t="s">
        <v>2338</v>
      </c>
      <c r="F417" s="2" t="s">
        <v>2339</v>
      </c>
      <c r="G417" s="2"/>
      <c r="H417" s="2" t="s">
        <v>2340</v>
      </c>
      <c r="I417" s="2" t="s">
        <v>2341</v>
      </c>
      <c r="J417" s="2" t="s">
        <v>2342</v>
      </c>
      <c r="K417" s="2" t="s">
        <v>2343</v>
      </c>
      <c r="V417" s="6" t="str">
        <f>"(Ação da Invest Bemge|Ações da Invest Bemge|"&amp;H417&amp;"|"&amp;I417&amp;"|"&amp;J417&amp;"|"&amp;K417&amp;")"</f>
        <v>(Ação da Invest Bemge|Ações da Invest Bemge|FIGE3|FIGE4|FIGE3F|FIGE4F)</v>
      </c>
    </row>
    <row r="418">
      <c r="A418" s="2">
        <v>2.0</v>
      </c>
      <c r="B418" s="2" t="s">
        <v>566</v>
      </c>
      <c r="C418" s="2" t="s">
        <v>566</v>
      </c>
      <c r="D418" s="2" t="s">
        <v>566</v>
      </c>
      <c r="E418" s="2" t="s">
        <v>2344</v>
      </c>
      <c r="F418" s="2" t="s">
        <v>2345</v>
      </c>
      <c r="G418" s="2"/>
      <c r="H418" s="2" t="s">
        <v>2346</v>
      </c>
      <c r="I418" s="2" t="s">
        <v>2347</v>
      </c>
      <c r="J418" s="2" t="s">
        <v>2348</v>
      </c>
      <c r="K418" s="2" t="s">
        <v>2349</v>
      </c>
      <c r="V418" s="6" t="str">
        <f>"(Ação da J B Duarte|Ações da J B Duarte|"&amp;H418&amp;"|"&amp;I418&amp;"|"&amp;J418&amp;"|"&amp;K418&amp;")"</f>
        <v>(Ação da J B Duarte|Ações da J B Duarte|JBDU3|JBDU4|JBDU3F|JBDU4F)</v>
      </c>
    </row>
    <row r="419">
      <c r="A419" s="2">
        <v>2.0</v>
      </c>
      <c r="B419" s="2" t="s">
        <v>566</v>
      </c>
      <c r="C419" s="2" t="s">
        <v>566</v>
      </c>
      <c r="D419" s="2" t="s">
        <v>566</v>
      </c>
      <c r="E419" s="2" t="s">
        <v>2350</v>
      </c>
      <c r="F419" s="24" t="s">
        <v>2351</v>
      </c>
      <c r="G419" s="2"/>
      <c r="H419" s="6" t="s">
        <v>2351</v>
      </c>
      <c r="V419" s="6" t="str">
        <f>"(Ação da MGI Particip|Ações da MGI Particip|"&amp;H419&amp;")"</f>
        <v>(Ação da MGI Particip|Ações da MGI Particip|MGIP)</v>
      </c>
    </row>
    <row r="420">
      <c r="A420" s="2">
        <v>2.0</v>
      </c>
      <c r="B420" s="2" t="s">
        <v>566</v>
      </c>
      <c r="C420" s="2" t="s">
        <v>566</v>
      </c>
      <c r="D420" s="2" t="s">
        <v>566</v>
      </c>
      <c r="E420" s="2" t="s">
        <v>2352</v>
      </c>
      <c r="F420" s="2" t="s">
        <v>2353</v>
      </c>
      <c r="G420" s="2" t="s">
        <v>1032</v>
      </c>
      <c r="H420" s="2" t="s">
        <v>2354</v>
      </c>
      <c r="I420" s="2" t="s">
        <v>2355</v>
      </c>
      <c r="V420" s="6" t="str">
        <f>"(Ação da Opport Energ|Ações da Opport Energ|"&amp;H420&amp;"|"&amp;I420&amp;")"</f>
        <v>(Ação da Opport Energ|Ações da Opport Energ|OPHE3B|OPHE3BF)</v>
      </c>
    </row>
    <row r="421">
      <c r="A421" s="2">
        <v>2.0</v>
      </c>
      <c r="B421" s="2" t="s">
        <v>566</v>
      </c>
      <c r="C421" s="2" t="s">
        <v>566</v>
      </c>
      <c r="D421" s="2" t="s">
        <v>566</v>
      </c>
      <c r="E421" s="2" t="s">
        <v>2356</v>
      </c>
      <c r="F421" s="2" t="s">
        <v>2357</v>
      </c>
      <c r="G421" s="2"/>
      <c r="H421" s="2" t="s">
        <v>2358</v>
      </c>
      <c r="I421" s="2" t="s">
        <v>2359</v>
      </c>
      <c r="V421" s="6" t="str">
        <f>"(Ação da Polpar|Ações da Polpar|"&amp;H421&amp;"|"&amp;I421&amp;")"</f>
        <v>(Ação da Polpar|Ações da Polpar|PPAR3|PPAR3F)</v>
      </c>
    </row>
    <row r="422">
      <c r="A422" s="2">
        <v>2.0</v>
      </c>
      <c r="B422" s="2" t="s">
        <v>566</v>
      </c>
      <c r="C422" s="2" t="s">
        <v>566</v>
      </c>
      <c r="D422" s="2" t="s">
        <v>566</v>
      </c>
      <c r="E422" s="2" t="s">
        <v>2360</v>
      </c>
      <c r="F422" s="2" t="s">
        <v>2361</v>
      </c>
      <c r="G422" s="2" t="s">
        <v>1032</v>
      </c>
      <c r="H422" s="2" t="s">
        <v>2362</v>
      </c>
      <c r="I422" s="2" t="s">
        <v>2363</v>
      </c>
      <c r="V422" s="6" t="str">
        <f>"(Ação da Prompt Part|Ações da Prompt Part|"&amp;H422&amp;"|"&amp;I422&amp;")"</f>
        <v>(Ação da Prompt Part|Ações da Prompt Part|PRPT3B|PRPT3BF)</v>
      </c>
    </row>
    <row r="423">
      <c r="A423" s="2">
        <v>2.0</v>
      </c>
      <c r="B423" s="2" t="s">
        <v>566</v>
      </c>
      <c r="C423" s="2" t="s">
        <v>566</v>
      </c>
      <c r="D423" s="2" t="s">
        <v>566</v>
      </c>
      <c r="E423" s="2" t="s">
        <v>2364</v>
      </c>
      <c r="F423" s="2" t="s">
        <v>2365</v>
      </c>
      <c r="G423" s="2" t="s">
        <v>1032</v>
      </c>
      <c r="H423" s="2" t="s">
        <v>2366</v>
      </c>
      <c r="I423" s="2" t="s">
        <v>2367</v>
      </c>
      <c r="V423" s="6" t="str">
        <f>"(Ação daSelect Part|Ações da Select Part|"&amp;H423&amp;"|"&amp;I423&amp;")"</f>
        <v>(Ação daSelect Part|Ações da Select Part|SLCT3B|SLCT3BF)</v>
      </c>
    </row>
    <row r="424">
      <c r="A424" s="2">
        <v>2.0</v>
      </c>
      <c r="B424" s="2" t="s">
        <v>566</v>
      </c>
      <c r="C424" s="2" t="s">
        <v>566</v>
      </c>
      <c r="D424" s="2" t="s">
        <v>566</v>
      </c>
      <c r="E424" s="2" t="s">
        <v>2368</v>
      </c>
      <c r="F424" s="2" t="s">
        <v>2369</v>
      </c>
      <c r="G424" s="2" t="s">
        <v>1032</v>
      </c>
      <c r="H424" s="2" t="s">
        <v>2370</v>
      </c>
      <c r="I424" s="2" t="s">
        <v>2371</v>
      </c>
      <c r="V424" s="6" t="str">
        <f>"(Ação da Sudeste SA|Ações da Sudeste SA|"&amp;H424&amp;"|"&amp;I424&amp;")"</f>
        <v>(Ação da Sudeste SA|Ações da Sudeste SA|OPSE3B|OPSE3BF)</v>
      </c>
    </row>
    <row r="425">
      <c r="A425" s="2">
        <v>2.0</v>
      </c>
      <c r="B425" s="2" t="s">
        <v>566</v>
      </c>
      <c r="C425" s="2" t="s">
        <v>566</v>
      </c>
      <c r="D425" s="2" t="s">
        <v>566</v>
      </c>
      <c r="E425" s="2" t="s">
        <v>2372</v>
      </c>
      <c r="F425" s="2" t="s">
        <v>2373</v>
      </c>
      <c r="G425" s="2" t="s">
        <v>1032</v>
      </c>
      <c r="H425" s="2" t="s">
        <v>2374</v>
      </c>
      <c r="I425" s="2" t="s">
        <v>2375</v>
      </c>
      <c r="V425" s="6" t="str">
        <f>"(Ação da Sul 116 Part|Ações da Sul 116 Part|"&amp;H425&amp;"|"&amp;I425&amp;")"</f>
        <v>(Ação da Sul 116 Part|Ações da Sul 116 Part|OPTS3B|OPTS3BF)</v>
      </c>
    </row>
    <row r="426">
      <c r="A426" s="2">
        <v>0.0</v>
      </c>
      <c r="B426" s="2" t="s">
        <v>566</v>
      </c>
      <c r="C426" s="2" t="s">
        <v>566</v>
      </c>
      <c r="D426" s="2" t="s">
        <v>566</v>
      </c>
      <c r="E426" s="2" t="s">
        <v>5</v>
      </c>
      <c r="F426" s="2" t="s">
        <v>2376</v>
      </c>
      <c r="G426" s="2" t="s">
        <v>1433</v>
      </c>
      <c r="H426" s="6" t="s">
        <v>6</v>
      </c>
      <c r="V426" s="6" t="str">
        <f>"(Ação da Compass|Ações da Compass|"&amp;H426&amp;")"</f>
        <v>(Ação da Compass|Ações da Compass|PASS3)</v>
      </c>
    </row>
    <row r="427">
      <c r="A427" s="2">
        <v>0.0</v>
      </c>
      <c r="B427" s="2" t="s">
        <v>1823</v>
      </c>
      <c r="C427" s="2" t="s">
        <v>845</v>
      </c>
      <c r="D427" s="2" t="s">
        <v>845</v>
      </c>
      <c r="E427" s="2" t="s">
        <v>832</v>
      </c>
      <c r="F427" s="2" t="s">
        <v>2377</v>
      </c>
      <c r="G427" s="2" t="s">
        <v>2378</v>
      </c>
      <c r="H427" s="30" t="s">
        <v>833</v>
      </c>
      <c r="I427" s="30" t="s">
        <v>866</v>
      </c>
      <c r="V427" s="6" t="str">
        <f>"(Ação da Att Inc|Ações da Att Inc|"&amp;H427&amp;"|"&amp;I427&amp;")"</f>
        <v>(Ação da Att Inc|Ações da Att Inc|ATTB34F|ATTB34)</v>
      </c>
    </row>
    <row r="428">
      <c r="A428" s="2">
        <v>0.0</v>
      </c>
      <c r="B428" s="2" t="s">
        <v>1823</v>
      </c>
      <c r="C428" s="2" t="s">
        <v>845</v>
      </c>
      <c r="D428" s="2" t="s">
        <v>845</v>
      </c>
      <c r="E428" s="31" t="s">
        <v>846</v>
      </c>
      <c r="F428" s="2" t="s">
        <v>2379</v>
      </c>
      <c r="G428" s="2" t="s">
        <v>2378</v>
      </c>
      <c r="H428" s="30" t="s">
        <v>847</v>
      </c>
      <c r="I428" s="30" t="s">
        <v>848</v>
      </c>
      <c r="V428" s="6" t="str">
        <f>"(Ação da Verizon|Ações da Verizon|"&amp;H428&amp;"|"&amp;I428&amp;")"</f>
        <v>(Ação da Verizon|Ações da Verizon|VERZ34F|VERZ34)</v>
      </c>
      <c r="W428" s="2" t="s">
        <v>2380</v>
      </c>
    </row>
    <row r="429">
      <c r="A429" s="2">
        <v>0.0</v>
      </c>
      <c r="B429" s="2" t="s">
        <v>800</v>
      </c>
      <c r="C429" s="2" t="s">
        <v>1806</v>
      </c>
      <c r="D429" s="2" t="s">
        <v>1806</v>
      </c>
      <c r="E429" s="2" t="s">
        <v>843</v>
      </c>
      <c r="F429" s="2" t="s">
        <v>2381</v>
      </c>
      <c r="G429" s="2" t="s">
        <v>2378</v>
      </c>
      <c r="H429" s="30" t="s">
        <v>828</v>
      </c>
      <c r="I429" s="30" t="s">
        <v>844</v>
      </c>
      <c r="V429" s="6" t="str">
        <f>"(Ação da Ebay|Ações da Ebay|"&amp;H429&amp;"|"&amp;I429&amp;")"</f>
        <v>(Ação da Ebay|Ações da Ebay|EBAY34F|EBAY34)</v>
      </c>
      <c r="W429" s="2" t="s">
        <v>2380</v>
      </c>
    </row>
    <row r="430">
      <c r="A430" s="2">
        <v>0.0</v>
      </c>
      <c r="B430" s="2" t="s">
        <v>800</v>
      </c>
      <c r="C430" s="2" t="s">
        <v>1804</v>
      </c>
      <c r="D430" s="2" t="s">
        <v>1804</v>
      </c>
      <c r="E430" s="2" t="s">
        <v>834</v>
      </c>
      <c r="F430" s="2" t="s">
        <v>2382</v>
      </c>
      <c r="G430" s="2" t="s">
        <v>2378</v>
      </c>
      <c r="H430" s="30" t="s">
        <v>835</v>
      </c>
      <c r="I430" s="30" t="s">
        <v>836</v>
      </c>
      <c r="V430" s="6" t="str">
        <f>"(Ação da Apple|Ações da Apple|"&amp;H430&amp;"|"&amp;I430&amp;")"</f>
        <v>(Ação da Apple|Ações da Apple|AAPL34F|AAPL34)</v>
      </c>
      <c r="W430" s="2" t="s">
        <v>2380</v>
      </c>
    </row>
    <row r="431">
      <c r="A431" s="2">
        <v>0.0</v>
      </c>
      <c r="B431" s="2" t="s">
        <v>800</v>
      </c>
      <c r="C431" s="2" t="s">
        <v>1804</v>
      </c>
      <c r="D431" s="2" t="s">
        <v>1804</v>
      </c>
      <c r="E431" s="2" t="s">
        <v>829</v>
      </c>
      <c r="F431" s="2" t="s">
        <v>2383</v>
      </c>
      <c r="G431" s="2" t="s">
        <v>2378</v>
      </c>
      <c r="H431" s="30" t="s">
        <v>830</v>
      </c>
      <c r="I431" s="30" t="s">
        <v>831</v>
      </c>
      <c r="V431" s="6" t="str">
        <f>"(Ação da Cisco|Ações da Cisco|"&amp;H431&amp;"|"&amp;I431&amp;")"</f>
        <v>(Ação da Cisco|Ações da Cisco|CSCO34F|CSCO34)</v>
      </c>
      <c r="W431" s="2" t="s">
        <v>2380</v>
      </c>
    </row>
    <row r="432">
      <c r="A432" s="2">
        <v>0.0</v>
      </c>
      <c r="B432" s="2" t="s">
        <v>800</v>
      </c>
      <c r="C432" s="2" t="s">
        <v>1804</v>
      </c>
      <c r="D432" s="2" t="s">
        <v>1804</v>
      </c>
      <c r="E432" s="2" t="s">
        <v>824</v>
      </c>
      <c r="F432" s="2" t="s">
        <v>2384</v>
      </c>
      <c r="G432" s="2" t="s">
        <v>2378</v>
      </c>
      <c r="H432" s="30" t="s">
        <v>825</v>
      </c>
      <c r="I432" s="30" t="s">
        <v>826</v>
      </c>
      <c r="L432" s="2"/>
      <c r="V432" s="6" t="str">
        <f>"(Ação da HP Company|Ações da Company|"&amp;H432&amp;"|"&amp;I432&amp;")"</f>
        <v>(Ação da HP Company|Ações da Company|HPQB34F|HPQB34)</v>
      </c>
    </row>
    <row r="433">
      <c r="A433" s="2">
        <v>0.0</v>
      </c>
      <c r="B433" s="2" t="s">
        <v>800</v>
      </c>
      <c r="C433" s="2" t="s">
        <v>1804</v>
      </c>
      <c r="D433" s="2" t="s">
        <v>1804</v>
      </c>
      <c r="E433" s="2" t="s">
        <v>821</v>
      </c>
      <c r="F433" s="2" t="s">
        <v>2385</v>
      </c>
      <c r="G433" s="2" t="s">
        <v>2378</v>
      </c>
      <c r="H433" s="30" t="s">
        <v>822</v>
      </c>
      <c r="I433" s="30" t="s">
        <v>823</v>
      </c>
      <c r="V433" s="6" t="str">
        <f>"(Ação da Intel|Ações da Intel|"&amp;H433&amp;"|"&amp;I433&amp;")"</f>
        <v>(Ação da Intel|Ações da Intel|ITLC34F|ITLC34)</v>
      </c>
      <c r="W433" s="2" t="s">
        <v>2380</v>
      </c>
    </row>
    <row r="434">
      <c r="A434" s="2">
        <v>0.0</v>
      </c>
      <c r="B434" s="2" t="s">
        <v>800</v>
      </c>
      <c r="C434" s="2" t="s">
        <v>1806</v>
      </c>
      <c r="D434" s="2" t="s">
        <v>1806</v>
      </c>
      <c r="E434" s="2" t="s">
        <v>818</v>
      </c>
      <c r="F434" s="2" t="s">
        <v>2386</v>
      </c>
      <c r="G434" s="2" t="s">
        <v>2378</v>
      </c>
      <c r="H434" s="30" t="s">
        <v>819</v>
      </c>
      <c r="I434" s="30" t="s">
        <v>820</v>
      </c>
      <c r="L434" s="2"/>
      <c r="V434" s="6" t="str">
        <f>"(Ação da IBM|Ações da IBM|"&amp;H434&amp;"|"&amp;I434&amp;")"</f>
        <v>(Ação da IBM|Ações da IBM|IBMB34F|IBMB34)</v>
      </c>
    </row>
    <row r="435">
      <c r="A435" s="2">
        <v>0.0</v>
      </c>
      <c r="B435" s="2" t="s">
        <v>800</v>
      </c>
      <c r="C435" s="2" t="s">
        <v>1806</v>
      </c>
      <c r="D435" s="2" t="s">
        <v>1806</v>
      </c>
      <c r="E435" s="2" t="s">
        <v>815</v>
      </c>
      <c r="F435" s="2" t="s">
        <v>2387</v>
      </c>
      <c r="G435" s="2" t="s">
        <v>2378</v>
      </c>
      <c r="H435" s="30" t="s">
        <v>816</v>
      </c>
      <c r="I435" s="30" t="s">
        <v>817</v>
      </c>
      <c r="V435" s="6" t="str">
        <f>"(Ação da Microsoft|Ações da Microsoft|"&amp;H435&amp;"|"&amp;I435&amp;")"</f>
        <v>(Ação da Microsoft|Ações da Microsoft|MSFT34F|MSFT34)</v>
      </c>
      <c r="W435" s="2" t="s">
        <v>2380</v>
      </c>
    </row>
    <row r="436">
      <c r="A436" s="2">
        <v>0.0</v>
      </c>
      <c r="B436" s="2" t="s">
        <v>800</v>
      </c>
      <c r="C436" s="2" t="s">
        <v>1806</v>
      </c>
      <c r="D436" s="2" t="s">
        <v>1806</v>
      </c>
      <c r="E436" s="2" t="s">
        <v>812</v>
      </c>
      <c r="F436" s="2" t="s">
        <v>2388</v>
      </c>
      <c r="G436" s="2" t="s">
        <v>2378</v>
      </c>
      <c r="H436" s="30" t="s">
        <v>813</v>
      </c>
      <c r="I436" s="30" t="s">
        <v>814</v>
      </c>
      <c r="V436" s="6" t="str">
        <f>"(Ação da Oracle|Ações da Oracle|"&amp;H436&amp;"|"&amp;I436&amp;")"</f>
        <v>(Ação da Oracle|Ações da Oracle|ORCL34F|ORCL34)</v>
      </c>
      <c r="W436" s="2" t="s">
        <v>2380</v>
      </c>
    </row>
    <row r="437">
      <c r="A437" s="2">
        <v>0.0</v>
      </c>
      <c r="B437" s="2" t="s">
        <v>800</v>
      </c>
      <c r="C437" s="2" t="s">
        <v>1804</v>
      </c>
      <c r="D437" s="2" t="s">
        <v>1804</v>
      </c>
      <c r="E437" s="2" t="s">
        <v>809</v>
      </c>
      <c r="F437" s="2" t="s">
        <v>2389</v>
      </c>
      <c r="G437" s="2" t="s">
        <v>2378</v>
      </c>
      <c r="H437" s="30" t="s">
        <v>810</v>
      </c>
      <c r="I437" s="30" t="s">
        <v>811</v>
      </c>
      <c r="V437" s="6" t="str">
        <f>"(Ação da Qualcomm|Ações da Qualcomm|"&amp;H437&amp;"|"&amp;I437&amp;")"</f>
        <v>(Ação da Qualcomm|Ações da Qualcomm|QCOM34F|QCOM34)</v>
      </c>
      <c r="W437" s="2" t="s">
        <v>2380</v>
      </c>
    </row>
    <row r="438">
      <c r="A438" s="2">
        <v>0.0</v>
      </c>
      <c r="B438" s="2" t="s">
        <v>800</v>
      </c>
      <c r="C438" s="2" t="s">
        <v>1804</v>
      </c>
      <c r="D438" s="2" t="s">
        <v>1804</v>
      </c>
      <c r="E438" s="2" t="s">
        <v>806</v>
      </c>
      <c r="F438" s="2" t="s">
        <v>2390</v>
      </c>
      <c r="G438" s="2" t="s">
        <v>2378</v>
      </c>
      <c r="H438" s="30" t="s">
        <v>807</v>
      </c>
      <c r="I438" s="30" t="s">
        <v>808</v>
      </c>
      <c r="V438" s="6" t="str">
        <f>"(Ação da Xerox|Ações da Xerox|"&amp;H438&amp;"|"&amp;I438&amp;")"</f>
        <v>(Ação da Xerox|Ações da Xerox|XRXB34F|XRXB34)</v>
      </c>
      <c r="W438" s="2" t="s">
        <v>2380</v>
      </c>
    </row>
    <row r="439">
      <c r="A439" s="2">
        <v>0.0</v>
      </c>
      <c r="B439" s="2" t="s">
        <v>756</v>
      </c>
      <c r="C439" s="2" t="s">
        <v>1753</v>
      </c>
      <c r="D439" s="2" t="s">
        <v>1753</v>
      </c>
      <c r="E439" s="2" t="s">
        <v>68</v>
      </c>
      <c r="F439" s="2" t="s">
        <v>2391</v>
      </c>
      <c r="G439" s="2" t="s">
        <v>2378</v>
      </c>
      <c r="H439" s="32" t="s">
        <v>2392</v>
      </c>
      <c r="V439" s="6" t="str">
        <f>"(Ação da Abbott Laboratories|Ações Abbott Laboratories|"&amp;H439&amp;")"</f>
        <v>(Ação da Abbott Laboratories|Ações Abbott Laboratories|ABTT34)</v>
      </c>
      <c r="W439" s="2" t="s">
        <v>2380</v>
      </c>
    </row>
    <row r="440">
      <c r="A440" s="2">
        <v>0.0</v>
      </c>
      <c r="B440" s="2" t="s">
        <v>756</v>
      </c>
      <c r="C440" s="2" t="s">
        <v>1753</v>
      </c>
      <c r="D440" s="2" t="s">
        <v>1753</v>
      </c>
      <c r="E440" s="2" t="s">
        <v>60</v>
      </c>
      <c r="F440" s="2" t="s">
        <v>2393</v>
      </c>
      <c r="G440" s="2" t="s">
        <v>2378</v>
      </c>
      <c r="H440" s="33" t="s">
        <v>61</v>
      </c>
      <c r="I440" s="33" t="s">
        <v>799</v>
      </c>
      <c r="V440" s="6" t="str">
        <f>"(Ação da Bristolmyers|Ações da Bristolmyers|"&amp;H440&amp;"|"&amp;I440&amp;")"</f>
        <v>(Ação da Bristolmyers|Ações da Bristolmyers|BMYB34F|BMYB34)</v>
      </c>
      <c r="W440" s="2" t="s">
        <v>2380</v>
      </c>
    </row>
    <row r="441">
      <c r="A441" s="2">
        <v>0.0</v>
      </c>
      <c r="B441" s="2" t="s">
        <v>756</v>
      </c>
      <c r="C441" s="2" t="s">
        <v>1753</v>
      </c>
      <c r="D441" s="2" t="s">
        <v>1753</v>
      </c>
      <c r="E441" s="2" t="s">
        <v>51</v>
      </c>
      <c r="F441" s="2" t="s">
        <v>2394</v>
      </c>
      <c r="G441" s="2" t="s">
        <v>2378</v>
      </c>
      <c r="H441" s="30" t="s">
        <v>52</v>
      </c>
      <c r="I441" s="30" t="s">
        <v>794</v>
      </c>
      <c r="V441" s="6" t="str">
        <f>"(Ação da Johnson|Ações da Johnson|"&amp;H441&amp;"|"&amp;I441&amp;")"</f>
        <v>(Ação da Johnson|Ações da Johnson|JNJB34F|JNJB34)</v>
      </c>
      <c r="W441" s="2" t="s">
        <v>2380</v>
      </c>
    </row>
    <row r="442">
      <c r="A442" s="2">
        <v>0.0</v>
      </c>
      <c r="B442" s="2" t="s">
        <v>756</v>
      </c>
      <c r="C442" s="2" t="s">
        <v>1753</v>
      </c>
      <c r="D442" s="2" t="s">
        <v>1753</v>
      </c>
      <c r="E442" s="2" t="s">
        <v>770</v>
      </c>
      <c r="F442" s="2" t="s">
        <v>2395</v>
      </c>
      <c r="G442" s="2" t="s">
        <v>2378</v>
      </c>
      <c r="H442" s="30" t="s">
        <v>771</v>
      </c>
      <c r="I442" s="30" t="s">
        <v>772</v>
      </c>
      <c r="V442" s="6" t="str">
        <f>"(Ação da Merck|Ações da Merck|"&amp;H442&amp;"|"&amp;I442&amp;")"</f>
        <v>(Ação da Merck|Ações da Merck|MRCK34F|MRCK34)</v>
      </c>
      <c r="W442" s="2" t="s">
        <v>2380</v>
      </c>
    </row>
    <row r="443">
      <c r="A443" s="2">
        <v>0.0</v>
      </c>
      <c r="B443" s="2" t="s">
        <v>756</v>
      </c>
      <c r="C443" s="2" t="s">
        <v>1753</v>
      </c>
      <c r="D443" s="2" t="s">
        <v>1753</v>
      </c>
      <c r="E443" s="2" t="s">
        <v>767</v>
      </c>
      <c r="F443" s="2" t="s">
        <v>2396</v>
      </c>
      <c r="G443" s="2" t="s">
        <v>2378</v>
      </c>
      <c r="H443" s="30" t="s">
        <v>768</v>
      </c>
      <c r="I443" s="30" t="s">
        <v>769</v>
      </c>
      <c r="V443" s="6" t="str">
        <f>"(Ação da Pfizer|Ações da Pfizer|"&amp;H443&amp;"|"&amp;I443&amp;")"</f>
        <v>(Ação da Pfizer|Ações da Pfizer|PFIZ34F|PFIZ34)</v>
      </c>
      <c r="W443" s="2" t="s">
        <v>2380</v>
      </c>
    </row>
    <row r="444">
      <c r="A444" s="2">
        <v>0.0</v>
      </c>
      <c r="B444" s="2" t="s">
        <v>2397</v>
      </c>
      <c r="C444" s="2" t="s">
        <v>2397</v>
      </c>
      <c r="D444" s="2" t="s">
        <v>2398</v>
      </c>
      <c r="E444" s="2" t="s">
        <v>56</v>
      </c>
      <c r="F444" s="2" t="s">
        <v>2399</v>
      </c>
      <c r="G444" s="2" t="s">
        <v>2378</v>
      </c>
      <c r="H444" s="30" t="s">
        <v>57</v>
      </c>
      <c r="I444" s="30" t="s">
        <v>753</v>
      </c>
      <c r="V444" s="6" t="str">
        <f>"(Ação da Exxon Mobile|Ações da Exxon Mobile|"&amp;H444&amp;"|"&amp;I444&amp;")"</f>
        <v>(Ação da Exxon Mobile|Ações da Exxon Mobile|EXXO34F|EXXO34)</v>
      </c>
      <c r="W444" s="2" t="s">
        <v>2380</v>
      </c>
    </row>
    <row r="445">
      <c r="A445" s="2">
        <v>0.0</v>
      </c>
      <c r="B445" s="2" t="s">
        <v>2397</v>
      </c>
      <c r="C445" s="2" t="s">
        <v>2397</v>
      </c>
      <c r="D445" s="2" t="s">
        <v>2398</v>
      </c>
      <c r="E445" s="2" t="s">
        <v>727</v>
      </c>
      <c r="F445" s="2" t="s">
        <v>2400</v>
      </c>
      <c r="G445" s="2" t="s">
        <v>2378</v>
      </c>
      <c r="H445" s="30" t="s">
        <v>728</v>
      </c>
      <c r="I445" s="33" t="s">
        <v>729</v>
      </c>
      <c r="V445" s="6" t="str">
        <f>"(Ação da Chevron|Ações da Chevron|"&amp;H445&amp;"|"&amp;I445&amp;")"</f>
        <v>(Ação da Chevron|Ações da Chevron|CHVX34F|CHVX34)</v>
      </c>
      <c r="W445" s="2" t="s">
        <v>2380</v>
      </c>
    </row>
    <row r="446">
      <c r="A446" s="2">
        <v>0.0</v>
      </c>
      <c r="B446" s="2" t="s">
        <v>2397</v>
      </c>
      <c r="C446" s="2" t="s">
        <v>2397</v>
      </c>
      <c r="D446" s="2" t="s">
        <v>2398</v>
      </c>
      <c r="E446" s="2" t="s">
        <v>725</v>
      </c>
      <c r="F446" s="2" t="s">
        <v>2401</v>
      </c>
      <c r="G446" s="2" t="s">
        <v>2378</v>
      </c>
      <c r="H446" s="30" t="s">
        <v>726</v>
      </c>
      <c r="I446" s="34" t="s">
        <v>2402</v>
      </c>
      <c r="V446" s="6" t="str">
        <f>"(Ação da Cophillips|Ações da Cophillips|"&amp;H446&amp;"|"&amp;I446&amp;")"</f>
        <v>(Ação da Cophillips|Ações da Cophillips|COPH34|COPH34F)</v>
      </c>
      <c r="W446" s="2" t="s">
        <v>2380</v>
      </c>
    </row>
    <row r="447">
      <c r="A447" s="2">
        <v>0.0</v>
      </c>
      <c r="B447" s="2" t="s">
        <v>2397</v>
      </c>
      <c r="C447" s="2" t="s">
        <v>2397</v>
      </c>
      <c r="D447" s="2" t="s">
        <v>1018</v>
      </c>
      <c r="E447" s="2" t="s">
        <v>722</v>
      </c>
      <c r="F447" s="2" t="s">
        <v>2403</v>
      </c>
      <c r="G447" s="2" t="s">
        <v>2378</v>
      </c>
      <c r="H447" s="30" t="s">
        <v>723</v>
      </c>
      <c r="I447" s="34" t="s">
        <v>724</v>
      </c>
      <c r="V447" s="6" t="str">
        <f>"(Ação da Halliburton|Ações da Halliburton|"&amp;H447&amp;"|"&amp;I447&amp;")"</f>
        <v>(Ação da Halliburton|Ações da Halliburton|HALI34F|HALI34)</v>
      </c>
      <c r="W447" s="2" t="s">
        <v>2380</v>
      </c>
    </row>
    <row r="448">
      <c r="A448" s="2">
        <v>0.0</v>
      </c>
      <c r="B448" s="2" t="s">
        <v>2397</v>
      </c>
      <c r="C448" s="2" t="s">
        <v>2397</v>
      </c>
      <c r="D448" s="2" t="s">
        <v>1018</v>
      </c>
      <c r="E448" s="2" t="s">
        <v>719</v>
      </c>
      <c r="F448" s="2" t="s">
        <v>2404</v>
      </c>
      <c r="G448" s="2" t="s">
        <v>2378</v>
      </c>
      <c r="H448" s="30" t="s">
        <v>720</v>
      </c>
      <c r="I448" s="34" t="s">
        <v>721</v>
      </c>
      <c r="V448" s="6" t="str">
        <f>"(Ação da Schlumberger|Ações da Schlumberger|"&amp;H448&amp;"|"&amp;I448&amp;")"</f>
        <v>(Ação da Schlumberger|Ações da Schlumberger|SLBG34F|SLBG34)</v>
      </c>
      <c r="W448" s="2" t="s">
        <v>2380</v>
      </c>
    </row>
    <row r="449">
      <c r="A449" s="2">
        <v>0.0</v>
      </c>
      <c r="B449" s="2" t="s">
        <v>2405</v>
      </c>
      <c r="C449" s="2" t="s">
        <v>2405</v>
      </c>
      <c r="D449" s="2" t="s">
        <v>2405</v>
      </c>
      <c r="E449" s="35" t="s">
        <v>716</v>
      </c>
      <c r="F449" s="2" t="s">
        <v>2406</v>
      </c>
      <c r="G449" s="2" t="s">
        <v>2378</v>
      </c>
      <c r="H449" s="32" t="s">
        <v>2407</v>
      </c>
      <c r="V449" s="6" t="str">
        <f>"(Ação da Tyson Foods|Ações da Tyson Foods|"&amp;H449&amp;")"</f>
        <v>(Ação da Tyson Foods|Ações da Tyson Foods|TSNF34)</v>
      </c>
      <c r="W449" s="2" t="s">
        <v>2380</v>
      </c>
    </row>
    <row r="450">
      <c r="A450" s="2">
        <v>0.0</v>
      </c>
      <c r="B450" s="2" t="s">
        <v>800</v>
      </c>
      <c r="C450" s="2" t="s">
        <v>1806</v>
      </c>
      <c r="D450" s="2" t="s">
        <v>1806</v>
      </c>
      <c r="E450" s="2" t="s">
        <v>713</v>
      </c>
      <c r="F450" s="2" t="s">
        <v>2408</v>
      </c>
      <c r="G450" s="2" t="s">
        <v>2378</v>
      </c>
      <c r="H450" s="30" t="s">
        <v>714</v>
      </c>
      <c r="I450" s="34" t="s">
        <v>715</v>
      </c>
      <c r="V450" s="6" t="str">
        <f>"(Ação da Twitter|Ações da Twitter|"&amp;H450&amp;"|"&amp;I450&amp;")"</f>
        <v>(Ação da Twitter|Ações da Twitter|TWTR34F|TWTR34)</v>
      </c>
      <c r="W450" s="2" t="s">
        <v>2380</v>
      </c>
    </row>
    <row r="451">
      <c r="A451" s="2">
        <v>0.0</v>
      </c>
      <c r="B451" s="2" t="s">
        <v>2405</v>
      </c>
      <c r="C451" s="2" t="s">
        <v>2405</v>
      </c>
      <c r="D451" s="2" t="s">
        <v>2405</v>
      </c>
      <c r="E451" s="35" t="s">
        <v>710</v>
      </c>
      <c r="F451" s="2" t="s">
        <v>2409</v>
      </c>
      <c r="G451" s="2" t="s">
        <v>2378</v>
      </c>
      <c r="H451" s="36" t="s">
        <v>711</v>
      </c>
      <c r="I451" s="37" t="s">
        <v>712</v>
      </c>
      <c r="V451" s="6" t="str">
        <f>"(Ação da Ternium SA|Ações da Ternium SA|"&amp;H451&amp;"|"&amp;I451&amp;")"</f>
        <v>(Ação da Ternium SA|Ações da Ternium SA|TXSA34F|TXSA34)</v>
      </c>
      <c r="W451" s="2" t="s">
        <v>2380</v>
      </c>
    </row>
    <row r="452">
      <c r="A452" s="2">
        <v>0.0</v>
      </c>
      <c r="B452" s="2" t="s">
        <v>2405</v>
      </c>
      <c r="C452" s="2" t="s">
        <v>2405</v>
      </c>
      <c r="D452" s="2" t="s">
        <v>2405</v>
      </c>
      <c r="E452" s="35" t="s">
        <v>707</v>
      </c>
      <c r="F452" s="2" t="s">
        <v>2410</v>
      </c>
      <c r="G452" s="2" t="s">
        <v>2378</v>
      </c>
      <c r="H452" s="36" t="s">
        <v>708</v>
      </c>
      <c r="I452" s="37" t="s">
        <v>709</v>
      </c>
      <c r="V452" s="6" t="str">
        <f>"(Ação da Under Armour|Ações da Under Armour|"&amp;H452&amp;"|"&amp;I452&amp;")"</f>
        <v>(Ação da Under Armour|Ações da Under Armour|U1AI34F|U1AI34)</v>
      </c>
      <c r="W452" s="2" t="s">
        <v>2380</v>
      </c>
    </row>
    <row r="453">
      <c r="A453" s="2">
        <v>0.0</v>
      </c>
      <c r="B453" s="2" t="s">
        <v>2405</v>
      </c>
      <c r="C453" s="2" t="s">
        <v>2405</v>
      </c>
      <c r="D453" s="2" t="s">
        <v>2405</v>
      </c>
      <c r="E453" s="35" t="s">
        <v>704</v>
      </c>
      <c r="F453" s="2" t="s">
        <v>2411</v>
      </c>
      <c r="G453" s="2" t="s">
        <v>2378</v>
      </c>
      <c r="H453" s="32" t="s">
        <v>706</v>
      </c>
      <c r="I453" s="38" t="s">
        <v>705</v>
      </c>
      <c r="V453" s="6" t="str">
        <f>"(Ação da United Airlines|Ações da United Airlines|"&amp;H453&amp;"|"&amp;I453&amp;")"</f>
        <v>(Ação da United Airlines|Ações da United Airlines|U1AL34|U1AL34F)</v>
      </c>
      <c r="W453" s="2" t="s">
        <v>2380</v>
      </c>
    </row>
    <row r="454">
      <c r="A454" s="2">
        <v>0.0</v>
      </c>
      <c r="B454" s="2" t="s">
        <v>2405</v>
      </c>
      <c r="C454" s="2" t="s">
        <v>2405</v>
      </c>
      <c r="D454" s="2" t="s">
        <v>2405</v>
      </c>
      <c r="E454" s="35" t="s">
        <v>701</v>
      </c>
      <c r="F454" s="2" t="s">
        <v>2412</v>
      </c>
      <c r="G454" s="2" t="s">
        <v>2378</v>
      </c>
      <c r="H454" s="36" t="s">
        <v>702</v>
      </c>
      <c r="I454" s="37" t="s">
        <v>703</v>
      </c>
      <c r="V454" s="6" t="str">
        <f>"(Ação da Uber|Ações da Uber|"&amp;H454&amp;"|"&amp;I454&amp;")"</f>
        <v>(Ação da Uber|Ações da Uber|U1BE34F|U1BE34)</v>
      </c>
      <c r="W454" s="2" t="s">
        <v>2380</v>
      </c>
    </row>
    <row r="455">
      <c r="A455" s="2">
        <v>0.0</v>
      </c>
      <c r="B455" s="2" t="s">
        <v>2405</v>
      </c>
      <c r="C455" s="2" t="s">
        <v>2405</v>
      </c>
      <c r="D455" s="2" t="s">
        <v>2405</v>
      </c>
      <c r="E455" s="2" t="s">
        <v>698</v>
      </c>
      <c r="F455" s="2" t="s">
        <v>2413</v>
      </c>
      <c r="G455" s="2" t="s">
        <v>2378</v>
      </c>
      <c r="H455" s="36" t="s">
        <v>699</v>
      </c>
      <c r="I455" s="37" t="s">
        <v>700</v>
      </c>
      <c r="V455" s="6" t="str">
        <f>"(Ação da UDR Inc|Ações da UDR Inc|"&amp;H455&amp;"|"&amp;I455&amp;")"</f>
        <v>(Ação da UDR Inc|Ações da UDR Inc|U1DR34F|U1DR34)</v>
      </c>
      <c r="W455" s="2" t="s">
        <v>2380</v>
      </c>
    </row>
    <row r="456">
      <c r="A456" s="2">
        <v>0.0</v>
      </c>
      <c r="B456" s="2" t="s">
        <v>2405</v>
      </c>
      <c r="C456" s="2" t="s">
        <v>2405</v>
      </c>
      <c r="D456" s="2" t="s">
        <v>2405</v>
      </c>
      <c r="E456" s="2" t="s">
        <v>695</v>
      </c>
      <c r="F456" s="2" t="s">
        <v>2414</v>
      </c>
      <c r="G456" s="2" t="s">
        <v>2378</v>
      </c>
      <c r="H456" s="36" t="s">
        <v>696</v>
      </c>
      <c r="I456" s="37" t="s">
        <v>697</v>
      </c>
      <c r="V456" s="6" t="str">
        <f>"(Ação da Universal Health|Ações da Universal Health|"&amp;H456&amp;"|"&amp;I456&amp;")"</f>
        <v>(Ação da Universal Health|Ações da Universal Health|U1HS34F|U1HS34)</v>
      </c>
      <c r="W456" s="2" t="s">
        <v>2380</v>
      </c>
    </row>
    <row r="457">
      <c r="A457" s="2">
        <v>0.0</v>
      </c>
      <c r="B457" s="2" t="s">
        <v>2405</v>
      </c>
      <c r="C457" s="2" t="s">
        <v>2405</v>
      </c>
      <c r="D457" s="2" t="s">
        <v>2405</v>
      </c>
      <c r="E457" s="2" t="s">
        <v>692</v>
      </c>
      <c r="F457" s="2" t="s">
        <v>2415</v>
      </c>
      <c r="G457" s="2" t="s">
        <v>2378</v>
      </c>
      <c r="H457" s="36" t="s">
        <v>693</v>
      </c>
      <c r="I457" s="37" t="s">
        <v>694</v>
      </c>
      <c r="V457" s="6" t="str">
        <f>"(Ação da Ulta Beauty|Ações da Ulta Beauty|"&amp;H457&amp;"|"&amp;I457&amp;")"</f>
        <v>(Ação da Ulta Beauty|Ações da Ulta Beauty|U1LT34F|U1LT34)</v>
      </c>
      <c r="W457" s="2" t="s">
        <v>2380</v>
      </c>
    </row>
    <row r="458">
      <c r="A458" s="2">
        <v>0.0</v>
      </c>
      <c r="B458" s="2" t="s">
        <v>2405</v>
      </c>
      <c r="C458" s="2" t="s">
        <v>2405</v>
      </c>
      <c r="D458" s="2" t="s">
        <v>2405</v>
      </c>
      <c r="E458" s="2" t="s">
        <v>689</v>
      </c>
      <c r="F458" s="2" t="s">
        <v>2416</v>
      </c>
      <c r="G458" s="2" t="s">
        <v>2378</v>
      </c>
      <c r="H458" s="36" t="s">
        <v>690</v>
      </c>
      <c r="I458" s="37" t="s">
        <v>691</v>
      </c>
      <c r="V458" s="6" t="str">
        <f>"(Ação da Unum Group|Ações da Unum Group| "&amp;H458&amp;"|"&amp;I458&amp;")"</f>
        <v>(Ação da Unum Group|Ações da Unum Group| U1NM34F|U1NM34)</v>
      </c>
      <c r="W458" s="2" t="s">
        <v>2380</v>
      </c>
    </row>
    <row r="459">
      <c r="A459" s="2">
        <v>0.0</v>
      </c>
      <c r="B459" s="2" t="s">
        <v>2417</v>
      </c>
      <c r="C459" s="2" t="s">
        <v>1294</v>
      </c>
      <c r="D459" s="2" t="s">
        <v>1337</v>
      </c>
      <c r="E459" s="4" t="s">
        <v>45</v>
      </c>
      <c r="F459" s="2" t="s">
        <v>2418</v>
      </c>
      <c r="G459" s="2" t="s">
        <v>2378</v>
      </c>
      <c r="H459" s="34" t="s">
        <v>47</v>
      </c>
      <c r="I459" s="34" t="s">
        <v>46</v>
      </c>
      <c r="V459" s="6" t="str">
        <f>"(Ação da UPS|Ações da UPS|"&amp;H459&amp;"|"&amp;I459&amp;")"</f>
        <v>(Ação da UPS|Ações da UPS|UPSS34|UPSS34F)</v>
      </c>
      <c r="W459" s="2" t="s">
        <v>2380</v>
      </c>
    </row>
    <row r="460">
      <c r="A460" s="2">
        <v>0.0</v>
      </c>
      <c r="B460" s="2" t="s">
        <v>2417</v>
      </c>
      <c r="C460" s="2" t="s">
        <v>1202</v>
      </c>
      <c r="D460" s="2" t="s">
        <v>1203</v>
      </c>
      <c r="E460" s="4" t="s">
        <v>48</v>
      </c>
      <c r="F460" s="2" t="s">
        <v>2419</v>
      </c>
      <c r="G460" s="2" t="s">
        <v>2378</v>
      </c>
      <c r="H460" s="30" t="s">
        <v>49</v>
      </c>
      <c r="I460" s="30" t="s">
        <v>50</v>
      </c>
      <c r="V460" s="6" t="str">
        <f>"(Ação da Lockheed|Ações da Lockheed|"&amp;H460&amp;"|"&amp;I460&amp;")"</f>
        <v>(Ação da Lockheed|Ações da Lockheed|LMTB34F|LMTB34)</v>
      </c>
      <c r="W460" s="2" t="s">
        <v>2380</v>
      </c>
    </row>
    <row r="461">
      <c r="A461" s="2">
        <v>0.0</v>
      </c>
      <c r="B461" s="2" t="s">
        <v>2417</v>
      </c>
      <c r="C461" s="2" t="s">
        <v>1294</v>
      </c>
      <c r="D461" s="2" t="s">
        <v>1337</v>
      </c>
      <c r="E461" s="2" t="s">
        <v>53</v>
      </c>
      <c r="F461" s="2" t="s">
        <v>2420</v>
      </c>
      <c r="G461" s="2" t="s">
        <v>2378</v>
      </c>
      <c r="H461" s="30" t="s">
        <v>54</v>
      </c>
      <c r="I461" s="30" t="s">
        <v>55</v>
      </c>
      <c r="V461" s="6" t="str">
        <f>"(Ação da FEDEX corporation|Ações da FEDEX Corporation|"&amp;H461&amp;"|"&amp;I461&amp;")"</f>
        <v>(Ação da FEDEX corporation|Ações da FEDEX Corporation|FDXB34F|FDXB34)</v>
      </c>
      <c r="W461" s="2" t="s">
        <v>2380</v>
      </c>
    </row>
    <row r="462">
      <c r="A462" s="2">
        <v>0.0</v>
      </c>
      <c r="B462" s="2" t="s">
        <v>2405</v>
      </c>
      <c r="C462" s="2" t="s">
        <v>2405</v>
      </c>
      <c r="D462" s="2" t="s">
        <v>2405</v>
      </c>
      <c r="E462" s="2" t="s">
        <v>686</v>
      </c>
      <c r="F462" s="2" t="s">
        <v>2421</v>
      </c>
      <c r="G462" s="2" t="s">
        <v>2378</v>
      </c>
      <c r="H462" s="30" t="s">
        <v>688</v>
      </c>
      <c r="V462" s="6" t="str">
        <f>"(Ação da United Rentals|Ações da Rentals|"&amp;H462&amp;")"</f>
        <v>(Ação da United Rentals|Ações da Rentals|U1RI34)</v>
      </c>
      <c r="W462" s="2" t="s">
        <v>2380</v>
      </c>
    </row>
    <row r="463">
      <c r="A463" s="2">
        <v>0.0</v>
      </c>
      <c r="B463" s="2" t="s">
        <v>375</v>
      </c>
      <c r="C463" s="2" t="s">
        <v>2024</v>
      </c>
      <c r="D463" s="2" t="s">
        <v>2025</v>
      </c>
      <c r="E463" s="2" t="s">
        <v>683</v>
      </c>
      <c r="F463" s="2" t="s">
        <v>2422</v>
      </c>
      <c r="G463" s="2" t="s">
        <v>2378</v>
      </c>
      <c r="H463" s="30" t="s">
        <v>685</v>
      </c>
      <c r="I463" s="39" t="s">
        <v>2423</v>
      </c>
      <c r="V463" s="6" t="str">
        <f>"(Ação da UBS Group|Ações da UBS Group|"&amp;H463&amp;"|"&amp;I463&amp;")"</f>
        <v>(Ação da UBS Group|Ações da UBS Group|UBSG34|UNSG34F)</v>
      </c>
      <c r="W463" s="2" t="s">
        <v>2380</v>
      </c>
    </row>
    <row r="464">
      <c r="A464" s="2">
        <v>0.0</v>
      </c>
      <c r="B464" s="2" t="s">
        <v>2405</v>
      </c>
      <c r="C464" s="2" t="s">
        <v>2405</v>
      </c>
      <c r="D464" s="2" t="s">
        <v>2405</v>
      </c>
      <c r="E464" s="2" t="s">
        <v>680</v>
      </c>
      <c r="F464" s="2" t="s">
        <v>2424</v>
      </c>
      <c r="G464" s="2" t="s">
        <v>2378</v>
      </c>
      <c r="H464" s="30" t="s">
        <v>682</v>
      </c>
      <c r="V464" s="6" t="str">
        <f>"(Ação da Unilever|Ações da Unilever|"&amp;H464&amp;")"</f>
        <v>(Ação da Unilever|Ações da Unilever|ULEV34)</v>
      </c>
      <c r="W464" s="2" t="s">
        <v>2380</v>
      </c>
    </row>
    <row r="465">
      <c r="A465" s="2">
        <v>0.0</v>
      </c>
      <c r="B465" s="2" t="s">
        <v>2417</v>
      </c>
      <c r="C465" s="2" t="s">
        <v>1236</v>
      </c>
      <c r="D465" s="2" t="s">
        <v>1277</v>
      </c>
      <c r="E465" s="4" t="s">
        <v>58</v>
      </c>
      <c r="F465" s="2" t="s">
        <v>2425</v>
      </c>
      <c r="G465" s="2" t="s">
        <v>2378</v>
      </c>
      <c r="H465" s="30" t="s">
        <v>59</v>
      </c>
      <c r="I465" s="33" t="s">
        <v>2426</v>
      </c>
      <c r="V465" s="6" t="str">
        <f>"(Ação da Unitedhealth|Ações da Caterpillar|"&amp;H465&amp;"|"&amp;I465&amp;")"</f>
        <v>(Ação da Unitedhealth|Ações da Caterpillar|CATP34F|CATP34)</v>
      </c>
      <c r="W465" s="2" t="s">
        <v>2380</v>
      </c>
    </row>
    <row r="466">
      <c r="A466" s="2">
        <v>0.0</v>
      </c>
      <c r="B466" s="2" t="s">
        <v>2417</v>
      </c>
      <c r="C466" s="2" t="s">
        <v>1202</v>
      </c>
      <c r="D466" s="2" t="s">
        <v>1203</v>
      </c>
      <c r="E466" s="4" t="s">
        <v>62</v>
      </c>
      <c r="F466" s="2" t="s">
        <v>2427</v>
      </c>
      <c r="G466" s="2" t="s">
        <v>2378</v>
      </c>
      <c r="H466" s="30" t="s">
        <v>63</v>
      </c>
      <c r="I466" s="33" t="s">
        <v>2428</v>
      </c>
      <c r="V466" s="6" t="str">
        <f>"(Ação da Boeing|Ações da Boeing|"&amp;H466&amp;"|"&amp;I466&amp;")"</f>
        <v>(Ação da Boeing|Ações da Boeing|BOEI34F|BOEI34)</v>
      </c>
      <c r="W466" s="2" t="s">
        <v>2380</v>
      </c>
    </row>
    <row r="467">
      <c r="A467" s="2">
        <v>0.0</v>
      </c>
      <c r="B467" s="2" t="s">
        <v>507</v>
      </c>
      <c r="C467" s="2" t="s">
        <v>2429</v>
      </c>
      <c r="D467" s="2" t="s">
        <v>1044</v>
      </c>
      <c r="E467" s="40" t="s">
        <v>64</v>
      </c>
      <c r="F467" s="2" t="s">
        <v>2430</v>
      </c>
      <c r="G467" s="2" t="s">
        <v>2378</v>
      </c>
      <c r="H467" s="30" t="s">
        <v>65</v>
      </c>
      <c r="I467" s="33" t="s">
        <v>565</v>
      </c>
      <c r="V467" s="6" t="str">
        <f>"(Ação da Acelor Mittal|Ações da Acelor Mittal|"&amp;H467&amp;"|"&amp;I467&amp;")"</f>
        <v>(Ação da Acelor Mittal|Ações da Acelor Mittal|ARMT34F|ARMT34)</v>
      </c>
      <c r="W467" s="2" t="s">
        <v>2380</v>
      </c>
    </row>
    <row r="468">
      <c r="A468" s="2">
        <v>0.0</v>
      </c>
      <c r="B468" s="2" t="s">
        <v>756</v>
      </c>
      <c r="C468" s="2" t="s">
        <v>1753</v>
      </c>
      <c r="D468" s="2" t="s">
        <v>1753</v>
      </c>
      <c r="E468" s="4" t="s">
        <v>66</v>
      </c>
      <c r="F468" s="2" t="s">
        <v>2431</v>
      </c>
      <c r="G468" s="2" t="s">
        <v>2378</v>
      </c>
      <c r="H468" s="30" t="s">
        <v>67</v>
      </c>
      <c r="I468" s="33" t="s">
        <v>506</v>
      </c>
      <c r="V468" s="6" t="str">
        <f>"(Ação da American Express|Ações da AMerican Express|"&amp;H468&amp;"|"&amp;I468&amp;")"</f>
        <v>(Ação da American Express|Ações da AMerican Express|AXPB34F|AXPB34)</v>
      </c>
      <c r="W468" s="2" t="s">
        <v>2380</v>
      </c>
    </row>
    <row r="469">
      <c r="A469" s="2">
        <v>0.0</v>
      </c>
      <c r="B469" s="2" t="s">
        <v>2405</v>
      </c>
      <c r="C469" s="2" t="s">
        <v>2405</v>
      </c>
      <c r="D469" s="2" t="s">
        <v>2405</v>
      </c>
      <c r="E469" s="2" t="s">
        <v>677</v>
      </c>
      <c r="F469" s="2" t="s">
        <v>2432</v>
      </c>
      <c r="G469" s="2" t="s">
        <v>2378</v>
      </c>
      <c r="H469" s="36" t="s">
        <v>678</v>
      </c>
      <c r="I469" s="37" t="s">
        <v>679</v>
      </c>
      <c r="V469" s="6" t="str">
        <f>"(Ação da Unitedhealth|Ações da Unitedhealth|"&amp;H469&amp;"|"&amp;I469&amp;")"</f>
        <v>(Ação da Unitedhealth|Ações da Unitedhealth|UNHH34F|UNHH34)</v>
      </c>
      <c r="W469" s="2" t="s">
        <v>2380</v>
      </c>
    </row>
    <row r="470">
      <c r="A470" s="2">
        <v>0.0</v>
      </c>
      <c r="B470" s="2" t="s">
        <v>4</v>
      </c>
      <c r="C470" s="2" t="s">
        <v>1294</v>
      </c>
      <c r="D470" s="2" t="s">
        <v>1301</v>
      </c>
      <c r="E470" s="25" t="s">
        <v>674</v>
      </c>
      <c r="F470" s="2" t="s">
        <v>2433</v>
      </c>
      <c r="G470" s="2" t="s">
        <v>2378</v>
      </c>
      <c r="H470" s="30" t="s">
        <v>675</v>
      </c>
      <c r="I470" s="30" t="s">
        <v>676</v>
      </c>
      <c r="V470" s="6" t="str">
        <f>"(Ação da Unionpacific|Ações da Unionpacific|"&amp;H470&amp;"|"&amp;I470&amp;")"</f>
        <v>(Ação da Unionpacific|Ações da Unionpacific|UPAC34F|UPAC34)</v>
      </c>
      <c r="W470" s="2" t="s">
        <v>2380</v>
      </c>
    </row>
    <row r="471">
      <c r="A471" s="2">
        <v>0.0</v>
      </c>
      <c r="B471" s="2" t="s">
        <v>375</v>
      </c>
      <c r="C471" s="2" t="s">
        <v>2024</v>
      </c>
      <c r="D471" s="2" t="s">
        <v>2025</v>
      </c>
      <c r="E471" s="25" t="s">
        <v>671</v>
      </c>
      <c r="F471" s="2" t="s">
        <v>2434</v>
      </c>
      <c r="G471" s="2" t="s">
        <v>2378</v>
      </c>
      <c r="H471" s="30" t="s">
        <v>672</v>
      </c>
      <c r="I471" s="30" t="s">
        <v>673</v>
      </c>
      <c r="V471" s="6" t="str">
        <f>"(Ação da US Bancorp|Ações da US Bancorp|"&amp;H471&amp;"|"&amp;I471&amp;")"</f>
        <v>(Ação da US Bancorp|Ações da US Bancorp|USBC34F|USBC34)</v>
      </c>
      <c r="W471" s="2" t="s">
        <v>2380</v>
      </c>
    </row>
    <row r="472">
      <c r="A472" s="2">
        <v>0.0</v>
      </c>
      <c r="B472" s="2" t="s">
        <v>507</v>
      </c>
      <c r="C472" s="2" t="s">
        <v>1043</v>
      </c>
      <c r="D472" s="2" t="s">
        <v>1064</v>
      </c>
      <c r="E472" s="35" t="s">
        <v>2435</v>
      </c>
      <c r="F472" s="2" t="s">
        <v>2436</v>
      </c>
      <c r="G472" s="2" t="s">
        <v>2378</v>
      </c>
      <c r="H472" s="30" t="s">
        <v>670</v>
      </c>
      <c r="I472" s="34" t="s">
        <v>2437</v>
      </c>
      <c r="V472" s="6" t="str">
        <f>"(Ação da US Steel|Ações da US Steel|"&amp;H472&amp;"|"&amp;I472&amp;")"</f>
        <v>(Ação da US Steel|Ações da US Steel|USSX34F|USSX34)</v>
      </c>
      <c r="W472" s="2" t="s">
        <v>2380</v>
      </c>
    </row>
    <row r="473">
      <c r="A473" s="2">
        <v>0.0</v>
      </c>
      <c r="B473" s="2" t="s">
        <v>2405</v>
      </c>
      <c r="C473" s="2" t="s">
        <v>2405</v>
      </c>
      <c r="D473" s="2" t="s">
        <v>2405</v>
      </c>
      <c r="E473" s="2" t="s">
        <v>666</v>
      </c>
      <c r="F473" s="2" t="s">
        <v>2438</v>
      </c>
      <c r="G473" s="2" t="s">
        <v>2378</v>
      </c>
      <c r="H473" s="30" t="s">
        <v>668</v>
      </c>
      <c r="V473" s="6" t="str">
        <f>"(Ação da Varian Medic|Ações da Varian Medic|"&amp;H473&amp;")"</f>
        <v>(Ação da Varian Medic|Ações da Varian Medic|V1AR34)</v>
      </c>
      <c r="W473" s="2" t="s">
        <v>2380</v>
      </c>
    </row>
    <row r="474">
      <c r="A474" s="2">
        <v>0.0</v>
      </c>
      <c r="B474" s="2" t="s">
        <v>2405</v>
      </c>
      <c r="C474" s="2" t="s">
        <v>2405</v>
      </c>
      <c r="D474" s="2" t="s">
        <v>2405</v>
      </c>
      <c r="E474" s="2" t="s">
        <v>663</v>
      </c>
      <c r="F474" s="2" t="s">
        <v>2439</v>
      </c>
      <c r="G474" s="2" t="s">
        <v>2378</v>
      </c>
      <c r="H474" s="30" t="s">
        <v>665</v>
      </c>
      <c r="V474" s="6" t="str">
        <f>"(Ação da Vulcan Mater|Ações da Vulcan Mater|"&amp;H474&amp;")"</f>
        <v>(Ação da Vulcan Mater|Ações da Vulcan Mater|V1MC34)</v>
      </c>
      <c r="W474" s="2" t="s">
        <v>2380</v>
      </c>
    </row>
    <row r="475">
      <c r="A475" s="2">
        <v>0.0</v>
      </c>
      <c r="B475" s="2" t="s">
        <v>2405</v>
      </c>
      <c r="C475" s="2" t="s">
        <v>2405</v>
      </c>
      <c r="D475" s="2" t="s">
        <v>2405</v>
      </c>
      <c r="E475" s="2" t="s">
        <v>660</v>
      </c>
      <c r="F475" s="2" t="s">
        <v>2440</v>
      </c>
      <c r="G475" s="2" t="s">
        <v>2378</v>
      </c>
      <c r="H475" s="30" t="s">
        <v>662</v>
      </c>
      <c r="V475" s="6" t="str">
        <f>"(Ação da Vornado Real|Ações da Vornado Real|"&amp;H475&amp;")"</f>
        <v>(Ação da Vornado Real|Ações da Vornado Real|V1NO34)</v>
      </c>
      <c r="W475" s="2" t="s">
        <v>2380</v>
      </c>
    </row>
    <row r="476">
      <c r="A476" s="2">
        <v>0.0</v>
      </c>
      <c r="B476" s="2" t="s">
        <v>2405</v>
      </c>
      <c r="C476" s="2" t="s">
        <v>2405</v>
      </c>
      <c r="D476" s="2" t="s">
        <v>2405</v>
      </c>
      <c r="E476" s="2" t="s">
        <v>657</v>
      </c>
      <c r="F476" s="2" t="s">
        <v>2441</v>
      </c>
      <c r="G476" s="2" t="s">
        <v>2378</v>
      </c>
      <c r="H476" s="30" t="s">
        <v>659</v>
      </c>
      <c r="V476" s="6" t="str">
        <f>"(Ação da Verisk Analy|Ações da Verisk Analy|"&amp;H476&amp;")"</f>
        <v>(Ação da Verisk Analy|Ações da Verisk Analy|V1RS34)</v>
      </c>
      <c r="W476" s="2" t="s">
        <v>2380</v>
      </c>
    </row>
    <row r="477">
      <c r="A477" s="2">
        <v>0.0</v>
      </c>
      <c r="B477" s="2" t="s">
        <v>2405</v>
      </c>
      <c r="C477" s="2" t="s">
        <v>2405</v>
      </c>
      <c r="D477" s="2" t="s">
        <v>2405</v>
      </c>
      <c r="E477" s="2" t="s">
        <v>654</v>
      </c>
      <c r="F477" s="2" t="s">
        <v>2442</v>
      </c>
      <c r="G477" s="2" t="s">
        <v>2378</v>
      </c>
      <c r="H477" s="30" t="s">
        <v>656</v>
      </c>
      <c r="V477" s="6" t="str">
        <f>"(Ação da Ventas Inc |Ações da Ventas Inc|"&amp;H477&amp;")"</f>
        <v>(Ação da Ventas Inc |Ações da Ventas Inc|V1TA34)</v>
      </c>
      <c r="W477" s="2" t="s">
        <v>2380</v>
      </c>
    </row>
    <row r="478">
      <c r="A478" s="2">
        <v>0.0</v>
      </c>
      <c r="B478" s="2" t="s">
        <v>2405</v>
      </c>
      <c r="C478" s="2" t="s">
        <v>2405</v>
      </c>
      <c r="D478" s="2" t="s">
        <v>2405</v>
      </c>
      <c r="E478" s="2" t="s">
        <v>2443</v>
      </c>
      <c r="F478" s="2" t="s">
        <v>2444</v>
      </c>
      <c r="G478" s="2" t="s">
        <v>2378</v>
      </c>
      <c r="H478" s="30" t="s">
        <v>653</v>
      </c>
      <c r="V478" s="6" t="str">
        <f>"(Ação da VF Corp|Ações da VF Corp|"&amp;H478&amp;")"</f>
        <v>(Ação da VF Corp|Ações da VF Corp|VFCO34)</v>
      </c>
      <c r="W478" s="2" t="s">
        <v>2380</v>
      </c>
    </row>
    <row r="479">
      <c r="A479" s="2">
        <v>0.0</v>
      </c>
      <c r="B479" s="2" t="s">
        <v>1823</v>
      </c>
      <c r="C479" s="2" t="s">
        <v>1835</v>
      </c>
      <c r="D479" s="2" t="s">
        <v>1836</v>
      </c>
      <c r="E479" s="2" t="s">
        <v>169</v>
      </c>
      <c r="F479" s="2" t="s">
        <v>2445</v>
      </c>
      <c r="G479" s="2" t="s">
        <v>2378</v>
      </c>
      <c r="H479" s="37" t="s">
        <v>170</v>
      </c>
      <c r="I479" s="37" t="s">
        <v>171</v>
      </c>
      <c r="V479" s="6" t="str">
        <f>"(Ação da Netflix|Ações da Netflix|"&amp;H479&amp;"|"&amp;I479&amp;")"</f>
        <v>(Ação da Netflix|Ações da Netflix|NFLX34F|NFLX34)</v>
      </c>
      <c r="W479" s="2" t="s">
        <v>2380</v>
      </c>
    </row>
    <row r="480">
      <c r="A480" s="2">
        <v>0.0</v>
      </c>
      <c r="B480" s="2" t="s">
        <v>2397</v>
      </c>
      <c r="C480" s="2" t="s">
        <v>2397</v>
      </c>
      <c r="D480" s="2" t="s">
        <v>2398</v>
      </c>
      <c r="E480" s="2" t="s">
        <v>648</v>
      </c>
      <c r="F480" s="2" t="s">
        <v>2446</v>
      </c>
      <c r="G480" s="2" t="s">
        <v>2378</v>
      </c>
      <c r="H480" s="30" t="s">
        <v>650</v>
      </c>
      <c r="I480" s="30" t="s">
        <v>649</v>
      </c>
      <c r="V480" s="6" t="str">
        <f>"(Ação da Valero Ener|Ações da Valero Ener|"&amp;H480&amp;"|"&amp;I480&amp;")"</f>
        <v>(Ação da Valero Ener|Ações da Valero Ener|VLOE34|VLOE34F)</v>
      </c>
      <c r="W480" s="2" t="s">
        <v>2380</v>
      </c>
    </row>
    <row r="481">
      <c r="A481" s="2">
        <v>0.0</v>
      </c>
      <c r="B481" s="2" t="s">
        <v>165</v>
      </c>
      <c r="C481" s="2" t="s">
        <v>2447</v>
      </c>
      <c r="D481" s="2" t="s">
        <v>1612</v>
      </c>
      <c r="E481" s="2" t="s">
        <v>172</v>
      </c>
      <c r="F481" s="2" t="s">
        <v>2448</v>
      </c>
      <c r="G481" s="2" t="s">
        <v>2378</v>
      </c>
      <c r="H481" s="37" t="s">
        <v>173</v>
      </c>
      <c r="I481" s="37" t="s">
        <v>174</v>
      </c>
      <c r="V481" s="6" t="str">
        <f>"(Ação da Nike|Ações da Nike|"&amp;H481&amp;"|"&amp;I481&amp;")"</f>
        <v>(Ação da Nike|Ações da Nike|NIKE34F|NIKE34)</v>
      </c>
      <c r="W481" s="2" t="s">
        <v>2380</v>
      </c>
    </row>
    <row r="482">
      <c r="A482" s="2">
        <v>0.0</v>
      </c>
      <c r="B482" s="2" t="s">
        <v>165</v>
      </c>
      <c r="C482" s="2" t="s">
        <v>1653</v>
      </c>
      <c r="D482" s="2" t="s">
        <v>1660</v>
      </c>
      <c r="E482" s="4" t="s">
        <v>175</v>
      </c>
      <c r="F482" s="2" t="s">
        <v>2449</v>
      </c>
      <c r="G482" s="2" t="s">
        <v>2378</v>
      </c>
      <c r="H482" s="37" t="s">
        <v>176</v>
      </c>
      <c r="I482" s="37" t="s">
        <v>177</v>
      </c>
      <c r="V482" s="6" t="str">
        <f>"(Ação da MC Donald's|Ações da MC Donald's|"&amp;H482&amp;"|"&amp;I482&amp;")"</f>
        <v>(Ação da MC Donald's|Ações da MC Donald's|MCDC34F|MCDC34)</v>
      </c>
      <c r="W482" s="2" t="s">
        <v>2380</v>
      </c>
    </row>
    <row r="483">
      <c r="A483" s="2">
        <v>0.0</v>
      </c>
      <c r="B483" s="2" t="s">
        <v>2405</v>
      </c>
      <c r="C483" s="2" t="s">
        <v>2405</v>
      </c>
      <c r="D483" s="2" t="s">
        <v>2405</v>
      </c>
      <c r="E483" s="2" t="s">
        <v>645</v>
      </c>
      <c r="F483" s="2" t="s">
        <v>2450</v>
      </c>
      <c r="G483" s="2" t="s">
        <v>2378</v>
      </c>
      <c r="H483" s="41" t="s">
        <v>647</v>
      </c>
      <c r="V483" s="6" t="str">
        <f>"(Ação da Valley Ntion|Ações da Valley Ntion|"&amp;H483&amp;")"</f>
        <v>(Ação da Valley Ntion|Ações da Valley Ntion|VLYB34)</v>
      </c>
      <c r="W483" s="2" t="s">
        <v>2380</v>
      </c>
    </row>
    <row r="484">
      <c r="A484" s="2">
        <v>0.0</v>
      </c>
      <c r="B484" s="2" t="s">
        <v>2405</v>
      </c>
      <c r="C484" s="2" t="s">
        <v>2405</v>
      </c>
      <c r="D484" s="2" t="s">
        <v>2405</v>
      </c>
      <c r="E484" s="2" t="s">
        <v>642</v>
      </c>
      <c r="F484" s="2" t="s">
        <v>2451</v>
      </c>
      <c r="G484" s="2" t="s">
        <v>2378</v>
      </c>
      <c r="H484" s="30" t="s">
        <v>644</v>
      </c>
      <c r="V484" s="6" t="str">
        <f>"(Ação da Verising Inc|Ações da Verising Inc|"&amp;H484&amp;")"</f>
        <v>(Ação da Verising Inc|Ações da Verising Inc|VRSN34)</v>
      </c>
      <c r="W484" s="2" t="s">
        <v>2380</v>
      </c>
    </row>
    <row r="485">
      <c r="A485" s="2">
        <v>0.0</v>
      </c>
      <c r="B485" s="2" t="s">
        <v>2405</v>
      </c>
      <c r="C485" s="2" t="s">
        <v>2405</v>
      </c>
      <c r="D485" s="2" t="s">
        <v>2405</v>
      </c>
      <c r="E485" s="2" t="s">
        <v>639</v>
      </c>
      <c r="F485" s="2" t="s">
        <v>2452</v>
      </c>
      <c r="G485" s="2" t="s">
        <v>2378</v>
      </c>
      <c r="H485" s="30" t="s">
        <v>641</v>
      </c>
      <c r="V485" s="6" t="str">
        <f>"(Ação da Vertex Pharm|Ações da Vertex Pharm|"&amp;H485&amp;")"</f>
        <v>(Ação da Vertex Pharm|Ações da Vertex Pharm|VRTX34)</v>
      </c>
      <c r="W485" s="2" t="s">
        <v>2380</v>
      </c>
    </row>
    <row r="486">
      <c r="A486" s="2">
        <v>0.0</v>
      </c>
      <c r="B486" s="2" t="s">
        <v>2405</v>
      </c>
      <c r="C486" s="2" t="s">
        <v>2405</v>
      </c>
      <c r="D486" s="2" t="s">
        <v>2405</v>
      </c>
      <c r="E486" s="2" t="s">
        <v>636</v>
      </c>
      <c r="F486" s="2" t="s">
        <v>2453</v>
      </c>
      <c r="G486" s="2" t="s">
        <v>2378</v>
      </c>
      <c r="H486" s="30" t="s">
        <v>638</v>
      </c>
      <c r="V486" s="6" t="str">
        <f>"(Ação da Wabtec Corp|Ações da Wabtec Corp|"&amp;H486&amp;")"</f>
        <v>(Ação da Wabtec Corp|Ações da Wabtec Corp|W1AB34)</v>
      </c>
      <c r="W486" s="2" t="s">
        <v>2380</v>
      </c>
    </row>
    <row r="487">
      <c r="A487" s="2">
        <v>0.0</v>
      </c>
      <c r="B487" s="2" t="s">
        <v>2405</v>
      </c>
      <c r="C487" s="2" t="s">
        <v>2405</v>
      </c>
      <c r="D487" s="2" t="s">
        <v>2405</v>
      </c>
      <c r="E487" s="2" t="s">
        <v>633</v>
      </c>
      <c r="F487" s="2" t="s">
        <v>2454</v>
      </c>
      <c r="G487" s="2" t="s">
        <v>2378</v>
      </c>
      <c r="H487" s="30" t="s">
        <v>635</v>
      </c>
      <c r="V487" s="6" t="str">
        <f>"(Ação da Workday Inc|Ações da Workday Inc|"&amp;H487&amp;")"</f>
        <v>(Ação da Workday Inc|Ações da Workday Inc|W1DA34)</v>
      </c>
      <c r="W487" s="2" t="s">
        <v>2380</v>
      </c>
    </row>
    <row r="488">
      <c r="A488" s="2">
        <v>0.0</v>
      </c>
      <c r="B488" s="2" t="s">
        <v>2405</v>
      </c>
      <c r="C488" s="2" t="s">
        <v>2405</v>
      </c>
      <c r="D488" s="2" t="s">
        <v>2405</v>
      </c>
      <c r="E488" s="2" t="s">
        <v>630</v>
      </c>
      <c r="F488" s="2" t="s">
        <v>2455</v>
      </c>
      <c r="G488" s="2" t="s">
        <v>2378</v>
      </c>
      <c r="H488" s="30" t="s">
        <v>632</v>
      </c>
      <c r="V488" s="6" t="str">
        <f>"(Ação da Western Dig|Ações da Western Dig|"&amp;H488&amp;")"</f>
        <v>(Ação da Western Dig|Ações da Western Dig|W1DC34)</v>
      </c>
      <c r="W488" s="2" t="s">
        <v>2380</v>
      </c>
    </row>
    <row r="489">
      <c r="A489" s="2">
        <v>0.0</v>
      </c>
      <c r="B489" s="2" t="s">
        <v>2405</v>
      </c>
      <c r="C489" s="2" t="s">
        <v>2405</v>
      </c>
      <c r="D489" s="2" t="s">
        <v>2405</v>
      </c>
      <c r="E489" s="2" t="s">
        <v>627</v>
      </c>
      <c r="F489" s="2" t="s">
        <v>2456</v>
      </c>
      <c r="G489" s="2" t="s">
        <v>2378</v>
      </c>
      <c r="H489" s="30" t="s">
        <v>629</v>
      </c>
      <c r="V489" s="6" t="str">
        <f>"(Ação da Wec Energy G|Ações da Wec Energy G|"&amp;H489&amp;")"</f>
        <v>(Ação da Wec Energy G|Ações da Wec Energy G|W1EC34)</v>
      </c>
      <c r="W489" s="2" t="s">
        <v>2380</v>
      </c>
    </row>
    <row r="490">
      <c r="A490" s="2">
        <v>0.0</v>
      </c>
      <c r="B490" s="2" t="s">
        <v>2405</v>
      </c>
      <c r="C490" s="2" t="s">
        <v>2405</v>
      </c>
      <c r="D490" s="2" t="s">
        <v>2405</v>
      </c>
      <c r="E490" s="2" t="s">
        <v>624</v>
      </c>
      <c r="F490" s="2" t="s">
        <v>2457</v>
      </c>
      <c r="G490" s="2" t="s">
        <v>2378</v>
      </c>
      <c r="H490" s="30" t="s">
        <v>626</v>
      </c>
      <c r="V490" s="6" t="str">
        <f>"(Ação da Welltower In|Ações da Welltower In|"&amp;H490&amp;")"</f>
        <v>(Ação da Welltower In|Ações da Welltower In|W1EL34)</v>
      </c>
      <c r="W490" s="2" t="s">
        <v>2380</v>
      </c>
    </row>
    <row r="491">
      <c r="A491" s="2">
        <v>0.0</v>
      </c>
      <c r="B491" s="2" t="s">
        <v>2405</v>
      </c>
      <c r="C491" s="2" t="s">
        <v>2405</v>
      </c>
      <c r="D491" s="2" t="s">
        <v>2405</v>
      </c>
      <c r="E491" s="2" t="s">
        <v>621</v>
      </c>
      <c r="F491" s="2" t="s">
        <v>2458</v>
      </c>
      <c r="G491" s="2" t="s">
        <v>2378</v>
      </c>
      <c r="H491" s="30" t="s">
        <v>623</v>
      </c>
      <c r="V491" s="6" t="str">
        <f>"(Ação da Whirlpool Co|Ações da Whirlpool Co|"&amp;H491&amp;")"</f>
        <v>(Ação da Whirlpool Co|Ações da Whirlpool Co|W1HR34)</v>
      </c>
      <c r="W491" s="2" t="s">
        <v>2380</v>
      </c>
    </row>
    <row r="492">
      <c r="A492" s="2">
        <v>0.0</v>
      </c>
      <c r="B492" s="2" t="s">
        <v>2405</v>
      </c>
      <c r="C492" s="2" t="s">
        <v>2405</v>
      </c>
      <c r="D492" s="2" t="s">
        <v>2405</v>
      </c>
      <c r="E492" s="2" t="s">
        <v>618</v>
      </c>
      <c r="F492" s="2" t="s">
        <v>2459</v>
      </c>
      <c r="G492" s="2" t="s">
        <v>2378</v>
      </c>
      <c r="H492" s="30" t="s">
        <v>620</v>
      </c>
      <c r="V492" s="6" t="str">
        <f>"(Ação da Willis Tower|Ações da Willis Tower|"&amp;H492&amp;")"</f>
        <v>(Ação da Willis Tower|Ações da Willis Tower|W1LT34)</v>
      </c>
      <c r="W492" s="2" t="s">
        <v>2380</v>
      </c>
    </row>
    <row r="493">
      <c r="A493" s="2">
        <v>0.0</v>
      </c>
      <c r="B493" s="2" t="s">
        <v>2405</v>
      </c>
      <c r="C493" s="2" t="s">
        <v>2405</v>
      </c>
      <c r="D493" s="2" t="s">
        <v>2405</v>
      </c>
      <c r="E493" s="2" t="s">
        <v>615</v>
      </c>
      <c r="F493" s="2" t="s">
        <v>2460</v>
      </c>
      <c r="G493" s="2" t="s">
        <v>2378</v>
      </c>
      <c r="H493" s="30" t="s">
        <v>617</v>
      </c>
      <c r="V493" s="6" t="str">
        <f>"(Ação da Williams Cos|Ações da Williams Cos|"&amp;H493&amp;")"</f>
        <v>(Ação da Williams Cos|Ações da Williams Cos|W1MB34)</v>
      </c>
      <c r="W493" s="2" t="s">
        <v>2380</v>
      </c>
    </row>
    <row r="494">
      <c r="A494" s="2">
        <v>0.0</v>
      </c>
      <c r="B494" s="2" t="s">
        <v>2405</v>
      </c>
      <c r="C494" s="2" t="s">
        <v>2405</v>
      </c>
      <c r="D494" s="2" t="s">
        <v>2405</v>
      </c>
      <c r="E494" s="2" t="s">
        <v>612</v>
      </c>
      <c r="F494" s="2" t="s">
        <v>2461</v>
      </c>
      <c r="G494" s="2" t="s">
        <v>2378</v>
      </c>
      <c r="H494" s="30" t="s">
        <v>614</v>
      </c>
      <c r="V494" s="6" t="str">
        <f>"(Ação da Waste Manag|Ações da Waste Manag|"&amp;H494&amp;")"</f>
        <v>(Ação da Waste Manag|Ações da Waste Manag|W1MC34)</v>
      </c>
      <c r="W494" s="2" t="s">
        <v>2380</v>
      </c>
    </row>
    <row r="495">
      <c r="A495" s="2">
        <v>0.0</v>
      </c>
      <c r="B495" s="2" t="s">
        <v>2405</v>
      </c>
      <c r="C495" s="2" t="s">
        <v>2405</v>
      </c>
      <c r="D495" s="2" t="s">
        <v>2405</v>
      </c>
      <c r="E495" s="2" t="s">
        <v>609</v>
      </c>
      <c r="F495" s="2" t="s">
        <v>2462</v>
      </c>
      <c r="G495" s="2" t="s">
        <v>2378</v>
      </c>
      <c r="H495" s="30" t="s">
        <v>611</v>
      </c>
      <c r="V495" s="6" t="str">
        <f>"(Ação da Westrock Co|Ações da Westrock Co|"&amp;H495&amp;")"</f>
        <v>(Ação da Westrock Co|Ações da Westrock Co|W1RK34)</v>
      </c>
      <c r="W495" s="2" t="s">
        <v>2380</v>
      </c>
    </row>
    <row r="496">
      <c r="A496" s="2">
        <v>0.0</v>
      </c>
      <c r="B496" s="2" t="s">
        <v>2405</v>
      </c>
      <c r="C496" s="2" t="s">
        <v>2405</v>
      </c>
      <c r="D496" s="2" t="s">
        <v>2405</v>
      </c>
      <c r="E496" s="2" t="s">
        <v>606</v>
      </c>
      <c r="F496" s="2" t="s">
        <v>2463</v>
      </c>
      <c r="G496" s="2" t="s">
        <v>2378</v>
      </c>
      <c r="H496" s="30" t="s">
        <v>608</v>
      </c>
      <c r="V496" s="6" t="str">
        <f>"(Ação da Weyerhaeuser|Ações da Weyerhaeuser|"&amp;H496&amp;")"</f>
        <v>(Ação da Weyerhaeuser|Ações da Weyerhaeuser|W1YC34)</v>
      </c>
      <c r="W496" s="2" t="s">
        <v>2380</v>
      </c>
    </row>
    <row r="497">
      <c r="A497" s="2">
        <v>0.0</v>
      </c>
      <c r="B497" s="2" t="s">
        <v>2405</v>
      </c>
      <c r="C497" s="2" t="s">
        <v>2405</v>
      </c>
      <c r="D497" s="2" t="s">
        <v>2405</v>
      </c>
      <c r="E497" s="2" t="s">
        <v>603</v>
      </c>
      <c r="F497" s="2" t="s">
        <v>2464</v>
      </c>
      <c r="G497" s="2" t="s">
        <v>2378</v>
      </c>
      <c r="H497" s="30" t="s">
        <v>605</v>
      </c>
      <c r="V497" s="6" t="str">
        <f t="shared" ref="V497:V498" si="1">"(Ação da Western Bcor|Ações da Western Bcor|"&amp;H497&amp;")"</f>
        <v>(Ação da Western Bcor|Ações da Western Bcor|W1YN34)</v>
      </c>
      <c r="W497" s="2" t="s">
        <v>2380</v>
      </c>
    </row>
    <row r="498">
      <c r="A498" s="2">
        <v>0.0</v>
      </c>
      <c r="B498" s="2" t="s">
        <v>2405</v>
      </c>
      <c r="C498" s="2" t="s">
        <v>2405</v>
      </c>
      <c r="D498" s="2" t="s">
        <v>2405</v>
      </c>
      <c r="E498" s="2" t="s">
        <v>600</v>
      </c>
      <c r="F498" s="2" t="s">
        <v>2465</v>
      </c>
      <c r="G498" s="2" t="s">
        <v>2378</v>
      </c>
      <c r="H498" s="34" t="s">
        <v>602</v>
      </c>
      <c r="V498" s="6" t="str">
        <f t="shared" si="1"/>
        <v>(Ação da Western Bcor|Ações da Western Bcor|WABC34)</v>
      </c>
      <c r="W498" s="2" t="s">
        <v>2380</v>
      </c>
    </row>
    <row r="499">
      <c r="A499" s="2">
        <v>0.0</v>
      </c>
      <c r="B499" s="2" t="s">
        <v>2405</v>
      </c>
      <c r="C499" s="2" t="s">
        <v>2405</v>
      </c>
      <c r="D499" s="2" t="s">
        <v>2405</v>
      </c>
      <c r="E499" s="2" t="s">
        <v>597</v>
      </c>
      <c r="F499" s="2" t="s">
        <v>2466</v>
      </c>
      <c r="G499" s="2" t="s">
        <v>2378</v>
      </c>
      <c r="H499" s="30" t="s">
        <v>598</v>
      </c>
      <c r="V499" s="6" t="str">
        <f>"(Ação da Waters Corp|Ações da Waters Corp|"&amp;H499&amp;")"</f>
        <v>(Ação da Waters Corp|Ações da Waters Corp|WATC34)</v>
      </c>
      <c r="W499" s="2" t="s">
        <v>2380</v>
      </c>
    </row>
    <row r="500">
      <c r="A500" s="2">
        <v>0.0</v>
      </c>
      <c r="B500" s="2" t="s">
        <v>2405</v>
      </c>
      <c r="C500" s="2" t="s">
        <v>2405</v>
      </c>
      <c r="D500" s="2" t="s">
        <v>2405</v>
      </c>
      <c r="E500" s="2" t="s">
        <v>594</v>
      </c>
      <c r="F500" s="2" t="s">
        <v>2467</v>
      </c>
      <c r="G500" s="2" t="s">
        <v>2378</v>
      </c>
      <c r="H500" s="30" t="s">
        <v>596</v>
      </c>
      <c r="V500" s="6" t="str">
        <f>"(Ação da Walgreens|Ações da Walgreens|"&amp;H500&amp;")"</f>
        <v>(Ação da Walgreens|Ações da Walgreens|WGBA34)</v>
      </c>
      <c r="W500" s="2" t="s">
        <v>2380</v>
      </c>
    </row>
    <row r="501">
      <c r="A501" s="2">
        <v>0.0</v>
      </c>
      <c r="B501" s="2" t="s">
        <v>375</v>
      </c>
      <c r="C501" s="2" t="s">
        <v>2170</v>
      </c>
      <c r="D501" s="2" t="s">
        <v>2170</v>
      </c>
      <c r="E501" s="2" t="s">
        <v>591</v>
      </c>
      <c r="F501" s="2" t="s">
        <v>2468</v>
      </c>
      <c r="G501" s="2" t="s">
        <v>2378</v>
      </c>
      <c r="H501" s="30" t="s">
        <v>593</v>
      </c>
      <c r="I501" s="42" t="s">
        <v>592</v>
      </c>
      <c r="V501" s="6" t="str">
        <f>"(Ação da Westernunion|Ações da Westernunion|"&amp;H501&amp;"|"&amp;I501&amp;")"</f>
        <v>(Ação da Westernunion|Ações da Westernunion|WUNI34|WUNI34F)</v>
      </c>
      <c r="W501" s="2" t="s">
        <v>2380</v>
      </c>
    </row>
    <row r="502">
      <c r="A502" s="2">
        <v>0.0</v>
      </c>
      <c r="B502" s="2" t="s">
        <v>165</v>
      </c>
      <c r="C502" s="2" t="s">
        <v>2447</v>
      </c>
      <c r="D502" s="2" t="s">
        <v>1608</v>
      </c>
      <c r="E502" s="2" t="s">
        <v>2469</v>
      </c>
      <c r="F502" s="2" t="s">
        <v>2470</v>
      </c>
      <c r="G502" s="2" t="s">
        <v>1013</v>
      </c>
      <c r="H502" s="34" t="s">
        <v>2471</v>
      </c>
      <c r="V502" s="6" t="str">
        <f>"(Ação da TRACK &amp; FIELD|Ações da TRACK &amp; FIELD|"&amp;H502&amp;")"</f>
        <v>(Ação da TRACK &amp; FIELD|Ações da TRACK &amp; FIELD|TFCO4)</v>
      </c>
    </row>
    <row r="503">
      <c r="A503" s="2">
        <v>0.0</v>
      </c>
      <c r="B503" s="2" t="s">
        <v>2405</v>
      </c>
      <c r="C503" s="2" t="s">
        <v>2405</v>
      </c>
      <c r="D503" s="2" t="s">
        <v>2405</v>
      </c>
      <c r="E503" s="2" t="s">
        <v>588</v>
      </c>
      <c r="F503" s="2" t="s">
        <v>2472</v>
      </c>
      <c r="G503" s="2" t="s">
        <v>2378</v>
      </c>
      <c r="H503" s="30" t="s">
        <v>590</v>
      </c>
      <c r="V503" s="6" t="str">
        <f>"(Ação da Xcel Energy|Ações da Xcel Energy|"&amp;H503&amp;")"</f>
        <v>(Ação da Xcel Energy|Ações da Xcel Energy|X1EL34)</v>
      </c>
      <c r="W503" s="2" t="s">
        <v>2380</v>
      </c>
    </row>
    <row r="504">
      <c r="A504" s="2">
        <v>0.0</v>
      </c>
      <c r="B504" s="2" t="s">
        <v>165</v>
      </c>
      <c r="C504" s="2" t="s">
        <v>1430</v>
      </c>
      <c r="D504" s="2" t="s">
        <v>1738</v>
      </c>
      <c r="E504" s="4" t="s">
        <v>178</v>
      </c>
      <c r="F504" s="2" t="s">
        <v>2473</v>
      </c>
      <c r="G504" s="2" t="s">
        <v>2378</v>
      </c>
      <c r="H504" s="37" t="s">
        <v>179</v>
      </c>
      <c r="I504" s="37" t="s">
        <v>180</v>
      </c>
      <c r="V504" s="6" t="str">
        <f>"(Ação da Home Depot|Ações da Home Depot|"&amp;H504&amp;"|"&amp;I504&amp;")"</f>
        <v>(Ação da Home Depot|Ações da Home Depot|HOME34F|HOME34)</v>
      </c>
      <c r="W504" s="2" t="s">
        <v>2380</v>
      </c>
    </row>
    <row r="505">
      <c r="A505" s="2">
        <v>0.0</v>
      </c>
      <c r="B505" s="2" t="s">
        <v>165</v>
      </c>
      <c r="C505" s="2" t="s">
        <v>1643</v>
      </c>
      <c r="D505" s="2" t="s">
        <v>1643</v>
      </c>
      <c r="E505" s="4" t="s">
        <v>181</v>
      </c>
      <c r="F505" s="2" t="s">
        <v>2474</v>
      </c>
      <c r="G505" s="2" t="s">
        <v>2378</v>
      </c>
      <c r="H505" s="37" t="s">
        <v>182</v>
      </c>
      <c r="I505" s="37" t="s">
        <v>183</v>
      </c>
      <c r="V505" s="6" t="str">
        <f>"(Ação da Ford Motors|Ações da Ford Motors|"&amp;H505&amp;"|"&amp;I505&amp;")"</f>
        <v>(Ação da Ford Motors|Ações da Ford Motors|FDMO34F|FDMO34)</v>
      </c>
      <c r="W505" s="2" t="s">
        <v>2380</v>
      </c>
    </row>
    <row r="506">
      <c r="A506" s="2">
        <v>0.0</v>
      </c>
      <c r="B506" s="2" t="s">
        <v>1823</v>
      </c>
      <c r="C506" s="2" t="s">
        <v>1835</v>
      </c>
      <c r="D506" s="2" t="s">
        <v>1836</v>
      </c>
      <c r="E506" s="4" t="s">
        <v>184</v>
      </c>
      <c r="F506" s="2" t="s">
        <v>2475</v>
      </c>
      <c r="G506" s="2" t="s">
        <v>2378</v>
      </c>
      <c r="H506" s="5" t="s">
        <v>185</v>
      </c>
      <c r="I506" s="12" t="s">
        <v>2476</v>
      </c>
      <c r="V506" s="6" t="str">
        <f>"(Ação da Comcast|Ações da Comcast|"&amp;H506&amp;"|"&amp;I506&amp;")"</f>
        <v>(Ação da Comcast|Ações da Comcast|CMCS34F|CMCS34)</v>
      </c>
      <c r="W506" s="2" t="s">
        <v>2380</v>
      </c>
    </row>
    <row r="507">
      <c r="A507" s="2">
        <v>0.0</v>
      </c>
      <c r="B507" s="2" t="s">
        <v>165</v>
      </c>
      <c r="C507" s="2" t="s">
        <v>1430</v>
      </c>
      <c r="D507" s="2" t="s">
        <v>1738</v>
      </c>
      <c r="E507" s="4" t="s">
        <v>186</v>
      </c>
      <c r="F507" s="2" t="s">
        <v>2477</v>
      </c>
      <c r="G507" s="2" t="s">
        <v>2378</v>
      </c>
      <c r="H507" s="5" t="s">
        <v>187</v>
      </c>
      <c r="I507" s="2" t="s">
        <v>2478</v>
      </c>
      <c r="V507" s="6" t="str">
        <f>"(Ação da Amazon|Ações da Amazon|"&amp;H507&amp;"|"&amp;I507&amp;")"</f>
        <v>(Ação da Amazon|Ações da Amazon|AMZO34F|AMZO34)</v>
      </c>
    </row>
    <row r="508">
      <c r="A508" s="2">
        <v>0.0</v>
      </c>
      <c r="B508" s="2" t="s">
        <v>165</v>
      </c>
      <c r="C508" s="2" t="s">
        <v>1653</v>
      </c>
      <c r="D508" s="2" t="s">
        <v>1660</v>
      </c>
      <c r="E508" s="2" t="s">
        <v>294</v>
      </c>
      <c r="G508" s="2" t="s">
        <v>2378</v>
      </c>
      <c r="H508" s="2" t="s">
        <v>295</v>
      </c>
      <c r="I508" s="2" t="s">
        <v>320</v>
      </c>
      <c r="V508" s="6" t="str">
        <f>"(Ação da Starbucks|Ações da Starbucks|"&amp;H508&amp;"|"&amp;I508&amp;")"</f>
        <v>(Ação da Starbucks|Ações da Starbucks|SBUB34|SBUB34F)</v>
      </c>
    </row>
    <row r="509">
      <c r="A509" s="2">
        <v>0.0</v>
      </c>
      <c r="B509" s="2" t="s">
        <v>2405</v>
      </c>
      <c r="C509" s="2" t="s">
        <v>2405</v>
      </c>
      <c r="D509" s="2" t="s">
        <v>2405</v>
      </c>
      <c r="E509" s="2" t="s">
        <v>585</v>
      </c>
      <c r="F509" s="2" t="s">
        <v>2479</v>
      </c>
      <c r="G509" s="2" t="s">
        <v>2378</v>
      </c>
      <c r="H509" s="5" t="s">
        <v>587</v>
      </c>
      <c r="I509" s="5" t="s">
        <v>586</v>
      </c>
      <c r="V509" s="6" t="str">
        <f>"(Ação da Xilinx Inc|Ações da Xilinx Inc|"&amp;H509&amp;"|"&amp;I509&amp;")"</f>
        <v>(Ação da Xilinx Inc|Ações da Xilinx Inc|X1LN34|X1LN34F)</v>
      </c>
    </row>
    <row r="510">
      <c r="A510" s="2">
        <v>0.0</v>
      </c>
      <c r="B510" s="2" t="s">
        <v>2405</v>
      </c>
      <c r="C510" s="2" t="s">
        <v>2405</v>
      </c>
      <c r="D510" s="2" t="s">
        <v>2405</v>
      </c>
      <c r="E510" s="2" t="s">
        <v>582</v>
      </c>
      <c r="F510" s="2" t="s">
        <v>2480</v>
      </c>
      <c r="G510" s="2" t="s">
        <v>2378</v>
      </c>
      <c r="H510" s="5" t="s">
        <v>584</v>
      </c>
      <c r="I510" s="5" t="s">
        <v>583</v>
      </c>
      <c r="V510" s="6" t="str">
        <f>"(Ação da Xylem Inc|Ações da Xylem Inc|"&amp;H510&amp;"|"&amp;I510&amp;")"</f>
        <v>(Ação da Xylem Inc|Ações da Xylem Inc|X1YL34|X1YL34F)</v>
      </c>
    </row>
    <row r="511">
      <c r="A511" s="2">
        <v>0.0</v>
      </c>
      <c r="B511" s="2" t="s">
        <v>2405</v>
      </c>
      <c r="C511" s="2" t="s">
        <v>2405</v>
      </c>
      <c r="D511" s="2" t="s">
        <v>2405</v>
      </c>
      <c r="E511" s="2" t="s">
        <v>579</v>
      </c>
      <c r="F511" s="2" t="s">
        <v>2481</v>
      </c>
      <c r="G511" s="2" t="s">
        <v>2378</v>
      </c>
      <c r="H511" s="5" t="s">
        <v>581</v>
      </c>
      <c r="I511" s="5" t="s">
        <v>580</v>
      </c>
      <c r="V511" s="6" t="str">
        <f>"(Ação da Dentsply Sir|Ações da Dentsply Sir|"&amp;H511&amp;"|"&amp;I511&amp;")"</f>
        <v>(Ação da Dentsply Sir|Ações da Dentsply Sir|XRAY34|XRAY34F)</v>
      </c>
    </row>
    <row r="512">
      <c r="A512" s="2">
        <v>0.0</v>
      </c>
      <c r="B512" s="2" t="s">
        <v>2405</v>
      </c>
      <c r="C512" s="2" t="s">
        <v>2405</v>
      </c>
      <c r="D512" s="2" t="s">
        <v>2405</v>
      </c>
      <c r="E512" s="2" t="s">
        <v>576</v>
      </c>
      <c r="F512" s="2" t="s">
        <v>2482</v>
      </c>
      <c r="G512" s="2" t="s">
        <v>2378</v>
      </c>
      <c r="H512" s="5" t="s">
        <v>578</v>
      </c>
      <c r="I512" s="5" t="s">
        <v>577</v>
      </c>
      <c r="V512" s="6" t="str">
        <f>"(Ação da Yum Brands|Ações da Yum Brands|"&amp;H512&amp;"|"&amp;I512&amp;")"</f>
        <v>(Ação da Yum Brands|Ações da Yum Brands|YUMR34|YUMR34F)</v>
      </c>
    </row>
    <row r="513">
      <c r="A513" s="2">
        <v>0.0</v>
      </c>
      <c r="B513" s="2" t="s">
        <v>2405</v>
      </c>
      <c r="C513" s="2" t="s">
        <v>2405</v>
      </c>
      <c r="D513" s="2" t="s">
        <v>2405</v>
      </c>
      <c r="E513" s="2" t="s">
        <v>573</v>
      </c>
      <c r="F513" s="2" t="s">
        <v>2483</v>
      </c>
      <c r="G513" s="2" t="s">
        <v>2378</v>
      </c>
      <c r="H513" s="5" t="s">
        <v>575</v>
      </c>
      <c r="I513" s="5" t="s">
        <v>574</v>
      </c>
      <c r="V513" s="6" t="str">
        <f>"(Ação da Zimmer Biome|Ações da Zimmer Biome|"&amp;H513&amp;"|"&amp;I513&amp;")"</f>
        <v>(Ação da Zimmer Biome|Ações da Zimmer Biome|Z1BH34|Z1BH34F)</v>
      </c>
    </row>
    <row r="514">
      <c r="A514" s="2">
        <v>0.0</v>
      </c>
      <c r="B514" s="2" t="s">
        <v>2405</v>
      </c>
      <c r="C514" s="2" t="s">
        <v>2405</v>
      </c>
      <c r="D514" s="2" t="s">
        <v>2405</v>
      </c>
      <c r="E514" s="2" t="s">
        <v>570</v>
      </c>
      <c r="F514" s="2" t="s">
        <v>2484</v>
      </c>
      <c r="G514" s="2" t="s">
        <v>2378</v>
      </c>
      <c r="H514" s="5" t="s">
        <v>572</v>
      </c>
      <c r="I514" s="5" t="s">
        <v>571</v>
      </c>
      <c r="V514" s="6" t="str">
        <f>"(Ação da Zionsbancorp|Ações da Zionsbancorp|"&amp;H514&amp;"|"&amp;I514&amp;")"</f>
        <v>(Ação da Zionsbancorp|Ações da Zionsbancorp|Z1IO34|Z1IO34F)</v>
      </c>
    </row>
    <row r="515">
      <c r="A515" s="2">
        <v>0.0</v>
      </c>
      <c r="B515" s="2" t="s">
        <v>2405</v>
      </c>
      <c r="C515" s="2" t="s">
        <v>2405</v>
      </c>
      <c r="D515" s="2" t="s">
        <v>2405</v>
      </c>
      <c r="E515" s="2" t="s">
        <v>2485</v>
      </c>
      <c r="F515" s="2" t="s">
        <v>2486</v>
      </c>
      <c r="G515" s="2" t="s">
        <v>2378</v>
      </c>
      <c r="H515" s="5" t="s">
        <v>569</v>
      </c>
      <c r="I515" s="5" t="s">
        <v>568</v>
      </c>
      <c r="V515" s="6" t="str">
        <f>"(Ação da Zoetis|Ações da Zoetis|"&amp;H515&amp;"|"&amp;I515&amp;")"</f>
        <v>(Ação da Zoetis|Ações da Zoetis|Z1TS34|Z1TS34F)</v>
      </c>
    </row>
    <row r="516">
      <c r="A516" s="2">
        <v>0.0</v>
      </c>
      <c r="B516" s="2" t="s">
        <v>507</v>
      </c>
      <c r="C516" s="2" t="s">
        <v>1025</v>
      </c>
      <c r="D516" s="2" t="s">
        <v>1026</v>
      </c>
      <c r="E516" s="4" t="s">
        <v>511</v>
      </c>
      <c r="F516" s="2" t="s">
        <v>2487</v>
      </c>
      <c r="G516" s="2" t="s">
        <v>2378</v>
      </c>
      <c r="H516" s="5" t="s">
        <v>513</v>
      </c>
      <c r="I516" s="5" t="s">
        <v>512</v>
      </c>
      <c r="V516" s="6" t="str">
        <f>"(Ação da Freeport|Ações da Freeport|"&amp;H516&amp;"|"&amp;I516&amp;")"</f>
        <v>(Ação da Freeport|Ações da Freeport|FCXO34|FCXO34F)</v>
      </c>
    </row>
    <row r="517">
      <c r="A517" s="2">
        <v>0.0</v>
      </c>
      <c r="B517" s="2" t="s">
        <v>375</v>
      </c>
      <c r="C517" s="2" t="s">
        <v>2195</v>
      </c>
      <c r="D517" s="2" t="s">
        <v>2488</v>
      </c>
      <c r="E517" s="4" t="s">
        <v>498</v>
      </c>
      <c r="F517" s="2" t="s">
        <v>2208</v>
      </c>
      <c r="G517" s="2" t="s">
        <v>1001</v>
      </c>
      <c r="H517" s="5" t="s">
        <v>499</v>
      </c>
      <c r="I517" s="43" t="s">
        <v>2209</v>
      </c>
      <c r="V517" s="6" t="str">
        <f>"(Ação da BB seguradora|Ações da BB Seguradora|"&amp;H517&amp;"|"&amp;I517&amp;")"</f>
        <v>(Ação da BB seguradora|Ações da BB Seguradora|BBSE3|BBSE3F)</v>
      </c>
    </row>
    <row r="518">
      <c r="A518" s="2">
        <v>0.0</v>
      </c>
      <c r="B518" s="2" t="s">
        <v>375</v>
      </c>
      <c r="C518" s="2" t="s">
        <v>2278</v>
      </c>
      <c r="D518" s="2" t="s">
        <v>2278</v>
      </c>
      <c r="E518" s="2" t="s">
        <v>417</v>
      </c>
      <c r="F518" s="2" t="s">
        <v>2489</v>
      </c>
      <c r="G518" s="2" t="s">
        <v>2378</v>
      </c>
      <c r="H518" s="5" t="s">
        <v>419</v>
      </c>
      <c r="I518" s="5" t="s">
        <v>418</v>
      </c>
      <c r="V518" s="6" t="str">
        <f>"(Ação da 3M|Ações da 3M|"&amp;H518&amp;"|"&amp;I518&amp;")"</f>
        <v>(Ação da 3M|Ações da 3M|MMMC34|MMMC34F)</v>
      </c>
    </row>
    <row r="519">
      <c r="A519" s="2">
        <v>0.0</v>
      </c>
      <c r="B519" s="2" t="s">
        <v>375</v>
      </c>
      <c r="C519" s="2" t="s">
        <v>2024</v>
      </c>
      <c r="D519" s="2" t="s">
        <v>2025</v>
      </c>
      <c r="E519" s="2" t="s">
        <v>414</v>
      </c>
      <c r="F519" s="2" t="s">
        <v>2490</v>
      </c>
      <c r="G519" s="2" t="s">
        <v>2378</v>
      </c>
      <c r="H519" s="5" t="s">
        <v>416</v>
      </c>
      <c r="I519" s="2" t="s">
        <v>415</v>
      </c>
      <c r="V519" s="6" t="str">
        <f>"(Ação do Bank America|Ações do Bank America|"&amp;H519&amp;"|"&amp;I519&amp;")"</f>
        <v>(Ação do Bank America|Ações do Bank America|BOAC34|BOAC34F)</v>
      </c>
    </row>
    <row r="520">
      <c r="A520" s="2">
        <v>0.0</v>
      </c>
      <c r="B520" s="2" t="s">
        <v>375</v>
      </c>
      <c r="C520" s="2" t="s">
        <v>2024</v>
      </c>
      <c r="D520" s="2" t="s">
        <v>2025</v>
      </c>
      <c r="E520" s="2" t="s">
        <v>411</v>
      </c>
      <c r="F520" s="2" t="s">
        <v>2491</v>
      </c>
      <c r="G520" s="2" t="s">
        <v>2378</v>
      </c>
      <c r="H520" s="5" t="s">
        <v>413</v>
      </c>
      <c r="I520" s="2" t="s">
        <v>412</v>
      </c>
      <c r="V520" s="6" t="str">
        <f>"(Ação do Citigroup|Ações do Citigroup|"&amp;H520&amp;"|"&amp;I520&amp;")"</f>
        <v>(Ação do Citigroup|Ações do Citigroup|CTGP34|CTGP34F)</v>
      </c>
    </row>
    <row r="521">
      <c r="A521" s="2">
        <v>0.0</v>
      </c>
      <c r="B521" s="2" t="s">
        <v>375</v>
      </c>
      <c r="C521" s="2" t="s">
        <v>2024</v>
      </c>
      <c r="D521" s="2" t="s">
        <v>2025</v>
      </c>
      <c r="E521" s="2" t="s">
        <v>408</v>
      </c>
      <c r="F521" s="2" t="s">
        <v>2492</v>
      </c>
      <c r="G521" s="2" t="s">
        <v>2378</v>
      </c>
      <c r="H521" s="5" t="s">
        <v>410</v>
      </c>
      <c r="I521" s="5" t="s">
        <v>409</v>
      </c>
      <c r="V521" s="6" t="str">
        <f>"(Ação da Goldman Sachs|Ações da Goldman Sachs|"&amp;H521&amp;"|"&amp;I521&amp;")"</f>
        <v>(Ação da Goldman Sachs|Ações da Goldman Sachs|GSGI34|GSGI34F)</v>
      </c>
    </row>
    <row r="522">
      <c r="A522" s="2">
        <v>0.0</v>
      </c>
      <c r="B522" s="2" t="s">
        <v>375</v>
      </c>
      <c r="C522" s="2" t="s">
        <v>2278</v>
      </c>
      <c r="D522" s="2" t="s">
        <v>2278</v>
      </c>
      <c r="E522" s="2" t="s">
        <v>405</v>
      </c>
      <c r="F522" s="2" t="s">
        <v>2493</v>
      </c>
      <c r="G522" s="2" t="s">
        <v>2378</v>
      </c>
      <c r="H522" s="5" t="s">
        <v>407</v>
      </c>
      <c r="I522" s="5" t="s">
        <v>406</v>
      </c>
      <c r="V522" s="6" t="str">
        <f>"(Ação da GE|Ações da GE|"&amp;H522&amp;"|"&amp;I522&amp;")"</f>
        <v>(Ação da GE|Ações da GE|GEOO34|GEOO34F)</v>
      </c>
    </row>
    <row r="523">
      <c r="A523" s="2">
        <v>0.0</v>
      </c>
      <c r="B523" s="2" t="s">
        <v>375</v>
      </c>
      <c r="C523" s="2" t="s">
        <v>2278</v>
      </c>
      <c r="D523" s="2" t="s">
        <v>2278</v>
      </c>
      <c r="E523" s="2" t="s">
        <v>402</v>
      </c>
      <c r="F523" s="2" t="s">
        <v>2494</v>
      </c>
      <c r="G523" s="2" t="s">
        <v>2378</v>
      </c>
      <c r="H523" s="5" t="s">
        <v>404</v>
      </c>
      <c r="I523" s="5" t="s">
        <v>403</v>
      </c>
      <c r="V523" s="6" t="str">
        <f>"(Ação da Honeywell|Ações da Honeywell|"&amp;H523&amp;"|"&amp;I523&amp;")"</f>
        <v>(Ação da Honeywell|Ações da Honeywell|HONB34|HONB34F)</v>
      </c>
    </row>
    <row r="524">
      <c r="A524" s="2">
        <v>0.0</v>
      </c>
      <c r="B524" s="2" t="s">
        <v>375</v>
      </c>
      <c r="C524" s="2" t="s">
        <v>2024</v>
      </c>
      <c r="D524" s="2" t="s">
        <v>2025</v>
      </c>
      <c r="E524" s="2" t="s">
        <v>399</v>
      </c>
      <c r="F524" s="2" t="s">
        <v>2495</v>
      </c>
      <c r="G524" s="2" t="s">
        <v>2378</v>
      </c>
      <c r="H524" s="5" t="s">
        <v>401</v>
      </c>
      <c r="I524" s="5" t="s">
        <v>400</v>
      </c>
      <c r="V524" s="6" t="str">
        <f>"(Ação da JPMorgan|Ações da JPMorgan|"&amp;H524&amp;"|"&amp;I524&amp;")"</f>
        <v>(Ação da JPMorgan|Ações da JPMorgan|JPMC34|JPMC34F)</v>
      </c>
    </row>
    <row r="525">
      <c r="A525" s="2">
        <v>0.0</v>
      </c>
      <c r="B525" s="2" t="s">
        <v>375</v>
      </c>
      <c r="C525" s="2" t="s">
        <v>2170</v>
      </c>
      <c r="D525" s="2" t="s">
        <v>2170</v>
      </c>
      <c r="E525" s="2" t="s">
        <v>396</v>
      </c>
      <c r="F525" s="2" t="s">
        <v>2496</v>
      </c>
      <c r="G525" s="2" t="s">
        <v>2378</v>
      </c>
      <c r="H525" s="5" t="s">
        <v>398</v>
      </c>
      <c r="I525" s="5" t="s">
        <v>397</v>
      </c>
      <c r="V525" s="6" t="str">
        <f>"(Ação da Mastercard|Ações da Mastercard|"&amp;H525&amp;"|"&amp;I525&amp;")"</f>
        <v>(Ação da Mastercard|Ações da Mastercard|MSCD34|MSCD34F)</v>
      </c>
    </row>
    <row r="526">
      <c r="A526" s="2">
        <v>0.0</v>
      </c>
      <c r="B526" s="2" t="s">
        <v>375</v>
      </c>
      <c r="C526" s="2" t="s">
        <v>2170</v>
      </c>
      <c r="D526" s="2" t="s">
        <v>2170</v>
      </c>
      <c r="E526" s="2" t="s">
        <v>393</v>
      </c>
      <c r="F526" s="2" t="s">
        <v>2497</v>
      </c>
      <c r="G526" s="2" t="s">
        <v>2378</v>
      </c>
      <c r="H526" s="5" t="s">
        <v>394</v>
      </c>
      <c r="I526" s="12" t="s">
        <v>395</v>
      </c>
      <c r="V526" s="6" t="str">
        <f>"(Ação da Morgan Stanley|Ações da Coca-Cola|"&amp;H526&amp;"|"&amp;I526&amp;")"</f>
        <v>(Ação da Morgan Stanley|Ações da Coca-Cola|MSBR34F|MSBR34)</v>
      </c>
    </row>
    <row r="527">
      <c r="A527" s="2">
        <v>0.0</v>
      </c>
      <c r="B527" s="2" t="s">
        <v>375</v>
      </c>
      <c r="C527" s="2" t="s">
        <v>2170</v>
      </c>
      <c r="D527" s="2" t="s">
        <v>2170</v>
      </c>
      <c r="E527" s="2" t="s">
        <v>390</v>
      </c>
      <c r="F527" s="2" t="s">
        <v>2498</v>
      </c>
      <c r="G527" s="2" t="s">
        <v>2378</v>
      </c>
      <c r="H527" s="5" t="s">
        <v>392</v>
      </c>
      <c r="I527" s="2" t="s">
        <v>391</v>
      </c>
      <c r="V527" s="6" t="str">
        <f>"(Ação da Visa|Ações da Visa|"&amp;H527&amp;"|"&amp;I527&amp;")"</f>
        <v>(Ação da Visa|Ações da Visa|VISA34|VISA34F)</v>
      </c>
    </row>
    <row r="528">
      <c r="A528" s="2">
        <v>0.0</v>
      </c>
      <c r="B528" s="2" t="s">
        <v>375</v>
      </c>
      <c r="C528" s="2" t="s">
        <v>2024</v>
      </c>
      <c r="D528" s="2" t="s">
        <v>2025</v>
      </c>
      <c r="E528" s="2" t="s">
        <v>387</v>
      </c>
      <c r="F528" s="2" t="s">
        <v>2499</v>
      </c>
      <c r="G528" s="2" t="s">
        <v>2378</v>
      </c>
      <c r="H528" s="5" t="s">
        <v>389</v>
      </c>
      <c r="I528" s="5" t="s">
        <v>388</v>
      </c>
      <c r="V528" s="6" t="str">
        <f>"(Ação da Wells Fargo|Ações da Wells Fargo|"&amp;H528&amp;"|"&amp;I528&amp;")"</f>
        <v>(Ação da Wells Fargo|Ações da Wells Fargo|WFCO34|WFCO34F)</v>
      </c>
    </row>
    <row r="529">
      <c r="A529" s="2">
        <v>0.0</v>
      </c>
      <c r="B529" s="2" t="s">
        <v>165</v>
      </c>
      <c r="C529" s="2" t="s">
        <v>1507</v>
      </c>
      <c r="D529" s="2" t="s">
        <v>1508</v>
      </c>
      <c r="E529" s="2" t="s">
        <v>321</v>
      </c>
      <c r="F529" s="2" t="s">
        <v>2500</v>
      </c>
      <c r="G529" s="2" t="s">
        <v>2378</v>
      </c>
      <c r="H529" s="5" t="s">
        <v>372</v>
      </c>
      <c r="I529" s="2" t="s">
        <v>322</v>
      </c>
      <c r="V529" s="6" t="str">
        <f>"(Ação da Procter &amp; Gamble|Ações da Procter &amp; Gamble|"&amp;H529&amp;"|"&amp;I529&amp;")"</f>
        <v>(Ação da Procter &amp; Gamble|Ações da Procter &amp; Gamble|PGCO34|PGCO34F)</v>
      </c>
    </row>
    <row r="530">
      <c r="A530" s="2">
        <v>0.0</v>
      </c>
      <c r="B530" s="2" t="s">
        <v>1444</v>
      </c>
      <c r="C530" s="2" t="s">
        <v>1502</v>
      </c>
      <c r="D530" s="2" t="s">
        <v>1503</v>
      </c>
      <c r="E530" s="2" t="s">
        <v>329</v>
      </c>
      <c r="F530" s="2" t="s">
        <v>2501</v>
      </c>
      <c r="G530" s="2" t="s">
        <v>2378</v>
      </c>
      <c r="H530" s="5" t="s">
        <v>331</v>
      </c>
      <c r="I530" s="2" t="s">
        <v>330</v>
      </c>
      <c r="V530" s="6" t="str">
        <f>"(Ação da Coca-Cola|Ações da Coca-Cola|"&amp;H530&amp;"|"&amp;I530&amp;")"</f>
        <v>(Ação da Coca-Cola|Ações da Coca-Cola|COCA34|COCA34F)</v>
      </c>
    </row>
    <row r="531">
      <c r="A531" s="2">
        <v>0.0</v>
      </c>
      <c r="B531" s="2" t="s">
        <v>1444</v>
      </c>
      <c r="C531" s="2" t="s">
        <v>1507</v>
      </c>
      <c r="D531" s="2" t="s">
        <v>1508</v>
      </c>
      <c r="E531" s="2" t="s">
        <v>326</v>
      </c>
      <c r="F531" s="2" t="s">
        <v>2502</v>
      </c>
      <c r="G531" s="2" t="s">
        <v>2378</v>
      </c>
      <c r="H531" s="5" t="s">
        <v>328</v>
      </c>
      <c r="I531" s="2" t="s">
        <v>327</v>
      </c>
      <c r="V531" s="6" t="str">
        <f>"(Ação da Colgate|Ações da Colgate|"&amp;H531&amp;"|"&amp;I531&amp;")"</f>
        <v>(Ação da Colgate|Ações da Colgate|COLG34|COLG34F)</v>
      </c>
    </row>
    <row r="532">
      <c r="A532" s="2">
        <v>0.0</v>
      </c>
      <c r="B532" s="2" t="s">
        <v>1444</v>
      </c>
      <c r="C532" s="2" t="s">
        <v>1502</v>
      </c>
      <c r="D532" s="2" t="s">
        <v>1503</v>
      </c>
      <c r="E532" s="2" t="s">
        <v>323</v>
      </c>
      <c r="F532" s="2" t="s">
        <v>2503</v>
      </c>
      <c r="G532" s="2" t="s">
        <v>2378</v>
      </c>
      <c r="H532" s="5" t="s">
        <v>325</v>
      </c>
      <c r="I532" s="2" t="s">
        <v>324</v>
      </c>
      <c r="V532" s="6" t="str">
        <f>"(Ação da pepsico|Ações da pepsico|"&amp;H532&amp;"|"&amp;I532&amp;")"</f>
        <v>(Ação da pepsico|Ações da pepsico|PEPB34|PEPB34F)</v>
      </c>
    </row>
    <row r="533">
      <c r="A533" s="2">
        <v>0.0</v>
      </c>
      <c r="B533" s="2" t="s">
        <v>1444</v>
      </c>
      <c r="C533" s="2" t="s">
        <v>1514</v>
      </c>
      <c r="D533" s="2" t="s">
        <v>1515</v>
      </c>
      <c r="E533" s="4" t="s">
        <v>317</v>
      </c>
      <c r="F533" s="2" t="s">
        <v>318</v>
      </c>
      <c r="G533" s="2" t="s">
        <v>2378</v>
      </c>
      <c r="H533" s="37" t="s">
        <v>318</v>
      </c>
      <c r="I533" s="37" t="s">
        <v>319</v>
      </c>
      <c r="V533" s="6" t="str">
        <f>"(Ação do Walmart|Ações do Walmart|"&amp;H533&amp;"|"&amp;I533&amp;")"</f>
        <v>(Ação do Walmart|Ações do Walmart|WALM34F|WALM34)</v>
      </c>
    </row>
  </sheetData>
  <autoFilter ref="$A$1:$V$533"/>
  <customSheetViews>
    <customSheetView guid="{AAB0FE73-7724-42EF-8104-7F9501FD80CF}" filter="1" showAutoFilter="1">
      <autoFilter ref="$A$1:$L$500">
        <filterColumn colId="7">
          <filters>
            <filter val="ASCP"/>
            <filter val="TEPE"/>
            <filter val="MMAQ3"/>
            <filter val="WABC34"/>
            <filter val="DTCY3"/>
            <filter val="OMGE3"/>
            <filter val="REDE3"/>
            <filter val="BBSE3"/>
            <filter val="U1AI34F"/>
            <filter val="MILS3"/>
            <filter val="TRIA"/>
            <filter val="U1HS34F"/>
            <filter val="BETP3B"/>
            <filter val="UCAS3"/>
            <filter val="CEEB5"/>
            <filter val="PINE3"/>
            <filter val="W1EL34"/>
            <filter val="PATI3"/>
            <filter val="CABI3B"/>
            <filter val="RDVT"/>
            <filter val="OPGM3B"/>
            <filter val="SHOW3"/>
            <filter val="MGIP"/>
            <filter val="BMKS3"/>
            <filter val="FRRN3B"/>
            <filter val="CTBA"/>
            <filter val="WSON33"/>
            <filter val="RBRA"/>
            <filter val="TIMS3"/>
            <filter val="ITPB"/>
            <filter val="STTZ"/>
            <filter val="BZRS"/>
            <filter val="GASC"/>
            <filter val="MEAL3"/>
            <filter val="FIGE3"/>
            <filter val="STKF3"/>
            <filter val="GPAR3"/>
            <filter val="MSPA3"/>
            <filter val="GOAU3"/>
            <filter val="FNCN3"/>
            <filter val="BSCS"/>
            <filter val="BAUH4"/>
            <filter val="FLEX3"/>
            <filter val="DOHL3"/>
            <filter val="JPSA3"/>
            <filter val="LTEL3B"/>
            <filter val="PPAR3"/>
            <filter val="ELET3"/>
            <filter val="DTEX3"/>
            <filter val="W1AB34"/>
            <filter val="CSMG3"/>
            <filter val="MAPT3"/>
            <filter val="APCS"/>
            <filter val="JMCD"/>
            <filter val="JOPA3"/>
            <filter val="MGEL3"/>
            <filter val="BMEB3"/>
            <filter val="CSRN3"/>
            <filter val="CSAN3"/>
            <filter val="EKTR3"/>
            <filter val="WIZS3"/>
            <filter val="W1LT34"/>
            <filter val="CRBD"/>
            <filter val="ABCB10"/>
            <filter val="AGRU"/>
            <filter val="MTSA3"/>
            <filter val="LCAM3"/>
            <filter val="GPIV33"/>
            <filter val="GGBR3"/>
            <filter val="FGEN"/>
            <filter val="TGMA3"/>
            <filter val="RPTA"/>
            <filter val="VOES"/>
            <filter val="EMAE4"/>
            <filter val="VERT"/>
            <filter val="CBEE3"/>
            <filter val="PRNR3"/>
            <filter val="MOAR3"/>
            <filter val="CMSA3"/>
            <filter val="QUSW3"/>
            <filter val="PMSP"/>
            <filter val="TEKA4"/>
            <filter val="MNPR3"/>
            <filter val="SEQL3"/>
            <filter val="BDLS"/>
            <filter val="PRPT3B"/>
            <filter val="PPLA11"/>
            <filter val="HETA4"/>
            <filter val="TXRX4"/>
            <filter val="NRTQ3"/>
            <filter val="IDVL3"/>
            <filter val="BFRE"/>
            <filter val="PLSC"/>
            <filter val="BAHI3"/>
            <filter val="AZEV3"/>
            <filter val="TKNO3F"/>
            <filter val="TCNO3"/>
            <filter val="CATA3"/>
            <filter val="SLCT3B"/>
            <filter val="RCSL3"/>
            <filter val="CIEL3"/>
            <filter val="CNSY3"/>
            <filter val="CRPG3"/>
            <filter val="BRIV3"/>
            <filter val="TESA12"/>
            <filter val="ESCE"/>
            <filter val="BOBR4"/>
            <filter val="PDTC3"/>
            <filter val="ENGI3"/>
            <filter val="DBEN"/>
            <filter val="VIVR3"/>
            <filter val="JBDU3"/>
            <filter val="WTPI"/>
            <filter val="SULA11"/>
            <filter val="PDGS"/>
            <filter val="BNDP"/>
            <filter val="TRIS3"/>
            <filter val="WGBA34"/>
            <filter val="BNBR3"/>
            <filter val="CORR3"/>
            <filter val="OPTS3B"/>
            <filter val="VRSN34"/>
            <filter val="ENMT4"/>
            <filter val="DASA3"/>
            <filter val="SOND3"/>
            <filter val="TECN3"/>
            <filter val="SNST"/>
            <filter val="RPAD3"/>
            <filter val="JFEN3"/>
            <filter val="CCPR3"/>
            <filter val="ERDV"/>
            <filter val="BEES3"/>
            <filter val="AESL3"/>
            <filter val="LUXM3"/>
            <filter val="PRBC"/>
            <filter val="RANI4"/>
            <filter val="CPFP"/>
            <filter val="TEND3"/>
            <filter val="TUPY3"/>
            <filter val="W1HR34"/>
            <filter val="CPFG"/>
            <filter val="BBML3"/>
            <filter val="ANHB"/>
            <filter val="PRMN3B"/>
            <filter val="VLYB34"/>
            <filter val="LMED3"/>
            <filter val="CRIV3"/>
            <filter val="TMPE"/>
            <filter val="GNDI3"/>
            <filter val="W1DA34"/>
            <filter val="ROMI3"/>
            <filter val="CSAB3"/>
            <filter val="LIGT3"/>
            <filter val="AZUL4"/>
            <filter val="AHEB3"/>
            <filter val="PTNT4"/>
            <filter val="EBEN"/>
            <filter val="RSUL3"/>
            <filter val="VSPT1"/>
            <filter val="BPAC11"/>
            <filter val="U1BE34F"/>
            <filter val="UPKP3B"/>
            <filter val="BRQB3"/>
            <filter val="NUTR3"/>
            <filter val="PTCA11"/>
            <filter val="ALEF3B"/>
            <filter val="CTSA3"/>
            <filter val="BGIP3"/>
            <filter val="ALGT"/>
            <filter val="INTT3"/>
            <filter val="U1DR34F"/>
            <filter val="SQIA3"/>
            <filter val="PLAS3"/>
            <filter val="HBTS3"/>
            <filter val="ABEV3"/>
            <filter val="MSRO3"/>
            <filter val="LTLA3B"/>
            <filter val="GUAR3"/>
            <filter val="ATMP3"/>
            <filter val="MCRJ"/>
            <filter val="B3SA3"/>
            <filter val="BTOW3"/>
            <filter val="WTVR"/>
            <filter val="W1EC34"/>
            <filter val="APTI3"/>
            <filter val="BRGE11"/>
            <filter val="BAZA3"/>
            <filter val="NORD3"/>
            <filter val="U1NM34F"/>
            <filter val="TXSA34F"/>
            <filter val="MRSA"/>
            <filter val="PEAB3"/>
            <filter val="KEPL11"/>
            <filter val="VULC3"/>
            <filter val="W1YN34"/>
            <filter val="PSVM11"/>
            <filter val="ECOR3"/>
            <filter val="ATOM3"/>
            <filter val="ECNT"/>
            <filter val="CMGT"/>
            <filter val="ECOA"/>
            <filter val="CRDE3"/>
            <filter val="FHER3"/>
            <filter val="CMGD"/>
            <filter val="OPHE3B"/>
            <filter val="SNSY3"/>
            <filter val="U1LT34F"/>
            <filter val="WATC34"/>
            <filter val="STEN"/>
            <filter val="CBSC"/>
            <filter val="COLN"/>
            <filter val="CALI3"/>
            <filter val="CCRO3"/>
            <filter val="OPSE3B"/>
            <filter val="ECPR3"/>
            <filter val="GAFL"/>
            <filter val="PALF"/>
            <filter val="SGPS3"/>
            <filter val="HAGA3"/>
            <filter val="CNTO3"/>
            <filter val="FRTA3"/>
            <filter val="MWET3"/>
            <filter val="ECOV"/>
            <filter val="PFRM3"/>
            <filter val="CACO3B"/>
            <filter val="ENER"/>
            <filter val="W1MB34"/>
            <filter val="BKBR3"/>
            <filter val="HAPV3"/>
            <filter val="ODER3"/>
            <filter val="GAIA"/>
            <filter val="W1RK34"/>
            <filter val="JSLG11"/>
            <filter val="QVQP3B"/>
            <filter val="ENBR3"/>
            <filter val="CRTE3B"/>
            <filter val="WLMM4"/>
            <filter val="OCTS"/>
            <filter val="ADHM3"/>
            <filter val="IGSN3"/>
            <filter val="EQTL3"/>
            <filter val="W1MC34"/>
            <filter val="FRIO3"/>
            <filter val="CPTE"/>
            <filter val="LIPR3"/>
            <filter val="W1DC34"/>
            <filter val="LOGN3"/>
            <filter val="MNZC3B"/>
            <filter val="MTIG3"/>
            <filter val="SLCE3"/>
            <filter val="UNHH34F"/>
            <filter val="GMAT3"/>
            <filter val="EQPA5"/>
            <filter val="VRTX34"/>
            <filter val="EMBR3"/>
            <filter val="STTR3"/>
            <filter val="GPCP3"/>
            <filter val="SMTF3"/>
            <filter val="SAIP"/>
            <filter val="RESA"/>
            <filter val="IVPR3B"/>
            <filter val="CAMB3"/>
            <filter val="W1YC34"/>
            <filter val="EQMA3B"/>
          </filters>
        </filterColumn>
      </autoFilter>
    </customSheetView>
    <customSheetView guid="{B6B21839-C3D4-4CE6-9153-5B03C56252CC}" filter="1" showAutoFilter="1">
      <autoFilter ref="$A$1:$M$425">
        <filterColumn colId="0">
          <filters>
            <filter val="1"/>
          </filters>
        </filterColumn>
      </autoFilter>
    </customSheetView>
  </customSheetViews>
  <hyperlinks>
    <hyperlink r:id="rId1" ref="I186"/>
    <hyperlink r:id="rId2" ref="J186"/>
    <hyperlink r:id="rId3" ref="I221"/>
    <hyperlink r:id="rId4" ref="H451"/>
    <hyperlink r:id="rId5" ref="I451"/>
    <hyperlink r:id="rId6" ref="H452"/>
    <hyperlink r:id="rId7" ref="I452"/>
    <hyperlink r:id="rId8" ref="H454"/>
    <hyperlink r:id="rId9" ref="I454"/>
    <hyperlink r:id="rId10" ref="H455"/>
    <hyperlink r:id="rId11" ref="I455"/>
    <hyperlink r:id="rId12" ref="H456"/>
    <hyperlink r:id="rId13" ref="I456"/>
    <hyperlink r:id="rId14" ref="H457"/>
    <hyperlink r:id="rId15" ref="I457"/>
    <hyperlink r:id="rId16" ref="H458"/>
    <hyperlink r:id="rId17" ref="I458"/>
    <hyperlink r:id="rId18" ref="H469"/>
    <hyperlink r:id="rId19" ref="I469"/>
    <hyperlink r:id="rId20" ref="H504"/>
    <hyperlink r:id="rId21" ref="I504"/>
    <hyperlink r:id="rId22" ref="H505"/>
    <hyperlink r:id="rId23" ref="I505"/>
    <hyperlink r:id="rId24" ref="H506"/>
    <hyperlink r:id="rId25" ref="I506"/>
    <hyperlink r:id="rId26" ref="H507"/>
    <hyperlink r:id="rId27" ref="H509"/>
    <hyperlink r:id="rId28" ref="I509"/>
    <hyperlink r:id="rId29" ref="H510"/>
    <hyperlink r:id="rId30" ref="I510"/>
    <hyperlink r:id="rId31" ref="H511"/>
    <hyperlink r:id="rId32" ref="I511"/>
    <hyperlink r:id="rId33" ref="H512"/>
    <hyperlink r:id="rId34" ref="I512"/>
    <hyperlink r:id="rId35" ref="H513"/>
    <hyperlink r:id="rId36" ref="I513"/>
    <hyperlink r:id="rId37" ref="H514"/>
    <hyperlink r:id="rId38" ref="I514"/>
    <hyperlink r:id="rId39" ref="H515"/>
    <hyperlink r:id="rId40" ref="I515"/>
    <hyperlink r:id="rId41" ref="H516"/>
    <hyperlink r:id="rId42" ref="I516"/>
    <hyperlink r:id="rId43" ref="H517"/>
    <hyperlink r:id="rId44" ref="H518"/>
    <hyperlink r:id="rId45" ref="I518"/>
    <hyperlink r:id="rId46" ref="H519"/>
    <hyperlink r:id="rId47" ref="H520"/>
    <hyperlink r:id="rId48" ref="H521"/>
    <hyperlink r:id="rId49" ref="I521"/>
    <hyperlink r:id="rId50" ref="H522"/>
    <hyperlink r:id="rId51" ref="I522"/>
    <hyperlink r:id="rId52" ref="H523"/>
    <hyperlink r:id="rId53" ref="I523"/>
    <hyperlink r:id="rId54" ref="H524"/>
    <hyperlink r:id="rId55" ref="I524"/>
    <hyperlink r:id="rId56" ref="H525"/>
    <hyperlink r:id="rId57" ref="I525"/>
    <hyperlink r:id="rId58" ref="H526"/>
    <hyperlink r:id="rId59" ref="I526"/>
    <hyperlink r:id="rId60" ref="H527"/>
    <hyperlink r:id="rId61" ref="H528"/>
    <hyperlink r:id="rId62" ref="I528"/>
    <hyperlink r:id="rId63" ref="H529"/>
    <hyperlink r:id="rId64" ref="H530"/>
    <hyperlink r:id="rId65" ref="H531"/>
    <hyperlink r:id="rId66" ref="H532"/>
    <hyperlink r:id="rId67" ref="H533"/>
    <hyperlink r:id="rId68" ref="I533"/>
  </hyperlinks>
  <drawing r:id="rId6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4" t="s">
        <v>2521</v>
      </c>
      <c r="B1" s="6" t="s">
        <v>2522</v>
      </c>
      <c r="C1" s="6" t="str">
        <f>A1&amp;" OR "&amp;A2</f>
        <v>CSAN3 OR CSAN3F OR DMMO11 OR DMMO3F OR DMMO3 OR DMMO1</v>
      </c>
    </row>
    <row r="2">
      <c r="A2" s="6" t="s">
        <v>2523</v>
      </c>
      <c r="B2" s="6" t="s">
        <v>2524</v>
      </c>
      <c r="C2" s="6" t="str">
        <f t="shared" ref="C2:C532" si="1">C1&amp;" OR "&amp;A3</f>
        <v>CSAN3 OR CSAN3F OR DMMO11 OR DMMO3F OR DMMO3 OR DMMO1 OR ENAT3</v>
      </c>
    </row>
    <row r="3">
      <c r="A3" s="6" t="s">
        <v>755</v>
      </c>
      <c r="B3" s="6" t="s">
        <v>2525</v>
      </c>
      <c r="C3" s="6" t="str">
        <f t="shared" si="1"/>
        <v>CSAN3 OR CSAN3F OR DMMO11 OR DMMO3F OR DMMO3 OR DMMO1 OR ENAT3 OR RPMG3F OR RPMG3</v>
      </c>
    </row>
    <row r="4">
      <c r="A4" s="6" t="s">
        <v>2526</v>
      </c>
      <c r="B4" s="6" t="s">
        <v>2527</v>
      </c>
      <c r="C4" s="6" t="str">
        <f t="shared" si="1"/>
        <v>CSAN3 OR CSAN3F OR DMMO11 OR DMMO3F OR DMMO3 OR DMMO1 OR ENAT3 OR RPMG3F OR RPMG3 OR PETR4F OR PETR4 OR PETR3F OR PETR3</v>
      </c>
    </row>
    <row r="5">
      <c r="A5" s="6" t="s">
        <v>2528</v>
      </c>
      <c r="B5" s="6" t="s">
        <v>2529</v>
      </c>
      <c r="C5" s="6" t="str">
        <f t="shared" si="1"/>
        <v>CSAN3 OR CSAN3F OR DMMO11 OR DMMO3F OR DMMO3 OR DMMO1 OR ENAT3 OR RPMG3F OR RPMG3 OR PETR4F OR PETR4 OR PETR3F OR PETR3 OR BRDT3</v>
      </c>
    </row>
    <row r="6">
      <c r="A6" s="6" t="s">
        <v>752</v>
      </c>
      <c r="B6" s="6" t="s">
        <v>2530</v>
      </c>
      <c r="C6" s="6" t="str">
        <f t="shared" si="1"/>
        <v>CSAN3 OR CSAN3F OR DMMO11 OR DMMO3F OR DMMO3 OR DMMO1 OR ENAT3 OR RPMG3F OR RPMG3 OR PETR4F OR PETR4 OR PETR3F OR PETR3 OR BRDT3 OR PRIO3F OR PRIO3</v>
      </c>
    </row>
    <row r="7">
      <c r="A7" s="6" t="s">
        <v>2531</v>
      </c>
      <c r="B7" s="6" t="s">
        <v>2532</v>
      </c>
      <c r="C7" s="6" t="str">
        <f t="shared" si="1"/>
        <v>CSAN3 OR CSAN3F OR DMMO11 OR DMMO3F OR DMMO3 OR DMMO1 OR ENAT3 OR RPMG3F OR RPMG3 OR PETR4F OR PETR4 OR PETR3F OR PETR3 OR BRDT3 OR PRIO3F OR PRIO3 OR UGPA3 OR UGPA3F</v>
      </c>
    </row>
    <row r="8">
      <c r="A8" s="6" t="s">
        <v>2533</v>
      </c>
      <c r="B8" s="6" t="s">
        <v>2534</v>
      </c>
      <c r="C8" s="6" t="str">
        <f t="shared" si="1"/>
        <v>CSAN3 OR CSAN3F OR DMMO11 OR DMMO3F OR DMMO3 OR DMMO1 OR ENAT3 OR RPMG3F OR RPMG3 OR PETR4F OR PETR4 OR PETR3F OR PETR3 OR BRDT3 OR PRIO3F OR PRIO3 OR UGPA3 OR UGPA3F OR LUPA3F OR LUPA3 OR LUPA11</v>
      </c>
    </row>
    <row r="9">
      <c r="A9" s="6" t="s">
        <v>2535</v>
      </c>
      <c r="B9" s="6" t="s">
        <v>2536</v>
      </c>
      <c r="C9" s="6" t="str">
        <f t="shared" si="1"/>
        <v>CSAN3 OR CSAN3F OR DMMO11 OR DMMO3F OR DMMO3 OR DMMO1 OR ENAT3 OR RPMG3F OR RPMG3 OR PETR4F OR PETR4 OR PETR3F OR PETR3 OR BRDT3 OR PRIO3F OR PRIO3 OR UGPA3 OR UGPA3F OR LUPA3F OR LUPA3 OR LUPA11 OR OSXB3F OR OSXB3</v>
      </c>
    </row>
    <row r="10">
      <c r="A10" s="6" t="s">
        <v>2537</v>
      </c>
      <c r="B10" s="6" t="s">
        <v>2538</v>
      </c>
      <c r="C10" s="6" t="str">
        <f t="shared" si="1"/>
        <v>CSAN3 OR CSAN3F OR DMMO11 OR DMMO3F OR DMMO3 OR DMMO1 OR ENAT3 OR RPMG3F OR RPMG3 OR PETR4F OR PETR4 OR PETR3F OR PETR3 OR BRDT3 OR PRIO3F OR PRIO3 OR UGPA3 OR UGPA3F OR LUPA3F OR LUPA3 OR LUPA11 OR OSXB3F OR OSXB3 OR BRAP4F OR BRAP4 OR BRAP3F OR BRAP3</v>
      </c>
    </row>
    <row r="11">
      <c r="A11" s="6" t="s">
        <v>2539</v>
      </c>
      <c r="B11" s="6" t="s">
        <v>2540</v>
      </c>
      <c r="C1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v>
      </c>
    </row>
    <row r="12">
      <c r="A12" s="6" t="s">
        <v>2541</v>
      </c>
      <c r="B12" s="6" t="s">
        <v>2542</v>
      </c>
      <c r="C1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v>
      </c>
    </row>
    <row r="13">
      <c r="A13" s="6" t="s">
        <v>1039</v>
      </c>
      <c r="B13" s="6" t="s">
        <v>2543</v>
      </c>
      <c r="C1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v>
      </c>
    </row>
    <row r="14">
      <c r="A14" s="6" t="s">
        <v>2544</v>
      </c>
      <c r="B14" s="6" t="s">
        <v>2545</v>
      </c>
      <c r="C1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v>
      </c>
    </row>
    <row r="15">
      <c r="A15" s="6" t="s">
        <v>2546</v>
      </c>
      <c r="B15" s="6" t="s">
        <v>2547</v>
      </c>
      <c r="C1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v>
      </c>
    </row>
    <row r="16">
      <c r="A16" s="6" t="s">
        <v>2548</v>
      </c>
      <c r="B16" s="6" t="s">
        <v>2549</v>
      </c>
      <c r="C1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v>
      </c>
    </row>
    <row r="17">
      <c r="A17" s="6" t="s">
        <v>2550</v>
      </c>
      <c r="B17" s="6" t="s">
        <v>2551</v>
      </c>
      <c r="C1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v>
      </c>
    </row>
    <row r="18">
      <c r="A18" s="6" t="s">
        <v>2552</v>
      </c>
      <c r="B18" s="6" t="s">
        <v>2553</v>
      </c>
      <c r="C1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v>
      </c>
    </row>
    <row r="19">
      <c r="A19" s="6" t="s">
        <v>2554</v>
      </c>
      <c r="B19" s="6" t="s">
        <v>2555</v>
      </c>
      <c r="C1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v>
      </c>
    </row>
    <row r="20">
      <c r="A20" s="6" t="s">
        <v>2556</v>
      </c>
      <c r="B20" s="6" t="s">
        <v>2557</v>
      </c>
      <c r="C2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v>
      </c>
    </row>
    <row r="21">
      <c r="A21" s="6" t="s">
        <v>2558</v>
      </c>
      <c r="B21" s="6" t="s">
        <v>2559</v>
      </c>
      <c r="C2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v>
      </c>
    </row>
    <row r="22">
      <c r="A22" s="6" t="s">
        <v>2560</v>
      </c>
      <c r="B22" s="6" t="s">
        <v>2561</v>
      </c>
      <c r="C2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v>
      </c>
    </row>
    <row r="23">
      <c r="A23" s="6" t="s">
        <v>2562</v>
      </c>
      <c r="B23" s="6" t="s">
        <v>2563</v>
      </c>
      <c r="C2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v>
      </c>
    </row>
    <row r="24">
      <c r="A24" s="6" t="s">
        <v>2564</v>
      </c>
      <c r="B24" s="6" t="s">
        <v>2565</v>
      </c>
      <c r="C2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v>
      </c>
    </row>
    <row r="25">
      <c r="A25" s="6" t="s">
        <v>2566</v>
      </c>
      <c r="B25" s="6" t="s">
        <v>2567</v>
      </c>
      <c r="C2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v>
      </c>
    </row>
    <row r="26">
      <c r="A26" s="6" t="s">
        <v>2568</v>
      </c>
      <c r="B26" s="6" t="s">
        <v>2569</v>
      </c>
      <c r="C2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v>
      </c>
    </row>
    <row r="27">
      <c r="A27" s="6" t="s">
        <v>2570</v>
      </c>
      <c r="B27" s="6" t="s">
        <v>2571</v>
      </c>
      <c r="C2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v>
      </c>
    </row>
    <row r="28">
      <c r="A28" s="6" t="s">
        <v>2572</v>
      </c>
      <c r="B28" s="6" t="s">
        <v>2573</v>
      </c>
      <c r="C2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v>
      </c>
    </row>
    <row r="29">
      <c r="A29" s="6" t="s">
        <v>2574</v>
      </c>
      <c r="B29" s="6" t="s">
        <v>2575</v>
      </c>
      <c r="C2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v>
      </c>
    </row>
    <row r="30">
      <c r="A30" s="6" t="s">
        <v>2576</v>
      </c>
      <c r="B30" s="6" t="s">
        <v>2577</v>
      </c>
      <c r="C3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v>
      </c>
    </row>
    <row r="31">
      <c r="A31" s="6" t="s">
        <v>2578</v>
      </c>
      <c r="B31" s="6" t="s">
        <v>2579</v>
      </c>
      <c r="C3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v>
      </c>
    </row>
    <row r="32">
      <c r="A32" s="6" t="s">
        <v>2580</v>
      </c>
      <c r="B32" s="6" t="s">
        <v>2581</v>
      </c>
      <c r="C3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v>
      </c>
    </row>
    <row r="33">
      <c r="A33" s="6" t="s">
        <v>2582</v>
      </c>
      <c r="B33" s="6" t="s">
        <v>2583</v>
      </c>
      <c r="C3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v>
      </c>
    </row>
    <row r="34">
      <c r="A34" s="6" t="s">
        <v>2584</v>
      </c>
      <c r="B34" s="6" t="s">
        <v>2585</v>
      </c>
      <c r="C3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v>
      </c>
    </row>
    <row r="35">
      <c r="A35" s="6" t="s">
        <v>2586</v>
      </c>
      <c r="B35" s="6" t="s">
        <v>2587</v>
      </c>
      <c r="C3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v>
      </c>
    </row>
    <row r="36">
      <c r="A36" s="6" t="s">
        <v>1141</v>
      </c>
      <c r="B36" s="6" t="s">
        <v>2588</v>
      </c>
      <c r="C3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v>
      </c>
    </row>
    <row r="37">
      <c r="A37" s="6" t="s">
        <v>2589</v>
      </c>
      <c r="B37" s="6" t="s">
        <v>2590</v>
      </c>
      <c r="C3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v>
      </c>
    </row>
    <row r="38">
      <c r="A38" s="6" t="s">
        <v>2591</v>
      </c>
      <c r="B38" s="6" t="s">
        <v>2592</v>
      </c>
      <c r="C3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v>
      </c>
    </row>
    <row r="39">
      <c r="A39" s="6" t="s">
        <v>2593</v>
      </c>
      <c r="B39" s="6" t="s">
        <v>2594</v>
      </c>
      <c r="C3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v>
      </c>
    </row>
    <row r="40">
      <c r="A40" s="6" t="s">
        <v>2595</v>
      </c>
      <c r="B40" s="6" t="s">
        <v>2596</v>
      </c>
      <c r="C4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v>
      </c>
    </row>
    <row r="41">
      <c r="A41" s="6" t="s">
        <v>2597</v>
      </c>
      <c r="B41" s="6" t="s">
        <v>2598</v>
      </c>
      <c r="C4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v>
      </c>
    </row>
    <row r="42">
      <c r="A42" s="6" t="s">
        <v>2599</v>
      </c>
      <c r="B42" s="6" t="s">
        <v>2600</v>
      </c>
      <c r="C4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v>
      </c>
    </row>
    <row r="43">
      <c r="A43" s="6" t="s">
        <v>2601</v>
      </c>
      <c r="B43" s="6" t="s">
        <v>2602</v>
      </c>
      <c r="C4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v>
      </c>
    </row>
    <row r="44">
      <c r="A44" s="6" t="s">
        <v>2603</v>
      </c>
      <c r="B44" s="6" t="s">
        <v>2604</v>
      </c>
      <c r="C4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v>
      </c>
    </row>
    <row r="45">
      <c r="A45" s="6" t="s">
        <v>2605</v>
      </c>
      <c r="B45" s="6" t="s">
        <v>2606</v>
      </c>
      <c r="C4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v>
      </c>
    </row>
    <row r="46">
      <c r="A46" s="6" t="s">
        <v>2607</v>
      </c>
      <c r="B46" s="6" t="s">
        <v>2608</v>
      </c>
      <c r="C4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v>
      </c>
    </row>
    <row r="47">
      <c r="A47" s="6" t="s">
        <v>2609</v>
      </c>
      <c r="B47" s="6" t="s">
        <v>2610</v>
      </c>
      <c r="C4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v>
      </c>
    </row>
    <row r="48">
      <c r="A48" s="6" t="s">
        <v>2611</v>
      </c>
      <c r="B48" s="6" t="s">
        <v>2612</v>
      </c>
      <c r="C4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v>
      </c>
    </row>
    <row r="49">
      <c r="A49" s="6" t="s">
        <v>2613</v>
      </c>
      <c r="B49" s="6" t="s">
        <v>2614</v>
      </c>
      <c r="C4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v>
      </c>
    </row>
    <row r="50">
      <c r="A50" s="6" t="s">
        <v>2615</v>
      </c>
      <c r="B50" s="6" t="s">
        <v>2616</v>
      </c>
      <c r="C5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v>
      </c>
    </row>
    <row r="51">
      <c r="A51" s="6" t="s">
        <v>2617</v>
      </c>
      <c r="B51" s="6" t="s">
        <v>2618</v>
      </c>
      <c r="C5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v>
      </c>
    </row>
    <row r="52">
      <c r="A52" s="6" t="s">
        <v>2619</v>
      </c>
      <c r="B52" s="6" t="s">
        <v>2620</v>
      </c>
      <c r="C5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v>
      </c>
    </row>
    <row r="53">
      <c r="A53" s="6" t="s">
        <v>2621</v>
      </c>
      <c r="B53" s="6" t="s">
        <v>2622</v>
      </c>
      <c r="C5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v>
      </c>
    </row>
    <row r="54">
      <c r="A54" s="6" t="s">
        <v>2623</v>
      </c>
      <c r="B54" s="6" t="s">
        <v>2624</v>
      </c>
      <c r="C5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v>
      </c>
    </row>
    <row r="55">
      <c r="A55" s="6" t="s">
        <v>2625</v>
      </c>
      <c r="B55" s="6" t="s">
        <v>2626</v>
      </c>
      <c r="C5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v>
      </c>
    </row>
    <row r="56">
      <c r="A56" s="6" t="s">
        <v>2627</v>
      </c>
      <c r="B56" s="6" t="s">
        <v>2628</v>
      </c>
      <c r="C5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v>
      </c>
    </row>
    <row r="57">
      <c r="A57" s="6" t="s">
        <v>2629</v>
      </c>
      <c r="B57" s="6" t="s">
        <v>2630</v>
      </c>
      <c r="C5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v>
      </c>
    </row>
    <row r="58">
      <c r="A58" s="6" t="s">
        <v>2631</v>
      </c>
      <c r="B58" s="6" t="s">
        <v>2632</v>
      </c>
      <c r="C5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v>
      </c>
    </row>
    <row r="59">
      <c r="A59" s="6" t="s">
        <v>2633</v>
      </c>
      <c r="B59" s="6" t="s">
        <v>2634</v>
      </c>
      <c r="C5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v>
      </c>
    </row>
    <row r="60">
      <c r="A60" s="6" t="s">
        <v>2635</v>
      </c>
      <c r="B60" s="6" t="s">
        <v>2636</v>
      </c>
      <c r="C6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v>
      </c>
    </row>
    <row r="61">
      <c r="A61" s="6" t="s">
        <v>2637</v>
      </c>
      <c r="B61" s="6" t="s">
        <v>2638</v>
      </c>
      <c r="C6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v>
      </c>
    </row>
    <row r="62">
      <c r="A62" s="6" t="s">
        <v>2639</v>
      </c>
      <c r="B62" s="6" t="s">
        <v>2640</v>
      </c>
      <c r="C6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v>
      </c>
    </row>
    <row r="63">
      <c r="A63" s="6" t="s">
        <v>2641</v>
      </c>
      <c r="B63" s="6" t="s">
        <v>2642</v>
      </c>
      <c r="C6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v>
      </c>
    </row>
    <row r="64">
      <c r="A64" s="6" t="s">
        <v>2643</v>
      </c>
      <c r="B64" s="6" t="s">
        <v>2644</v>
      </c>
      <c r="C6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v>
      </c>
    </row>
    <row r="65">
      <c r="A65" s="6" t="s">
        <v>2645</v>
      </c>
      <c r="B65" s="6" t="s">
        <v>2646</v>
      </c>
      <c r="C6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v>
      </c>
    </row>
    <row r="66">
      <c r="A66" s="6" t="s">
        <v>2647</v>
      </c>
      <c r="B66" s="6" t="s">
        <v>2648</v>
      </c>
      <c r="C6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v>
      </c>
    </row>
    <row r="67">
      <c r="A67" s="6" t="s">
        <v>2649</v>
      </c>
      <c r="B67" s="6" t="s">
        <v>2650</v>
      </c>
      <c r="C6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v>
      </c>
    </row>
    <row r="68">
      <c r="A68" s="6" t="s">
        <v>2651</v>
      </c>
      <c r="B68" s="6" t="s">
        <v>2652</v>
      </c>
      <c r="C6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v>
      </c>
    </row>
    <row r="69">
      <c r="A69" s="6" t="s">
        <v>2653</v>
      </c>
      <c r="B69" s="6" t="s">
        <v>2654</v>
      </c>
      <c r="C6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v>
      </c>
    </row>
    <row r="70">
      <c r="A70" s="6" t="s">
        <v>2655</v>
      </c>
      <c r="B70" s="6" t="s">
        <v>2656</v>
      </c>
      <c r="C7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v>
      </c>
    </row>
    <row r="71">
      <c r="A71" s="6" t="s">
        <v>2657</v>
      </c>
      <c r="B71" s="6" t="s">
        <v>2658</v>
      </c>
      <c r="C7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v>
      </c>
    </row>
    <row r="72">
      <c r="A72" s="6" t="s">
        <v>1311</v>
      </c>
      <c r="B72" s="6" t="s">
        <v>2659</v>
      </c>
      <c r="C7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v>
      </c>
    </row>
    <row r="73">
      <c r="A73" s="6" t="s">
        <v>2660</v>
      </c>
      <c r="B73" s="6" t="s">
        <v>2661</v>
      </c>
      <c r="C7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v>
      </c>
    </row>
    <row r="74">
      <c r="A74" s="6" t="s">
        <v>2662</v>
      </c>
      <c r="B74" s="6" t="s">
        <v>2663</v>
      </c>
      <c r="C7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v>
      </c>
    </row>
    <row r="75">
      <c r="A75" s="6" t="s">
        <v>1322</v>
      </c>
      <c r="B75" s="6" t="s">
        <v>2664</v>
      </c>
      <c r="C7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v>
      </c>
    </row>
    <row r="76">
      <c r="A76" s="6" t="s">
        <v>2665</v>
      </c>
      <c r="B76" s="6" t="s">
        <v>2666</v>
      </c>
      <c r="C7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v>
      </c>
    </row>
    <row r="77">
      <c r="A77" s="6" t="s">
        <v>12</v>
      </c>
      <c r="B77" s="6" t="s">
        <v>2667</v>
      </c>
      <c r="C7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v>
      </c>
    </row>
    <row r="78">
      <c r="A78" s="6" t="s">
        <v>2668</v>
      </c>
      <c r="B78" s="6" t="s">
        <v>2669</v>
      </c>
      <c r="C7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v>
      </c>
    </row>
    <row r="79">
      <c r="A79" s="6" t="s">
        <v>2670</v>
      </c>
      <c r="B79" s="6" t="s">
        <v>2671</v>
      </c>
      <c r="C7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v>
      </c>
    </row>
    <row r="80">
      <c r="A80" s="6" t="s">
        <v>2672</v>
      </c>
      <c r="B80" s="6" t="s">
        <v>2673</v>
      </c>
      <c r="C8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v>
      </c>
    </row>
    <row r="81">
      <c r="A81" s="6" t="s">
        <v>2674</v>
      </c>
      <c r="B81" s="6" t="s">
        <v>2675</v>
      </c>
      <c r="C8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v>
      </c>
    </row>
    <row r="82">
      <c r="A82" s="6" t="s">
        <v>1348</v>
      </c>
      <c r="B82" s="6" t="s">
        <v>2676</v>
      </c>
      <c r="C8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v>
      </c>
    </row>
    <row r="83">
      <c r="A83" s="6" t="s">
        <v>2677</v>
      </c>
      <c r="B83" s="6" t="s">
        <v>2678</v>
      </c>
      <c r="C8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v>
      </c>
    </row>
    <row r="84">
      <c r="A84" s="6" t="s">
        <v>1354</v>
      </c>
      <c r="B84" s="6" t="s">
        <v>2679</v>
      </c>
      <c r="C8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v>
      </c>
    </row>
    <row r="85">
      <c r="A85" s="6" t="s">
        <v>2680</v>
      </c>
      <c r="B85" s="6" t="s">
        <v>2681</v>
      </c>
      <c r="C8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v>
      </c>
    </row>
    <row r="86">
      <c r="A86" s="6" t="s">
        <v>1362</v>
      </c>
      <c r="B86" s="6" t="s">
        <v>2682</v>
      </c>
      <c r="C8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v>
      </c>
    </row>
    <row r="87">
      <c r="A87" s="6" t="s">
        <v>1364</v>
      </c>
      <c r="B87" s="6" t="s">
        <v>2683</v>
      </c>
      <c r="C8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v>
      </c>
    </row>
    <row r="88">
      <c r="A88" s="6" t="s">
        <v>1366</v>
      </c>
      <c r="B88" s="6" t="s">
        <v>2684</v>
      </c>
      <c r="C8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v>
      </c>
    </row>
    <row r="89">
      <c r="A89" s="6" t="s">
        <v>2685</v>
      </c>
      <c r="B89" s="6" t="s">
        <v>2686</v>
      </c>
      <c r="C8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v>
      </c>
    </row>
    <row r="90">
      <c r="A90" s="6" t="s">
        <v>1372</v>
      </c>
      <c r="B90" s="6" t="s">
        <v>2687</v>
      </c>
      <c r="C9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v>
      </c>
    </row>
    <row r="91">
      <c r="A91" s="6" t="s">
        <v>1374</v>
      </c>
      <c r="B91" s="6" t="s">
        <v>2688</v>
      </c>
      <c r="C9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v>
      </c>
    </row>
    <row r="92">
      <c r="A92" s="6" t="s">
        <v>1376</v>
      </c>
      <c r="B92" s="6" t="s">
        <v>2689</v>
      </c>
      <c r="C9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v>
      </c>
    </row>
    <row r="93">
      <c r="A93" s="6" t="s">
        <v>1378</v>
      </c>
      <c r="B93" s="6" t="s">
        <v>2690</v>
      </c>
      <c r="C9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v>
      </c>
    </row>
    <row r="94">
      <c r="A94" s="6" t="s">
        <v>1380</v>
      </c>
      <c r="B94" s="6" t="s">
        <v>2691</v>
      </c>
      <c r="C9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v>
      </c>
    </row>
    <row r="95">
      <c r="A95" s="6" t="s">
        <v>2692</v>
      </c>
      <c r="B95" s="6" t="s">
        <v>2693</v>
      </c>
      <c r="C9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v>
      </c>
    </row>
    <row r="96">
      <c r="A96" s="6" t="s">
        <v>1384</v>
      </c>
      <c r="B96" s="6" t="s">
        <v>2694</v>
      </c>
      <c r="C9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v>
      </c>
    </row>
    <row r="97">
      <c r="A97" s="6" t="s">
        <v>1387</v>
      </c>
      <c r="B97" s="6" t="s">
        <v>2695</v>
      </c>
      <c r="C9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v>
      </c>
    </row>
    <row r="98">
      <c r="A98" s="6" t="s">
        <v>1390</v>
      </c>
      <c r="B98" s="6" t="s">
        <v>2696</v>
      </c>
      <c r="C9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v>
      </c>
    </row>
    <row r="99">
      <c r="A99" s="6" t="s">
        <v>2697</v>
      </c>
      <c r="B99" s="6" t="s">
        <v>2698</v>
      </c>
      <c r="C9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v>
      </c>
    </row>
    <row r="100">
      <c r="A100" s="6" t="s">
        <v>1398</v>
      </c>
      <c r="B100" s="6" t="s">
        <v>2699</v>
      </c>
      <c r="C10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v>
      </c>
    </row>
    <row r="101">
      <c r="A101" s="6" t="s">
        <v>2700</v>
      </c>
      <c r="B101" s="6" t="s">
        <v>2701</v>
      </c>
      <c r="C10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v>
      </c>
    </row>
    <row r="102">
      <c r="A102" s="6" t="s">
        <v>2702</v>
      </c>
      <c r="B102" s="6" t="s">
        <v>2703</v>
      </c>
      <c r="C10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v>
      </c>
    </row>
    <row r="103">
      <c r="A103" s="6" t="s">
        <v>1406</v>
      </c>
      <c r="B103" s="6" t="s">
        <v>2704</v>
      </c>
      <c r="C10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v>
      </c>
    </row>
    <row r="104">
      <c r="A104" s="6" t="s">
        <v>35</v>
      </c>
      <c r="B104" s="6" t="s">
        <v>2705</v>
      </c>
      <c r="C10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v>
      </c>
    </row>
    <row r="105">
      <c r="A105" s="6" t="s">
        <v>1411</v>
      </c>
      <c r="B105" s="6" t="s">
        <v>2706</v>
      </c>
      <c r="C10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v>
      </c>
    </row>
    <row r="106">
      <c r="A106" s="6" t="s">
        <v>2707</v>
      </c>
      <c r="B106" s="6" t="s">
        <v>2708</v>
      </c>
      <c r="C10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v>
      </c>
    </row>
    <row r="107">
      <c r="A107" s="6" t="s">
        <v>1416</v>
      </c>
      <c r="B107" s="6" t="s">
        <v>2709</v>
      </c>
      <c r="C10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v>
      </c>
    </row>
    <row r="108">
      <c r="A108" s="6" t="s">
        <v>37</v>
      </c>
      <c r="B108" s="6" t="s">
        <v>2710</v>
      </c>
      <c r="C10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v>
      </c>
    </row>
    <row r="109">
      <c r="A109" s="6" t="s">
        <v>1420</v>
      </c>
      <c r="B109" s="6" t="s">
        <v>2711</v>
      </c>
      <c r="C10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v>
      </c>
    </row>
    <row r="110">
      <c r="A110" s="6" t="s">
        <v>2712</v>
      </c>
      <c r="B110" s="6" t="s">
        <v>2713</v>
      </c>
      <c r="C11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v>
      </c>
    </row>
    <row r="111">
      <c r="A111" s="6" t="s">
        <v>1427</v>
      </c>
      <c r="B111" s="6" t="s">
        <v>2714</v>
      </c>
      <c r="C11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v>
      </c>
    </row>
    <row r="112">
      <c r="A112" s="6" t="s">
        <v>2715</v>
      </c>
      <c r="B112" s="6" t="s">
        <v>2716</v>
      </c>
      <c r="C11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v>
      </c>
    </row>
    <row r="113">
      <c r="A113" s="6" t="s">
        <v>2717</v>
      </c>
      <c r="B113" s="6" t="s">
        <v>2718</v>
      </c>
      <c r="C11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v>
      </c>
    </row>
    <row r="114">
      <c r="A114" s="6" t="s">
        <v>2719</v>
      </c>
      <c r="B114" s="6" t="s">
        <v>2720</v>
      </c>
      <c r="C11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v>
      </c>
    </row>
    <row r="115">
      <c r="A115" s="6" t="s">
        <v>1443</v>
      </c>
      <c r="B115" s="6" t="s">
        <v>2721</v>
      </c>
      <c r="C11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v>
      </c>
    </row>
    <row r="116">
      <c r="A116" s="6" t="s">
        <v>2722</v>
      </c>
      <c r="B116" s="6" t="s">
        <v>2723</v>
      </c>
      <c r="C11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v>
      </c>
    </row>
    <row r="117">
      <c r="A117" s="6" t="s">
        <v>2724</v>
      </c>
      <c r="B117" s="6" t="s">
        <v>2725</v>
      </c>
      <c r="C11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v>
      </c>
    </row>
    <row r="118">
      <c r="A118" s="6" t="s">
        <v>2726</v>
      </c>
      <c r="B118" s="6" t="s">
        <v>2727</v>
      </c>
      <c r="C11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v>
      </c>
    </row>
    <row r="119">
      <c r="A119" s="6" t="s">
        <v>2728</v>
      </c>
      <c r="B119" s="6" t="s">
        <v>2729</v>
      </c>
      <c r="C11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v>
      </c>
    </row>
    <row r="120">
      <c r="A120" s="6" t="s">
        <v>2730</v>
      </c>
      <c r="B120" s="6" t="s">
        <v>2731</v>
      </c>
      <c r="C12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v>
      </c>
    </row>
    <row r="121">
      <c r="A121" s="6" t="s">
        <v>2732</v>
      </c>
      <c r="B121" s="6" t="s">
        <v>2733</v>
      </c>
      <c r="C12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v>
      </c>
    </row>
    <row r="122">
      <c r="A122" s="6" t="s">
        <v>1472</v>
      </c>
      <c r="B122" s="6" t="s">
        <v>2734</v>
      </c>
      <c r="C12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v>
      </c>
    </row>
    <row r="123">
      <c r="A123" s="6" t="s">
        <v>2735</v>
      </c>
      <c r="B123" s="6" t="s">
        <v>2736</v>
      </c>
      <c r="C12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v>
      </c>
    </row>
    <row r="124">
      <c r="A124" s="6" t="s">
        <v>2737</v>
      </c>
      <c r="B124" s="6" t="s">
        <v>2738</v>
      </c>
      <c r="C12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v>
      </c>
    </row>
    <row r="125">
      <c r="A125" s="6" t="s">
        <v>1480</v>
      </c>
      <c r="B125" s="6" t="s">
        <v>2739</v>
      </c>
      <c r="C12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v>
      </c>
    </row>
    <row r="126">
      <c r="A126" s="6" t="s">
        <v>2740</v>
      </c>
      <c r="B126" s="6" t="s">
        <v>2741</v>
      </c>
      <c r="C12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v>
      </c>
    </row>
    <row r="127">
      <c r="A127" s="6" t="s">
        <v>2742</v>
      </c>
      <c r="B127" s="6" t="s">
        <v>2743</v>
      </c>
      <c r="C12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v>
      </c>
    </row>
    <row r="128">
      <c r="A128" s="6" t="s">
        <v>2744</v>
      </c>
      <c r="B128" s="6" t="s">
        <v>2745</v>
      </c>
      <c r="C12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v>
      </c>
    </row>
    <row r="129">
      <c r="A129" s="6" t="s">
        <v>1488</v>
      </c>
      <c r="B129" s="6" t="s">
        <v>2746</v>
      </c>
      <c r="C12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v>
      </c>
    </row>
    <row r="130">
      <c r="A130" s="6" t="s">
        <v>2747</v>
      </c>
      <c r="B130" s="6" t="s">
        <v>2748</v>
      </c>
      <c r="C13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v>
      </c>
    </row>
    <row r="131">
      <c r="A131" s="6" t="s">
        <v>1492</v>
      </c>
      <c r="B131" s="6" t="s">
        <v>2749</v>
      </c>
      <c r="C13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v>
      </c>
    </row>
    <row r="132">
      <c r="A132" s="6" t="s">
        <v>1495</v>
      </c>
      <c r="B132" s="6" t="s">
        <v>2750</v>
      </c>
      <c r="C13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v>
      </c>
    </row>
    <row r="133">
      <c r="A133" s="6" t="s">
        <v>2751</v>
      </c>
      <c r="B133" s="6" t="s">
        <v>2752</v>
      </c>
      <c r="C13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v>
      </c>
    </row>
    <row r="134">
      <c r="A134" s="6" t="s">
        <v>2753</v>
      </c>
      <c r="B134" s="6" t="s">
        <v>2754</v>
      </c>
      <c r="C13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v>
      </c>
    </row>
    <row r="135">
      <c r="A135" s="6" t="s">
        <v>1506</v>
      </c>
      <c r="B135" s="6" t="s">
        <v>2755</v>
      </c>
      <c r="C13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v>
      </c>
    </row>
    <row r="136">
      <c r="A136" s="6" t="s">
        <v>2756</v>
      </c>
      <c r="B136" s="6" t="s">
        <v>2757</v>
      </c>
      <c r="C13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v>
      </c>
    </row>
    <row r="137">
      <c r="A137" s="6" t="s">
        <v>1513</v>
      </c>
      <c r="B137" s="6" t="s">
        <v>2758</v>
      </c>
      <c r="C13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v>
      </c>
    </row>
    <row r="138">
      <c r="A138" s="6" t="s">
        <v>2759</v>
      </c>
      <c r="B138" s="6" t="s">
        <v>2760</v>
      </c>
      <c r="C13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v>
      </c>
    </row>
    <row r="139">
      <c r="A139" s="6" t="s">
        <v>1519</v>
      </c>
      <c r="B139" s="6" t="s">
        <v>2761</v>
      </c>
      <c r="C13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v>
      </c>
    </row>
    <row r="140">
      <c r="A140" s="6" t="s">
        <v>2762</v>
      </c>
      <c r="B140" s="6" t="s">
        <v>2763</v>
      </c>
      <c r="C14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v>
      </c>
    </row>
    <row r="141">
      <c r="A141" s="6" t="s">
        <v>2764</v>
      </c>
      <c r="B141" s="6" t="s">
        <v>2765</v>
      </c>
      <c r="C14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v>
      </c>
    </row>
    <row r="142">
      <c r="A142" s="6" t="s">
        <v>2766</v>
      </c>
      <c r="B142" s="6" t="s">
        <v>2767</v>
      </c>
      <c r="C14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v>
      </c>
    </row>
    <row r="143">
      <c r="A143" s="6" t="s">
        <v>17</v>
      </c>
      <c r="B143" s="6" t="s">
        <v>2768</v>
      </c>
      <c r="C14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v>
      </c>
    </row>
    <row r="144">
      <c r="A144" s="6" t="s">
        <v>2769</v>
      </c>
      <c r="B144" s="6" t="s">
        <v>2770</v>
      </c>
      <c r="C14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v>
      </c>
    </row>
    <row r="145">
      <c r="A145" s="6" t="s">
        <v>2771</v>
      </c>
      <c r="B145" s="6" t="s">
        <v>2772</v>
      </c>
      <c r="C14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v>
      </c>
    </row>
    <row r="146">
      <c r="A146" s="6" t="s">
        <v>2773</v>
      </c>
      <c r="B146" s="6" t="s">
        <v>2774</v>
      </c>
      <c r="C14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v>
      </c>
    </row>
    <row r="147">
      <c r="A147" s="6" t="s">
        <v>2775</v>
      </c>
      <c r="B147" s="6" t="s">
        <v>2776</v>
      </c>
      <c r="C14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v>
      </c>
    </row>
    <row r="148">
      <c r="A148" s="6" t="s">
        <v>2777</v>
      </c>
      <c r="B148" s="6" t="s">
        <v>2778</v>
      </c>
      <c r="C14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v>
      </c>
    </row>
    <row r="149">
      <c r="A149" s="6" t="s">
        <v>2779</v>
      </c>
      <c r="B149" s="6" t="s">
        <v>2780</v>
      </c>
      <c r="C14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v>
      </c>
    </row>
    <row r="150">
      <c r="A150" s="6" t="s">
        <v>1545</v>
      </c>
      <c r="B150" s="6" t="s">
        <v>2781</v>
      </c>
      <c r="C15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v>
      </c>
    </row>
    <row r="151">
      <c r="A151" s="6" t="s">
        <v>2782</v>
      </c>
      <c r="B151" s="6" t="s">
        <v>2783</v>
      </c>
      <c r="C15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v>
      </c>
    </row>
    <row r="152">
      <c r="A152" s="6" t="s">
        <v>1548</v>
      </c>
      <c r="B152" s="6" t="s">
        <v>2784</v>
      </c>
      <c r="C15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v>
      </c>
    </row>
    <row r="153">
      <c r="A153" s="6" t="s">
        <v>25</v>
      </c>
      <c r="B153" s="6" t="s">
        <v>2785</v>
      </c>
      <c r="C15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v>
      </c>
    </row>
    <row r="154">
      <c r="A154" s="6" t="s">
        <v>10</v>
      </c>
      <c r="B154" s="6" t="s">
        <v>2786</v>
      </c>
      <c r="C15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v>
      </c>
    </row>
    <row r="155">
      <c r="A155" s="6" t="s">
        <v>39</v>
      </c>
      <c r="B155" s="6" t="s">
        <v>2787</v>
      </c>
      <c r="C15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v>
      </c>
    </row>
    <row r="156">
      <c r="A156" s="6" t="s">
        <v>41</v>
      </c>
      <c r="B156" s="6" t="s">
        <v>2788</v>
      </c>
      <c r="C15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v>
      </c>
    </row>
    <row r="157">
      <c r="A157" s="6" t="s">
        <v>2789</v>
      </c>
      <c r="B157" s="6" t="s">
        <v>2790</v>
      </c>
      <c r="C15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v>
      </c>
    </row>
    <row r="158">
      <c r="A158" s="6" t="s">
        <v>2791</v>
      </c>
      <c r="B158" s="6" t="s">
        <v>2792</v>
      </c>
      <c r="C15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v>
      </c>
    </row>
    <row r="159">
      <c r="A159" s="6" t="s">
        <v>19</v>
      </c>
      <c r="B159" s="6" t="s">
        <v>2793</v>
      </c>
      <c r="C15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v>
      </c>
    </row>
    <row r="160">
      <c r="A160" s="6" t="s">
        <v>2794</v>
      </c>
      <c r="B160" s="6" t="s">
        <v>2795</v>
      </c>
      <c r="C16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v>
      </c>
    </row>
    <row r="161">
      <c r="A161" s="6" t="s">
        <v>2796</v>
      </c>
      <c r="B161" s="6" t="s">
        <v>2797</v>
      </c>
      <c r="C16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v>
      </c>
    </row>
    <row r="162">
      <c r="A162" s="6" t="s">
        <v>2798</v>
      </c>
      <c r="B162" s="6" t="s">
        <v>2799</v>
      </c>
      <c r="C16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v>
      </c>
    </row>
    <row r="163">
      <c r="A163" s="6" t="s">
        <v>1567</v>
      </c>
      <c r="B163" s="6" t="s">
        <v>2800</v>
      </c>
      <c r="C16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v>
      </c>
    </row>
    <row r="164">
      <c r="A164" s="6" t="s">
        <v>1570</v>
      </c>
      <c r="B164" s="6" t="s">
        <v>2801</v>
      </c>
      <c r="C16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v>
      </c>
    </row>
    <row r="165">
      <c r="A165" s="6" t="s">
        <v>1573</v>
      </c>
      <c r="B165" s="6" t="s">
        <v>2802</v>
      </c>
      <c r="C16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v>
      </c>
    </row>
    <row r="166">
      <c r="A166" s="6" t="s">
        <v>2803</v>
      </c>
      <c r="B166" s="6" t="s">
        <v>2804</v>
      </c>
      <c r="C16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v>
      </c>
    </row>
    <row r="167">
      <c r="A167" s="6" t="s">
        <v>2805</v>
      </c>
      <c r="B167" s="6" t="s">
        <v>2806</v>
      </c>
      <c r="C16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v>
      </c>
    </row>
    <row r="168">
      <c r="A168" s="6" t="s">
        <v>1584</v>
      </c>
      <c r="B168" s="6" t="s">
        <v>2807</v>
      </c>
      <c r="C16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v>
      </c>
    </row>
    <row r="169">
      <c r="A169" s="6" t="s">
        <v>1587</v>
      </c>
      <c r="B169" s="6" t="s">
        <v>2808</v>
      </c>
      <c r="C16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v>
      </c>
    </row>
    <row r="170">
      <c r="A170" s="6" t="s">
        <v>2809</v>
      </c>
      <c r="B170" s="6" t="s">
        <v>2810</v>
      </c>
      <c r="C17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v>
      </c>
    </row>
    <row r="171">
      <c r="A171" s="6" t="s">
        <v>2811</v>
      </c>
      <c r="B171" s="6" t="s">
        <v>2812</v>
      </c>
      <c r="C17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v>
      </c>
    </row>
    <row r="172">
      <c r="A172" s="6" t="s">
        <v>1596</v>
      </c>
      <c r="B172" s="6" t="s">
        <v>2813</v>
      </c>
      <c r="C17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v>
      </c>
    </row>
    <row r="173">
      <c r="A173" s="6" t="s">
        <v>1599</v>
      </c>
      <c r="B173" s="6" t="s">
        <v>2814</v>
      </c>
      <c r="C17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v>
      </c>
    </row>
    <row r="174">
      <c r="A174" s="6" t="s">
        <v>1602</v>
      </c>
      <c r="B174" s="6" t="s">
        <v>2815</v>
      </c>
      <c r="C17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v>
      </c>
    </row>
    <row r="175">
      <c r="A175" s="6" t="s">
        <v>1604</v>
      </c>
      <c r="B175" s="6" t="s">
        <v>2816</v>
      </c>
      <c r="C17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v>
      </c>
    </row>
    <row r="176">
      <c r="A176" s="6" t="s">
        <v>1607</v>
      </c>
      <c r="B176" s="6" t="s">
        <v>2817</v>
      </c>
      <c r="C17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v>
      </c>
    </row>
    <row r="177">
      <c r="A177" s="6" t="s">
        <v>2818</v>
      </c>
      <c r="B177" s="6" t="s">
        <v>2819</v>
      </c>
      <c r="C17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v>
      </c>
    </row>
    <row r="178">
      <c r="A178" s="6" t="s">
        <v>2820</v>
      </c>
      <c r="B178" s="6" t="s">
        <v>2821</v>
      </c>
      <c r="C17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v>
      </c>
    </row>
    <row r="179">
      <c r="A179" s="6" t="s">
        <v>1619</v>
      </c>
      <c r="B179" s="6" t="s">
        <v>2822</v>
      </c>
      <c r="C17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v>
      </c>
    </row>
    <row r="180">
      <c r="A180" s="6" t="s">
        <v>2823</v>
      </c>
      <c r="B180" s="6" t="s">
        <v>2824</v>
      </c>
      <c r="C18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v>
      </c>
    </row>
    <row r="181">
      <c r="A181" s="6" t="s">
        <v>1624</v>
      </c>
      <c r="B181" s="6" t="s">
        <v>2825</v>
      </c>
      <c r="C18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v>
      </c>
    </row>
    <row r="182">
      <c r="A182" s="6" t="s">
        <v>2826</v>
      </c>
      <c r="B182" s="6" t="s">
        <v>2827</v>
      </c>
      <c r="C18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v>
      </c>
    </row>
    <row r="183">
      <c r="A183" s="6" t="s">
        <v>1630</v>
      </c>
      <c r="B183" s="6" t="s">
        <v>2828</v>
      </c>
      <c r="C18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v>
      </c>
    </row>
    <row r="184">
      <c r="A184" s="6" t="s">
        <v>355</v>
      </c>
      <c r="B184" s="6" t="s">
        <v>2829</v>
      </c>
      <c r="C18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v>
      </c>
    </row>
    <row r="185">
      <c r="A185" s="6" t="s">
        <v>2830</v>
      </c>
      <c r="B185" s="6" t="s">
        <v>2831</v>
      </c>
      <c r="C18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v>
      </c>
    </row>
    <row r="186">
      <c r="A186" s="6" t="s">
        <v>1638</v>
      </c>
      <c r="B186" s="6" t="s">
        <v>2832</v>
      </c>
      <c r="C18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v>
      </c>
    </row>
    <row r="187">
      <c r="A187" s="6" t="s">
        <v>1642</v>
      </c>
      <c r="B187" s="6" t="s">
        <v>2833</v>
      </c>
      <c r="C18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v>
      </c>
    </row>
    <row r="188">
      <c r="A188" s="6" t="s">
        <v>2834</v>
      </c>
      <c r="B188" s="6" t="s">
        <v>2835</v>
      </c>
      <c r="C18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v>
      </c>
    </row>
    <row r="189">
      <c r="A189" s="6" t="s">
        <v>2836</v>
      </c>
      <c r="B189" s="6" t="s">
        <v>2837</v>
      </c>
      <c r="C18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v>
      </c>
    </row>
    <row r="190">
      <c r="A190" s="6" t="s">
        <v>2838</v>
      </c>
      <c r="B190" s="6" t="s">
        <v>2839</v>
      </c>
      <c r="C19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v>
      </c>
    </row>
    <row r="191">
      <c r="A191" s="6" t="s">
        <v>2840</v>
      </c>
      <c r="B191" s="6" t="s">
        <v>2841</v>
      </c>
      <c r="C19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v>
      </c>
    </row>
    <row r="192">
      <c r="A192" s="6" t="s">
        <v>1663</v>
      </c>
      <c r="B192" s="6" t="s">
        <v>2842</v>
      </c>
      <c r="C19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v>
      </c>
    </row>
    <row r="193">
      <c r="A193" s="6" t="s">
        <v>1666</v>
      </c>
      <c r="B193" s="6" t="s">
        <v>2843</v>
      </c>
      <c r="C19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v>
      </c>
    </row>
    <row r="194">
      <c r="A194" s="6" t="s">
        <v>1671</v>
      </c>
      <c r="B194" s="6" t="s">
        <v>2844</v>
      </c>
      <c r="C19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v>
      </c>
    </row>
    <row r="195">
      <c r="A195" s="6" t="s">
        <v>2845</v>
      </c>
      <c r="B195" s="6" t="s">
        <v>2846</v>
      </c>
      <c r="C19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v>
      </c>
    </row>
    <row r="196">
      <c r="A196" s="6" t="s">
        <v>1678</v>
      </c>
      <c r="B196" s="6" t="s">
        <v>2847</v>
      </c>
      <c r="C19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v>
      </c>
    </row>
    <row r="197">
      <c r="A197" s="6" t="s">
        <v>1681</v>
      </c>
      <c r="B197" s="6" t="s">
        <v>2848</v>
      </c>
      <c r="C19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v>
      </c>
    </row>
    <row r="198">
      <c r="A198" s="6" t="s">
        <v>2849</v>
      </c>
      <c r="B198" s="6" t="s">
        <v>2850</v>
      </c>
      <c r="C19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v>
      </c>
    </row>
    <row r="199">
      <c r="A199" s="6" t="s">
        <v>1689</v>
      </c>
      <c r="B199" s="6" t="s">
        <v>2851</v>
      </c>
      <c r="C19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v>
      </c>
    </row>
    <row r="200">
      <c r="A200" s="6" t="s">
        <v>2852</v>
      </c>
      <c r="B200" s="6" t="s">
        <v>2853</v>
      </c>
      <c r="C20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v>
      </c>
    </row>
    <row r="201">
      <c r="A201" s="6" t="s">
        <v>1697</v>
      </c>
      <c r="B201" s="6" t="s">
        <v>2854</v>
      </c>
      <c r="C20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v>
      </c>
    </row>
    <row r="202">
      <c r="A202" s="6" t="s">
        <v>2855</v>
      </c>
      <c r="B202" s="6" t="s">
        <v>2856</v>
      </c>
      <c r="C20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v>
      </c>
    </row>
    <row r="203">
      <c r="A203" s="6" t="s">
        <v>2857</v>
      </c>
      <c r="B203" s="6" t="s">
        <v>2858</v>
      </c>
      <c r="C20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v>
      </c>
    </row>
    <row r="204">
      <c r="A204" s="6" t="s">
        <v>311</v>
      </c>
      <c r="B204" s="6" t="s">
        <v>2859</v>
      </c>
      <c r="C20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v>
      </c>
    </row>
    <row r="205">
      <c r="A205" s="6" t="s">
        <v>2860</v>
      </c>
      <c r="B205" s="6" t="s">
        <v>2861</v>
      </c>
      <c r="C20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v>
      </c>
    </row>
    <row r="206">
      <c r="A206" s="6" t="s">
        <v>2862</v>
      </c>
      <c r="B206" s="6" t="s">
        <v>2863</v>
      </c>
      <c r="C20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v>
      </c>
    </row>
    <row r="207">
      <c r="A207" s="6" t="s">
        <v>1710</v>
      </c>
      <c r="B207" s="6" t="s">
        <v>2864</v>
      </c>
      <c r="C20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v>
      </c>
    </row>
    <row r="208">
      <c r="A208" s="6" t="s">
        <v>2865</v>
      </c>
      <c r="B208" s="6" t="s">
        <v>2866</v>
      </c>
      <c r="C20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v>
      </c>
    </row>
    <row r="209">
      <c r="A209" s="6" t="s">
        <v>217</v>
      </c>
      <c r="B209" s="6" t="s">
        <v>2867</v>
      </c>
      <c r="C20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v>
      </c>
    </row>
    <row r="210">
      <c r="A210" s="6" t="s">
        <v>2868</v>
      </c>
      <c r="B210" s="6" t="s">
        <v>2869</v>
      </c>
      <c r="C21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v>
      </c>
    </row>
    <row r="211">
      <c r="A211" s="6" t="s">
        <v>2870</v>
      </c>
      <c r="B211" s="6" t="s">
        <v>2871</v>
      </c>
      <c r="C21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v>
      </c>
    </row>
    <row r="212">
      <c r="A212" s="6" t="s">
        <v>219</v>
      </c>
      <c r="B212" s="6" t="s">
        <v>2872</v>
      </c>
      <c r="C21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v>
      </c>
    </row>
    <row r="213">
      <c r="A213" s="6" t="s">
        <v>2873</v>
      </c>
      <c r="B213" s="6" t="s">
        <v>2874</v>
      </c>
      <c r="C21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v>
      </c>
    </row>
    <row r="214">
      <c r="A214" s="6" t="s">
        <v>31</v>
      </c>
      <c r="B214" s="6" t="s">
        <v>2875</v>
      </c>
      <c r="C21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v>
      </c>
    </row>
    <row r="215">
      <c r="A215" s="6" t="s">
        <v>1727</v>
      </c>
      <c r="B215" s="6" t="s">
        <v>2876</v>
      </c>
      <c r="C21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v>
      </c>
    </row>
    <row r="216">
      <c r="A216" s="6" t="s">
        <v>2877</v>
      </c>
      <c r="B216" s="6" t="s">
        <v>2878</v>
      </c>
      <c r="C21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v>
      </c>
    </row>
    <row r="217">
      <c r="A217" s="6" t="s">
        <v>2879</v>
      </c>
      <c r="B217" s="6" t="s">
        <v>2880</v>
      </c>
      <c r="C21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v>
      </c>
    </row>
    <row r="218">
      <c r="A218" s="6" t="s">
        <v>2881</v>
      </c>
      <c r="B218" s="6" t="s">
        <v>2882</v>
      </c>
      <c r="C21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v>
      </c>
    </row>
    <row r="219">
      <c r="A219" s="6" t="s">
        <v>2883</v>
      </c>
      <c r="B219" s="6" t="s">
        <v>2884</v>
      </c>
      <c r="C21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v>
      </c>
    </row>
    <row r="220">
      <c r="A220" s="6" t="s">
        <v>2885</v>
      </c>
      <c r="B220" s="6" t="s">
        <v>2886</v>
      </c>
      <c r="C22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v>
      </c>
    </row>
    <row r="221">
      <c r="A221" s="6" t="s">
        <v>1741</v>
      </c>
      <c r="B221" s="6" t="s">
        <v>2887</v>
      </c>
      <c r="C22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v>
      </c>
    </row>
    <row r="222">
      <c r="A222" s="6" t="s">
        <v>1744</v>
      </c>
      <c r="B222" s="6" t="s">
        <v>2888</v>
      </c>
      <c r="C22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v>
      </c>
    </row>
    <row r="223">
      <c r="A223" s="6" t="s">
        <v>2889</v>
      </c>
      <c r="B223" s="6" t="s">
        <v>2890</v>
      </c>
      <c r="C22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v>
      </c>
    </row>
    <row r="224">
      <c r="A224" s="6" t="s">
        <v>21</v>
      </c>
      <c r="B224" s="6" t="s">
        <v>2891</v>
      </c>
      <c r="C22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v>
      </c>
    </row>
    <row r="225">
      <c r="A225" s="6" t="s">
        <v>27</v>
      </c>
      <c r="B225" s="6" t="s">
        <v>2892</v>
      </c>
      <c r="C22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v>
      </c>
    </row>
    <row r="226">
      <c r="A226" s="6" t="s">
        <v>2893</v>
      </c>
      <c r="B226" s="6" t="s">
        <v>2894</v>
      </c>
      <c r="C22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v>
      </c>
    </row>
    <row r="227">
      <c r="A227" s="6" t="s">
        <v>2895</v>
      </c>
      <c r="B227" s="6" t="s">
        <v>2896</v>
      </c>
      <c r="C22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v>
      </c>
    </row>
    <row r="228">
      <c r="A228" s="6" t="s">
        <v>2897</v>
      </c>
      <c r="B228" s="6" t="s">
        <v>2898</v>
      </c>
      <c r="C22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v>
      </c>
    </row>
    <row r="229">
      <c r="A229" s="6" t="s">
        <v>1761</v>
      </c>
      <c r="B229" s="6" t="s">
        <v>2899</v>
      </c>
      <c r="C22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v>
      </c>
    </row>
    <row r="230">
      <c r="A230" s="6" t="s">
        <v>2900</v>
      </c>
      <c r="B230" s="6" t="s">
        <v>2901</v>
      </c>
      <c r="C23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v>
      </c>
    </row>
    <row r="231">
      <c r="A231" s="6" t="s">
        <v>1767</v>
      </c>
      <c r="B231" s="6" t="s">
        <v>2902</v>
      </c>
      <c r="C23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v>
      </c>
    </row>
    <row r="232">
      <c r="A232" s="6" t="s">
        <v>2903</v>
      </c>
      <c r="B232" s="6" t="s">
        <v>2904</v>
      </c>
      <c r="C23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v>
      </c>
    </row>
    <row r="233">
      <c r="A233" s="6" t="s">
        <v>1771</v>
      </c>
      <c r="B233" s="6" t="s">
        <v>2905</v>
      </c>
      <c r="C23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v>
      </c>
    </row>
    <row r="234">
      <c r="A234" s="6" t="s">
        <v>2906</v>
      </c>
      <c r="B234" s="6" t="s">
        <v>2907</v>
      </c>
      <c r="C23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v>
      </c>
    </row>
    <row r="235">
      <c r="A235" s="6" t="s">
        <v>1777</v>
      </c>
      <c r="B235" s="6" t="s">
        <v>2908</v>
      </c>
      <c r="C23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v>
      </c>
    </row>
    <row r="236">
      <c r="A236" s="6" t="s">
        <v>2909</v>
      </c>
      <c r="B236" s="6" t="s">
        <v>2910</v>
      </c>
      <c r="C23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v>
      </c>
    </row>
    <row r="237">
      <c r="A237" s="6" t="s">
        <v>1781</v>
      </c>
      <c r="B237" s="6" t="s">
        <v>2911</v>
      </c>
      <c r="C23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v>
      </c>
    </row>
    <row r="238">
      <c r="A238" s="6" t="s">
        <v>2912</v>
      </c>
      <c r="B238" s="6" t="s">
        <v>2913</v>
      </c>
      <c r="C23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v>
      </c>
    </row>
    <row r="239">
      <c r="A239" s="6" t="s">
        <v>2914</v>
      </c>
      <c r="B239" s="6" t="s">
        <v>2915</v>
      </c>
      <c r="C23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v>
      </c>
    </row>
    <row r="240">
      <c r="A240" s="6" t="s">
        <v>2916</v>
      </c>
      <c r="B240" s="6" t="s">
        <v>2917</v>
      </c>
      <c r="C24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v>
      </c>
    </row>
    <row r="241">
      <c r="A241" s="6" t="s">
        <v>1791</v>
      </c>
      <c r="B241" s="6" t="s">
        <v>2918</v>
      </c>
      <c r="C24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v>
      </c>
    </row>
    <row r="242">
      <c r="A242" s="6" t="s">
        <v>2919</v>
      </c>
      <c r="B242" s="6" t="s">
        <v>2920</v>
      </c>
      <c r="C24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v>
      </c>
    </row>
    <row r="243">
      <c r="A243" s="6" t="s">
        <v>29</v>
      </c>
      <c r="B243" s="6" t="s">
        <v>2921</v>
      </c>
      <c r="C24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v>
      </c>
    </row>
    <row r="244">
      <c r="A244" s="6" t="s">
        <v>2922</v>
      </c>
      <c r="B244" s="6" t="s">
        <v>2923</v>
      </c>
      <c r="C24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v>
      </c>
    </row>
    <row r="245">
      <c r="A245" s="6" t="s">
        <v>23</v>
      </c>
      <c r="B245" s="6" t="s">
        <v>2924</v>
      </c>
      <c r="C24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v>
      </c>
    </row>
    <row r="246">
      <c r="A246" s="6" t="s">
        <v>2925</v>
      </c>
      <c r="B246" s="6" t="s">
        <v>2926</v>
      </c>
      <c r="C24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v>
      </c>
    </row>
    <row r="247">
      <c r="A247" s="6" t="s">
        <v>2927</v>
      </c>
      <c r="B247" s="6" t="s">
        <v>2928</v>
      </c>
      <c r="C24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v>
      </c>
    </row>
    <row r="248">
      <c r="A248" s="6" t="s">
        <v>2929</v>
      </c>
      <c r="B248" s="6" t="s">
        <v>2930</v>
      </c>
      <c r="C24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v>
      </c>
    </row>
    <row r="249">
      <c r="A249" s="6" t="s">
        <v>2931</v>
      </c>
      <c r="B249" s="6" t="s">
        <v>2932</v>
      </c>
      <c r="C24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v>
      </c>
    </row>
    <row r="250">
      <c r="A250" s="6" t="s">
        <v>2933</v>
      </c>
      <c r="B250" s="6" t="s">
        <v>2934</v>
      </c>
      <c r="C25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v>
      </c>
    </row>
    <row r="251">
      <c r="A251" s="6" t="s">
        <v>802</v>
      </c>
      <c r="B251" s="6" t="s">
        <v>2935</v>
      </c>
      <c r="C25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v>
      </c>
    </row>
    <row r="252">
      <c r="A252" s="6" t="s">
        <v>2936</v>
      </c>
      <c r="B252" s="6" t="s">
        <v>2937</v>
      </c>
      <c r="C25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v>
      </c>
    </row>
    <row r="253">
      <c r="A253" s="6" t="s">
        <v>1820</v>
      </c>
      <c r="B253" s="6" t="s">
        <v>2938</v>
      </c>
      <c r="C25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v>
      </c>
    </row>
    <row r="254">
      <c r="A254" s="6" t="s">
        <v>2939</v>
      </c>
      <c r="B254" s="6" t="s">
        <v>2940</v>
      </c>
      <c r="C25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v>
      </c>
    </row>
    <row r="255">
      <c r="A255" s="6" t="s">
        <v>1825</v>
      </c>
      <c r="B255" s="6" t="s">
        <v>2941</v>
      </c>
      <c r="C25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v>
      </c>
    </row>
    <row r="256">
      <c r="A256" s="6" t="s">
        <v>2942</v>
      </c>
      <c r="B256" s="6" t="s">
        <v>2943</v>
      </c>
      <c r="C25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v>
      </c>
    </row>
    <row r="257">
      <c r="A257" s="6" t="s">
        <v>2944</v>
      </c>
      <c r="B257" s="6" t="s">
        <v>2945</v>
      </c>
      <c r="C25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v>
      </c>
    </row>
    <row r="258">
      <c r="A258" s="6" t="s">
        <v>2946</v>
      </c>
      <c r="B258" s="6" t="s">
        <v>2947</v>
      </c>
      <c r="C25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v>
      </c>
    </row>
    <row r="259">
      <c r="A259" s="6" t="s">
        <v>1833</v>
      </c>
      <c r="B259" s="6" t="s">
        <v>2948</v>
      </c>
      <c r="C25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v>
      </c>
    </row>
    <row r="260">
      <c r="A260" s="6" t="s">
        <v>2949</v>
      </c>
      <c r="B260" s="6" t="s">
        <v>2950</v>
      </c>
      <c r="C26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v>
      </c>
    </row>
    <row r="261">
      <c r="A261" s="6" t="s">
        <v>2951</v>
      </c>
      <c r="B261" s="6" t="s">
        <v>2952</v>
      </c>
      <c r="C26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v>
      </c>
    </row>
    <row r="262">
      <c r="A262" s="6" t="s">
        <v>1844</v>
      </c>
      <c r="B262" s="6" t="s">
        <v>2953</v>
      </c>
      <c r="C26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v>
      </c>
    </row>
    <row r="263">
      <c r="A263" s="6" t="s">
        <v>2954</v>
      </c>
      <c r="B263" s="6" t="s">
        <v>2955</v>
      </c>
      <c r="C26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v>
      </c>
    </row>
    <row r="264">
      <c r="A264" s="6" t="s">
        <v>2956</v>
      </c>
      <c r="B264" s="6" t="s">
        <v>2957</v>
      </c>
      <c r="C26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v>
      </c>
    </row>
    <row r="265">
      <c r="A265" s="6" t="s">
        <v>2958</v>
      </c>
      <c r="B265" s="6" t="s">
        <v>2959</v>
      </c>
      <c r="C26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v>
      </c>
    </row>
    <row r="266">
      <c r="A266" s="6" t="s">
        <v>1851</v>
      </c>
      <c r="B266" s="6" t="s">
        <v>2960</v>
      </c>
      <c r="C26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v>
      </c>
    </row>
    <row r="267">
      <c r="A267" s="6" t="s">
        <v>1853</v>
      </c>
      <c r="B267" s="6" t="s">
        <v>2961</v>
      </c>
      <c r="C26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v>
      </c>
    </row>
    <row r="268">
      <c r="A268" s="6" t="s">
        <v>2962</v>
      </c>
      <c r="B268" s="6" t="s">
        <v>2963</v>
      </c>
      <c r="C26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v>
      </c>
    </row>
    <row r="269">
      <c r="A269" s="6" t="s">
        <v>2964</v>
      </c>
      <c r="B269" s="6" t="s">
        <v>2965</v>
      </c>
      <c r="C26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v>
      </c>
    </row>
    <row r="270">
      <c r="A270" s="6" t="s">
        <v>2966</v>
      </c>
      <c r="B270" s="6" t="s">
        <v>2967</v>
      </c>
      <c r="C27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v>
      </c>
    </row>
    <row r="271">
      <c r="A271" s="6" t="s">
        <v>2968</v>
      </c>
      <c r="B271" s="6" t="s">
        <v>2969</v>
      </c>
      <c r="C27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v>
      </c>
    </row>
    <row r="272">
      <c r="A272" s="6" t="s">
        <v>1862</v>
      </c>
      <c r="B272" s="6" t="s">
        <v>2970</v>
      </c>
      <c r="C27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v>
      </c>
    </row>
    <row r="273">
      <c r="A273" s="6" t="s">
        <v>2971</v>
      </c>
      <c r="B273" s="6" t="s">
        <v>2972</v>
      </c>
      <c r="C27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v>
      </c>
    </row>
    <row r="274">
      <c r="A274" s="6" t="s">
        <v>2973</v>
      </c>
      <c r="B274" s="6" t="s">
        <v>2974</v>
      </c>
      <c r="C27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v>
      </c>
    </row>
    <row r="275">
      <c r="A275" s="6" t="s">
        <v>1872</v>
      </c>
      <c r="B275" s="6" t="s">
        <v>2975</v>
      </c>
      <c r="C27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v>
      </c>
    </row>
    <row r="276">
      <c r="A276" s="6" t="s">
        <v>1874</v>
      </c>
      <c r="B276" s="6" t="s">
        <v>2976</v>
      </c>
      <c r="C27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v>
      </c>
    </row>
    <row r="277">
      <c r="A277" s="6" t="s">
        <v>2977</v>
      </c>
      <c r="B277" s="6" t="s">
        <v>2978</v>
      </c>
      <c r="C27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v>
      </c>
    </row>
    <row r="278">
      <c r="A278" s="6" t="s">
        <v>2979</v>
      </c>
      <c r="B278" s="6" t="s">
        <v>2980</v>
      </c>
      <c r="C27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v>
      </c>
    </row>
    <row r="279">
      <c r="A279" s="6" t="s">
        <v>2981</v>
      </c>
      <c r="B279" s="6" t="s">
        <v>2982</v>
      </c>
      <c r="C27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v>
      </c>
    </row>
    <row r="280">
      <c r="A280" s="6" t="s">
        <v>2983</v>
      </c>
      <c r="B280" s="6" t="s">
        <v>2984</v>
      </c>
      <c r="C28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v>
      </c>
    </row>
    <row r="281">
      <c r="A281" s="6" t="s">
        <v>2985</v>
      </c>
      <c r="B281" s="6" t="s">
        <v>2986</v>
      </c>
      <c r="C28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v>
      </c>
    </row>
    <row r="282">
      <c r="A282" s="6" t="s">
        <v>2987</v>
      </c>
      <c r="B282" s="6" t="s">
        <v>2988</v>
      </c>
      <c r="C28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v>
      </c>
    </row>
    <row r="283">
      <c r="A283" s="6" t="s">
        <v>1894</v>
      </c>
      <c r="B283" s="6" t="s">
        <v>2989</v>
      </c>
      <c r="C28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v>
      </c>
    </row>
    <row r="284">
      <c r="A284" s="6" t="s">
        <v>1896</v>
      </c>
      <c r="B284" s="6" t="s">
        <v>2990</v>
      </c>
      <c r="C28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v>
      </c>
    </row>
    <row r="285">
      <c r="A285" s="6" t="s">
        <v>2991</v>
      </c>
      <c r="B285" s="6" t="s">
        <v>2992</v>
      </c>
      <c r="C28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v>
      </c>
    </row>
    <row r="286">
      <c r="A286" s="6" t="s">
        <v>1900</v>
      </c>
      <c r="B286" s="6" t="s">
        <v>2993</v>
      </c>
      <c r="C28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v>
      </c>
    </row>
    <row r="287">
      <c r="A287" s="6" t="s">
        <v>2994</v>
      </c>
      <c r="B287" s="6" t="s">
        <v>2995</v>
      </c>
      <c r="C28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v>
      </c>
    </row>
    <row r="288">
      <c r="A288" s="6" t="s">
        <v>2996</v>
      </c>
      <c r="B288" s="6" t="s">
        <v>2997</v>
      </c>
      <c r="C28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v>
      </c>
    </row>
    <row r="289">
      <c r="A289" s="6" t="s">
        <v>1915</v>
      </c>
      <c r="B289" s="6" t="s">
        <v>2998</v>
      </c>
      <c r="C28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v>
      </c>
    </row>
    <row r="290">
      <c r="A290" s="6" t="s">
        <v>1917</v>
      </c>
      <c r="B290" s="6" t="s">
        <v>2999</v>
      </c>
      <c r="C29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v>
      </c>
    </row>
    <row r="291">
      <c r="A291" s="6" t="s">
        <v>3000</v>
      </c>
      <c r="B291" s="6" t="s">
        <v>3001</v>
      </c>
      <c r="C29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v>
      </c>
    </row>
    <row r="292">
      <c r="A292" s="6" t="s">
        <v>3002</v>
      </c>
      <c r="B292" s="6" t="s">
        <v>3003</v>
      </c>
      <c r="C29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v>
      </c>
    </row>
    <row r="293">
      <c r="A293" s="6" t="s">
        <v>1930</v>
      </c>
      <c r="B293" s="6" t="s">
        <v>3004</v>
      </c>
      <c r="C29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v>
      </c>
    </row>
    <row r="294">
      <c r="A294" s="6" t="s">
        <v>1932</v>
      </c>
      <c r="B294" s="6" t="s">
        <v>3005</v>
      </c>
      <c r="C29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v>
      </c>
    </row>
    <row r="295">
      <c r="A295" s="6" t="s">
        <v>3006</v>
      </c>
      <c r="B295" s="6" t="s">
        <v>3007</v>
      </c>
      <c r="C29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v>
      </c>
    </row>
    <row r="296">
      <c r="A296" s="6" t="s">
        <v>3008</v>
      </c>
      <c r="B296" s="6" t="s">
        <v>3009</v>
      </c>
      <c r="C29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v>
      </c>
    </row>
    <row r="297">
      <c r="A297" s="6" t="s">
        <v>3010</v>
      </c>
      <c r="B297" s="6" t="s">
        <v>3011</v>
      </c>
      <c r="C29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v>
      </c>
    </row>
    <row r="298">
      <c r="A298" s="6" t="s">
        <v>3012</v>
      </c>
      <c r="B298" s="6" t="s">
        <v>3013</v>
      </c>
      <c r="C29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v>
      </c>
    </row>
    <row r="299">
      <c r="A299" s="6" t="s">
        <v>3014</v>
      </c>
      <c r="B299" s="6" t="s">
        <v>3015</v>
      </c>
      <c r="C29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v>
      </c>
    </row>
    <row r="300">
      <c r="A300" s="6" t="s">
        <v>1952</v>
      </c>
      <c r="B300" s="6" t="s">
        <v>3016</v>
      </c>
      <c r="C30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v>
      </c>
    </row>
    <row r="301">
      <c r="A301" s="6" t="s">
        <v>1954</v>
      </c>
      <c r="B301" s="6" t="s">
        <v>3017</v>
      </c>
      <c r="C30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v>
      </c>
    </row>
    <row r="302">
      <c r="A302" s="6" t="s">
        <v>3018</v>
      </c>
      <c r="B302" s="6" t="s">
        <v>3019</v>
      </c>
      <c r="C30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v>
      </c>
    </row>
    <row r="303">
      <c r="A303" s="6" t="s">
        <v>1958</v>
      </c>
      <c r="B303" s="6" t="s">
        <v>3020</v>
      </c>
      <c r="C30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v>
      </c>
    </row>
    <row r="304">
      <c r="A304" s="6" t="s">
        <v>3021</v>
      </c>
      <c r="B304" s="6" t="s">
        <v>3022</v>
      </c>
      <c r="C30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v>
      </c>
    </row>
    <row r="305">
      <c r="A305" s="6" t="s">
        <v>3023</v>
      </c>
      <c r="B305" s="6" t="s">
        <v>3024</v>
      </c>
      <c r="C30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v>
      </c>
    </row>
    <row r="306">
      <c r="A306" s="6" t="s">
        <v>3025</v>
      </c>
      <c r="B306" s="6" t="s">
        <v>3026</v>
      </c>
      <c r="C30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v>
      </c>
    </row>
    <row r="307">
      <c r="A307" s="6" t="s">
        <v>1971</v>
      </c>
      <c r="B307" s="6" t="s">
        <v>3027</v>
      </c>
      <c r="C30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v>
      </c>
    </row>
    <row r="308">
      <c r="A308" s="6" t="s">
        <v>3028</v>
      </c>
      <c r="B308" s="6" t="s">
        <v>3029</v>
      </c>
      <c r="C30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v>
      </c>
    </row>
    <row r="309">
      <c r="A309" s="6" t="s">
        <v>3030</v>
      </c>
      <c r="B309" s="6" t="s">
        <v>3031</v>
      </c>
      <c r="C30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v>
      </c>
    </row>
    <row r="310">
      <c r="A310" s="6" t="s">
        <v>3032</v>
      </c>
      <c r="B310" s="6" t="s">
        <v>3033</v>
      </c>
      <c r="C31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v>
      </c>
    </row>
    <row r="311">
      <c r="A311" s="6" t="s">
        <v>3034</v>
      </c>
      <c r="B311" s="6" t="s">
        <v>3035</v>
      </c>
      <c r="C31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v>
      </c>
    </row>
    <row r="312">
      <c r="A312" s="6" t="s">
        <v>1988</v>
      </c>
      <c r="B312" s="6" t="s">
        <v>3036</v>
      </c>
      <c r="C31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v>
      </c>
    </row>
    <row r="313">
      <c r="A313" s="6" t="s">
        <v>3037</v>
      </c>
      <c r="B313" s="6" t="s">
        <v>3038</v>
      </c>
      <c r="C31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v>
      </c>
    </row>
    <row r="314">
      <c r="A314" s="6" t="s">
        <v>1995</v>
      </c>
      <c r="B314" s="6" t="s">
        <v>3039</v>
      </c>
      <c r="C31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v>
      </c>
    </row>
    <row r="315">
      <c r="A315" s="6" t="s">
        <v>1997</v>
      </c>
      <c r="B315" s="6" t="s">
        <v>3040</v>
      </c>
      <c r="C31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v>
      </c>
    </row>
    <row r="316">
      <c r="A316" s="6" t="s">
        <v>3041</v>
      </c>
      <c r="B316" s="6" t="s">
        <v>3042</v>
      </c>
      <c r="C31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v>
      </c>
    </row>
    <row r="317">
      <c r="A317" s="6" t="s">
        <v>3043</v>
      </c>
      <c r="B317" s="6" t="s">
        <v>3044</v>
      </c>
      <c r="C31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v>
      </c>
    </row>
    <row r="318">
      <c r="A318" s="6" t="s">
        <v>3045</v>
      </c>
      <c r="B318" s="6" t="s">
        <v>3046</v>
      </c>
      <c r="C31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v>
      </c>
    </row>
    <row r="319">
      <c r="A319" s="6" t="s">
        <v>3047</v>
      </c>
      <c r="B319" s="6" t="s">
        <v>3048</v>
      </c>
      <c r="C31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v>
      </c>
    </row>
    <row r="320">
      <c r="A320" s="6" t="s">
        <v>3049</v>
      </c>
      <c r="B320" s="6" t="s">
        <v>3050</v>
      </c>
      <c r="C32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v>
      </c>
    </row>
    <row r="321">
      <c r="A321" s="6" t="s">
        <v>3051</v>
      </c>
      <c r="B321" s="6" t="s">
        <v>3052</v>
      </c>
      <c r="C32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v>
      </c>
    </row>
    <row r="322">
      <c r="A322" s="6" t="s">
        <v>3053</v>
      </c>
      <c r="B322" s="6" t="s">
        <v>3054</v>
      </c>
      <c r="C32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v>
      </c>
    </row>
    <row r="323">
      <c r="A323" s="6" t="s">
        <v>2019</v>
      </c>
      <c r="B323" s="6" t="s">
        <v>3055</v>
      </c>
      <c r="C32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v>
      </c>
    </row>
    <row r="324">
      <c r="A324" s="6" t="s">
        <v>3056</v>
      </c>
      <c r="B324" s="6" t="s">
        <v>3057</v>
      </c>
      <c r="C32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v>
      </c>
    </row>
    <row r="325">
      <c r="A325" s="6" t="s">
        <v>3058</v>
      </c>
      <c r="B325" s="6" t="s">
        <v>3059</v>
      </c>
      <c r="C32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v>
      </c>
    </row>
    <row r="326">
      <c r="A326" s="6" t="s">
        <v>3060</v>
      </c>
      <c r="B326" s="6" t="s">
        <v>3061</v>
      </c>
      <c r="C32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v>
      </c>
    </row>
    <row r="327">
      <c r="A327" s="6" t="s">
        <v>3062</v>
      </c>
      <c r="B327" s="6" t="s">
        <v>3063</v>
      </c>
      <c r="C32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v>
      </c>
    </row>
    <row r="328">
      <c r="A328" s="6" t="s">
        <v>3064</v>
      </c>
      <c r="B328" s="6" t="s">
        <v>3065</v>
      </c>
      <c r="C32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v>
      </c>
    </row>
    <row r="329">
      <c r="A329" s="6" t="s">
        <v>3066</v>
      </c>
      <c r="B329" s="6" t="s">
        <v>3067</v>
      </c>
      <c r="C32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v>
      </c>
    </row>
    <row r="330">
      <c r="A330" s="6" t="s">
        <v>3068</v>
      </c>
      <c r="B330" s="6" t="s">
        <v>3069</v>
      </c>
      <c r="C33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v>
      </c>
    </row>
    <row r="331">
      <c r="A331" s="6" t="s">
        <v>3070</v>
      </c>
      <c r="B331" s="6" t="s">
        <v>3071</v>
      </c>
      <c r="C33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v>
      </c>
    </row>
    <row r="332">
      <c r="A332" s="6" t="s">
        <v>3072</v>
      </c>
      <c r="B332" s="6" t="s">
        <v>3073</v>
      </c>
      <c r="C33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v>
      </c>
    </row>
    <row r="333">
      <c r="A333" s="6" t="s">
        <v>3074</v>
      </c>
      <c r="B333" s="6" t="s">
        <v>3075</v>
      </c>
      <c r="C33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v>
      </c>
    </row>
    <row r="334">
      <c r="A334" s="6" t="s">
        <v>3076</v>
      </c>
      <c r="B334" s="6" t="s">
        <v>3077</v>
      </c>
      <c r="C33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v>
      </c>
    </row>
    <row r="335">
      <c r="A335" s="6" t="s">
        <v>3078</v>
      </c>
      <c r="B335" s="6" t="s">
        <v>3079</v>
      </c>
      <c r="C33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v>
      </c>
    </row>
    <row r="336">
      <c r="A336" s="6" t="s">
        <v>3080</v>
      </c>
      <c r="B336" s="6" t="s">
        <v>3081</v>
      </c>
      <c r="C33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v>
      </c>
    </row>
    <row r="337">
      <c r="A337" s="6" t="s">
        <v>3082</v>
      </c>
      <c r="B337" s="6" t="s">
        <v>3083</v>
      </c>
      <c r="C33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v>
      </c>
    </row>
    <row r="338">
      <c r="A338" s="6" t="s">
        <v>3084</v>
      </c>
      <c r="B338" s="6" t="s">
        <v>3085</v>
      </c>
      <c r="C33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v>
      </c>
    </row>
    <row r="339">
      <c r="A339" s="6" t="s">
        <v>3086</v>
      </c>
      <c r="B339" s="6" t="s">
        <v>3087</v>
      </c>
      <c r="C33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v>
      </c>
    </row>
    <row r="340">
      <c r="A340" s="6" t="s">
        <v>3088</v>
      </c>
      <c r="B340" s="6" t="s">
        <v>3089</v>
      </c>
      <c r="C34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v>
      </c>
    </row>
    <row r="341">
      <c r="A341" s="6" t="s">
        <v>3090</v>
      </c>
      <c r="B341" s="6" t="s">
        <v>3091</v>
      </c>
      <c r="C34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v>
      </c>
    </row>
    <row r="342">
      <c r="A342" s="6" t="s">
        <v>3092</v>
      </c>
      <c r="B342" s="6" t="s">
        <v>3093</v>
      </c>
      <c r="C34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v>
      </c>
    </row>
    <row r="343">
      <c r="A343" s="6" t="s">
        <v>3094</v>
      </c>
      <c r="B343" s="6" t="s">
        <v>3095</v>
      </c>
      <c r="C34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v>
      </c>
    </row>
    <row r="344">
      <c r="A344" s="6" t="s">
        <v>3096</v>
      </c>
      <c r="B344" s="6" t="s">
        <v>3097</v>
      </c>
      <c r="C34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v>
      </c>
    </row>
    <row r="345">
      <c r="A345" s="6" t="s">
        <v>3098</v>
      </c>
      <c r="B345" s="6" t="s">
        <v>3099</v>
      </c>
      <c r="C34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v>
      </c>
    </row>
    <row r="346">
      <c r="A346" s="6" t="s">
        <v>3100</v>
      </c>
      <c r="B346" s="6" t="s">
        <v>3101</v>
      </c>
      <c r="C34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v>
      </c>
    </row>
    <row r="347">
      <c r="A347" s="6" t="s">
        <v>2113</v>
      </c>
      <c r="B347" s="6" t="s">
        <v>3102</v>
      </c>
      <c r="C34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v>
      </c>
    </row>
    <row r="348">
      <c r="A348" s="6" t="s">
        <v>3103</v>
      </c>
      <c r="B348" s="6" t="s">
        <v>3104</v>
      </c>
      <c r="C34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v>
      </c>
    </row>
    <row r="349">
      <c r="A349" s="6" t="s">
        <v>3105</v>
      </c>
      <c r="B349" s="6" t="s">
        <v>3106</v>
      </c>
      <c r="C34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v>
      </c>
    </row>
    <row r="350">
      <c r="A350" s="6" t="s">
        <v>3107</v>
      </c>
      <c r="B350" s="6" t="s">
        <v>3108</v>
      </c>
      <c r="C35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v>
      </c>
    </row>
    <row r="351">
      <c r="A351" s="6" t="s">
        <v>3109</v>
      </c>
      <c r="B351" s="6" t="s">
        <v>3110</v>
      </c>
      <c r="C35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v>
      </c>
    </row>
    <row r="352">
      <c r="A352" s="6" t="s">
        <v>3111</v>
      </c>
      <c r="B352" s="6" t="s">
        <v>3112</v>
      </c>
      <c r="C35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v>
      </c>
    </row>
    <row r="353">
      <c r="A353" s="6" t="s">
        <v>2138</v>
      </c>
      <c r="B353" s="6" t="s">
        <v>3113</v>
      </c>
      <c r="C35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v>
      </c>
    </row>
    <row r="354">
      <c r="A354" s="6" t="s">
        <v>2140</v>
      </c>
      <c r="B354" s="6" t="s">
        <v>3114</v>
      </c>
      <c r="C35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v>
      </c>
    </row>
    <row r="355">
      <c r="A355" s="6" t="s">
        <v>2143</v>
      </c>
      <c r="B355" s="6" t="s">
        <v>3115</v>
      </c>
      <c r="C35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v>
      </c>
    </row>
    <row r="356">
      <c r="A356" s="6" t="s">
        <v>2145</v>
      </c>
      <c r="B356" s="6" t="s">
        <v>3116</v>
      </c>
      <c r="C35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v>
      </c>
    </row>
    <row r="357">
      <c r="A357" s="6" t="s">
        <v>2147</v>
      </c>
      <c r="B357" s="6" t="s">
        <v>3117</v>
      </c>
      <c r="C35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v>
      </c>
    </row>
    <row r="358">
      <c r="A358" s="6" t="s">
        <v>2149</v>
      </c>
      <c r="B358" s="6" t="s">
        <v>3118</v>
      </c>
      <c r="C35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v>
      </c>
    </row>
    <row r="359">
      <c r="A359" s="6" t="s">
        <v>2151</v>
      </c>
      <c r="B359" s="6" t="s">
        <v>3119</v>
      </c>
      <c r="C35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v>
      </c>
    </row>
    <row r="360">
      <c r="A360" s="6" t="s">
        <v>2153</v>
      </c>
      <c r="B360" s="6" t="s">
        <v>3120</v>
      </c>
      <c r="C36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v>
      </c>
    </row>
    <row r="361">
      <c r="A361" s="6" t="s">
        <v>2155</v>
      </c>
      <c r="B361" s="6" t="s">
        <v>3121</v>
      </c>
      <c r="C36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v>
      </c>
    </row>
    <row r="362">
      <c r="A362" s="6" t="s">
        <v>2157</v>
      </c>
      <c r="B362" s="6" t="s">
        <v>3122</v>
      </c>
      <c r="C36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v>
      </c>
    </row>
    <row r="363">
      <c r="A363" s="6" t="s">
        <v>2159</v>
      </c>
      <c r="B363" s="6" t="s">
        <v>3123</v>
      </c>
      <c r="C36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v>
      </c>
    </row>
    <row r="364">
      <c r="A364" s="6" t="s">
        <v>2161</v>
      </c>
      <c r="B364" s="6" t="s">
        <v>3124</v>
      </c>
      <c r="C36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v>
      </c>
    </row>
    <row r="365">
      <c r="A365" s="6" t="s">
        <v>2163</v>
      </c>
      <c r="B365" s="6" t="s">
        <v>3125</v>
      </c>
      <c r="C36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v>
      </c>
    </row>
    <row r="366">
      <c r="A366" s="6" t="s">
        <v>2165</v>
      </c>
      <c r="B366" s="6" t="s">
        <v>3126</v>
      </c>
      <c r="C36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v>
      </c>
    </row>
    <row r="367">
      <c r="A367" s="6" t="s">
        <v>2167</v>
      </c>
      <c r="B367" s="6" t="s">
        <v>3127</v>
      </c>
      <c r="C36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v>
      </c>
    </row>
    <row r="368">
      <c r="A368" s="6" t="s">
        <v>2169</v>
      </c>
      <c r="B368" s="6" t="s">
        <v>3128</v>
      </c>
      <c r="C36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v>
      </c>
    </row>
    <row r="369">
      <c r="A369" s="6" t="s">
        <v>2173</v>
      </c>
      <c r="B369" s="6" t="s">
        <v>3129</v>
      </c>
      <c r="C36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v>
      </c>
    </row>
    <row r="370">
      <c r="A370" s="6" t="s">
        <v>2175</v>
      </c>
      <c r="B370" s="6" t="s">
        <v>3130</v>
      </c>
      <c r="C37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v>
      </c>
    </row>
    <row r="371">
      <c r="A371" s="6" t="s">
        <v>3131</v>
      </c>
      <c r="B371" s="6" t="s">
        <v>3132</v>
      </c>
      <c r="C37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v>
      </c>
    </row>
    <row r="372">
      <c r="A372" s="6" t="s">
        <v>2182</v>
      </c>
      <c r="B372" s="6" t="s">
        <v>3133</v>
      </c>
      <c r="C37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v>
      </c>
    </row>
    <row r="373">
      <c r="A373" s="6" t="s">
        <v>3134</v>
      </c>
      <c r="B373" s="6" t="s">
        <v>3135</v>
      </c>
      <c r="C37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v>
      </c>
    </row>
    <row r="374">
      <c r="A374" s="6" t="s">
        <v>2188</v>
      </c>
      <c r="B374" s="6" t="s">
        <v>3136</v>
      </c>
      <c r="C37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v>
      </c>
    </row>
    <row r="375">
      <c r="A375" s="6" t="s">
        <v>8</v>
      </c>
      <c r="B375" s="6" t="s">
        <v>3137</v>
      </c>
      <c r="C37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v>
      </c>
    </row>
    <row r="376">
      <c r="A376" s="6" t="s">
        <v>3138</v>
      </c>
      <c r="B376" s="6" t="s">
        <v>3139</v>
      </c>
      <c r="C37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v>
      </c>
    </row>
    <row r="377">
      <c r="A377" s="6" t="s">
        <v>3140</v>
      </c>
      <c r="B377" s="6" t="s">
        <v>3141</v>
      </c>
      <c r="C37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v>
      </c>
    </row>
    <row r="378">
      <c r="A378" s="6" t="s">
        <v>3142</v>
      </c>
      <c r="B378" s="6" t="s">
        <v>3143</v>
      </c>
      <c r="C37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v>
      </c>
    </row>
    <row r="379">
      <c r="A379" s="6" t="s">
        <v>3144</v>
      </c>
      <c r="B379" s="6" t="s">
        <v>3145</v>
      </c>
      <c r="C37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v>
      </c>
    </row>
    <row r="380">
      <c r="A380" s="6" t="s">
        <v>3146</v>
      </c>
      <c r="B380" s="6" t="s">
        <v>3147</v>
      </c>
      <c r="C38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v>
      </c>
    </row>
    <row r="381">
      <c r="A381" s="6" t="s">
        <v>3148</v>
      </c>
      <c r="B381" s="6" t="s">
        <v>3149</v>
      </c>
      <c r="C38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v>
      </c>
    </row>
    <row r="382">
      <c r="A382" s="6" t="s">
        <v>3150</v>
      </c>
      <c r="B382" s="6" t="s">
        <v>3151</v>
      </c>
      <c r="C38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v>
      </c>
    </row>
    <row r="383">
      <c r="A383" s="6" t="s">
        <v>3152</v>
      </c>
      <c r="B383" s="6" t="s">
        <v>3153</v>
      </c>
      <c r="C38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v>
      </c>
    </row>
    <row r="384">
      <c r="A384" s="6" t="s">
        <v>3154</v>
      </c>
      <c r="B384" s="6" t="s">
        <v>3155</v>
      </c>
      <c r="C38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v>
      </c>
    </row>
    <row r="385">
      <c r="A385" s="6" t="s">
        <v>474</v>
      </c>
      <c r="B385" s="6" t="s">
        <v>3156</v>
      </c>
      <c r="C38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v>
      </c>
    </row>
    <row r="386">
      <c r="A386" s="6" t="s">
        <v>3157</v>
      </c>
      <c r="B386" s="6" t="s">
        <v>3158</v>
      </c>
      <c r="C38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v>
      </c>
    </row>
    <row r="387">
      <c r="A387" s="6" t="s">
        <v>3159</v>
      </c>
      <c r="B387" s="6" t="s">
        <v>3160</v>
      </c>
      <c r="C38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v>
      </c>
    </row>
    <row r="388">
      <c r="A388" s="6" t="s">
        <v>3161</v>
      </c>
      <c r="B388" s="6" t="s">
        <v>3162</v>
      </c>
      <c r="C38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v>
      </c>
    </row>
    <row r="389">
      <c r="A389" s="6" t="s">
        <v>3163</v>
      </c>
      <c r="B389" s="6" t="s">
        <v>3164</v>
      </c>
      <c r="C38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v>
      </c>
    </row>
    <row r="390">
      <c r="A390" s="6" t="s">
        <v>3165</v>
      </c>
      <c r="B390" s="6" t="s">
        <v>3166</v>
      </c>
      <c r="C39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v>
      </c>
    </row>
    <row r="391">
      <c r="A391" s="6" t="s">
        <v>3167</v>
      </c>
      <c r="B391" s="6" t="s">
        <v>3168</v>
      </c>
      <c r="C39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v>
      </c>
    </row>
    <row r="392">
      <c r="A392" s="6" t="s">
        <v>3169</v>
      </c>
      <c r="B392" s="6" t="s">
        <v>3170</v>
      </c>
      <c r="C39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v>
      </c>
    </row>
    <row r="393">
      <c r="A393" s="6" t="s">
        <v>3171</v>
      </c>
      <c r="B393" s="6" t="s">
        <v>3172</v>
      </c>
      <c r="C39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v>
      </c>
    </row>
    <row r="394">
      <c r="A394" s="6" t="s">
        <v>2264</v>
      </c>
      <c r="B394" s="6" t="s">
        <v>3173</v>
      </c>
      <c r="C39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v>
      </c>
    </row>
    <row r="395">
      <c r="A395" s="6" t="s">
        <v>480</v>
      </c>
      <c r="B395" s="6" t="s">
        <v>3174</v>
      </c>
      <c r="C39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v>
      </c>
    </row>
    <row r="396">
      <c r="A396" s="6" t="s">
        <v>3175</v>
      </c>
      <c r="B396" s="6" t="s">
        <v>3176</v>
      </c>
      <c r="C39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v>
      </c>
    </row>
    <row r="397">
      <c r="A397" s="6" t="s">
        <v>3177</v>
      </c>
      <c r="B397" s="6" t="s">
        <v>3178</v>
      </c>
      <c r="C39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v>
      </c>
    </row>
    <row r="398">
      <c r="A398" s="6" t="s">
        <v>3179</v>
      </c>
      <c r="B398" s="6" t="s">
        <v>3180</v>
      </c>
      <c r="C39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v>
      </c>
    </row>
    <row r="399">
      <c r="A399" s="6" t="s">
        <v>3181</v>
      </c>
      <c r="B399" s="6" t="s">
        <v>3182</v>
      </c>
      <c r="C39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v>
      </c>
    </row>
    <row r="400">
      <c r="A400" s="6" t="s">
        <v>3183</v>
      </c>
      <c r="B400" s="6" t="s">
        <v>3184</v>
      </c>
      <c r="C40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v>
      </c>
    </row>
    <row r="401">
      <c r="A401" s="6" t="s">
        <v>3185</v>
      </c>
      <c r="B401" s="6" t="s">
        <v>3186</v>
      </c>
      <c r="C40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v>
      </c>
    </row>
    <row r="402">
      <c r="A402" s="6" t="s">
        <v>3187</v>
      </c>
      <c r="B402" s="6" t="s">
        <v>3188</v>
      </c>
      <c r="C40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v>
      </c>
    </row>
    <row r="403">
      <c r="A403" s="6" t="s">
        <v>3189</v>
      </c>
      <c r="B403" s="6" t="s">
        <v>3190</v>
      </c>
      <c r="C40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v>
      </c>
    </row>
    <row r="404">
      <c r="A404" s="6" t="s">
        <v>2293</v>
      </c>
      <c r="B404" s="6" t="s">
        <v>3191</v>
      </c>
      <c r="C40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v>
      </c>
    </row>
    <row r="405">
      <c r="A405" s="6" t="s">
        <v>2295</v>
      </c>
      <c r="B405" s="6" t="s">
        <v>3192</v>
      </c>
      <c r="C40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v>
      </c>
    </row>
    <row r="406">
      <c r="A406" s="6" t="s">
        <v>2297</v>
      </c>
      <c r="B406" s="6" t="s">
        <v>3193</v>
      </c>
      <c r="C40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v>
      </c>
    </row>
    <row r="407">
      <c r="A407" s="6" t="s">
        <v>3194</v>
      </c>
      <c r="B407" s="6" t="s">
        <v>3195</v>
      </c>
      <c r="C40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v>
      </c>
    </row>
    <row r="408">
      <c r="A408" s="6" t="s">
        <v>3196</v>
      </c>
      <c r="B408" s="6" t="s">
        <v>3197</v>
      </c>
      <c r="C40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v>
      </c>
    </row>
    <row r="409">
      <c r="A409" s="6" t="s">
        <v>3198</v>
      </c>
      <c r="B409" s="6" t="s">
        <v>3199</v>
      </c>
      <c r="C40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v>
      </c>
    </row>
    <row r="410">
      <c r="A410" s="6" t="s">
        <v>3200</v>
      </c>
      <c r="B410" s="6" t="s">
        <v>3201</v>
      </c>
      <c r="C41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v>
      </c>
    </row>
    <row r="411">
      <c r="A411" s="6" t="s">
        <v>3202</v>
      </c>
      <c r="B411" s="6" t="s">
        <v>3203</v>
      </c>
      <c r="C41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v>
      </c>
    </row>
    <row r="412">
      <c r="A412" s="6" t="s">
        <v>3204</v>
      </c>
      <c r="B412" s="6" t="s">
        <v>3205</v>
      </c>
      <c r="C41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v>
      </c>
    </row>
    <row r="413">
      <c r="A413" s="6" t="s">
        <v>3206</v>
      </c>
      <c r="B413" s="6" t="s">
        <v>3207</v>
      </c>
      <c r="C41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v>
      </c>
    </row>
    <row r="414">
      <c r="A414" s="6" t="s">
        <v>3208</v>
      </c>
      <c r="B414" s="6" t="s">
        <v>3209</v>
      </c>
      <c r="C41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v>
      </c>
    </row>
    <row r="415">
      <c r="A415" s="6" t="s">
        <v>3210</v>
      </c>
      <c r="B415" s="6" t="s">
        <v>3211</v>
      </c>
      <c r="C41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v>
      </c>
    </row>
    <row r="416">
      <c r="A416" s="6" t="s">
        <v>3212</v>
      </c>
      <c r="B416" s="6" t="s">
        <v>3213</v>
      </c>
      <c r="C41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v>
      </c>
    </row>
    <row r="417">
      <c r="A417" s="6" t="s">
        <v>3214</v>
      </c>
      <c r="B417" s="6" t="s">
        <v>3215</v>
      </c>
      <c r="C41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v>
      </c>
    </row>
    <row r="418">
      <c r="A418" s="6" t="s">
        <v>2351</v>
      </c>
      <c r="B418" s="6" t="s">
        <v>3216</v>
      </c>
      <c r="C41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v>
      </c>
    </row>
    <row r="419">
      <c r="A419" s="6" t="s">
        <v>3217</v>
      </c>
      <c r="B419" s="6" t="s">
        <v>3218</v>
      </c>
      <c r="C41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v>
      </c>
    </row>
    <row r="420">
      <c r="A420" s="6" t="s">
        <v>3219</v>
      </c>
      <c r="B420" s="6" t="s">
        <v>3220</v>
      </c>
      <c r="C42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v>
      </c>
    </row>
    <row r="421">
      <c r="A421" s="6" t="s">
        <v>3221</v>
      </c>
      <c r="B421" s="6" t="s">
        <v>3222</v>
      </c>
      <c r="C42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v>
      </c>
    </row>
    <row r="422">
      <c r="A422" s="6" t="s">
        <v>3223</v>
      </c>
      <c r="B422" s="6" t="s">
        <v>3224</v>
      </c>
      <c r="C42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v>
      </c>
    </row>
    <row r="423">
      <c r="A423" s="6" t="s">
        <v>3225</v>
      </c>
      <c r="B423" s="6" t="s">
        <v>3226</v>
      </c>
      <c r="C42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v>
      </c>
    </row>
    <row r="424">
      <c r="A424" s="6" t="s">
        <v>3227</v>
      </c>
      <c r="B424" s="6" t="s">
        <v>3228</v>
      </c>
      <c r="C42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v>
      </c>
    </row>
    <row r="425">
      <c r="A425" s="6" t="s">
        <v>6</v>
      </c>
      <c r="B425" s="6" t="s">
        <v>3229</v>
      </c>
      <c r="C42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v>
      </c>
    </row>
    <row r="426">
      <c r="A426" s="6" t="s">
        <v>3230</v>
      </c>
      <c r="B426" s="6" t="s">
        <v>3231</v>
      </c>
      <c r="C42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v>
      </c>
    </row>
    <row r="427">
      <c r="A427" s="6" t="s">
        <v>3232</v>
      </c>
      <c r="B427" s="6" t="s">
        <v>3233</v>
      </c>
      <c r="C42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v>
      </c>
    </row>
    <row r="428">
      <c r="A428" s="6" t="s">
        <v>3234</v>
      </c>
      <c r="B428" s="6" t="s">
        <v>3235</v>
      </c>
      <c r="C42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v>
      </c>
    </row>
    <row r="429">
      <c r="A429" s="6" t="s">
        <v>3236</v>
      </c>
      <c r="B429" s="6" t="s">
        <v>3237</v>
      </c>
      <c r="C42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v>
      </c>
    </row>
    <row r="430">
      <c r="A430" s="6" t="s">
        <v>3238</v>
      </c>
      <c r="B430" s="6" t="s">
        <v>3239</v>
      </c>
      <c r="C43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v>
      </c>
    </row>
    <row r="431">
      <c r="A431" s="6" t="s">
        <v>3240</v>
      </c>
      <c r="B431" s="6" t="s">
        <v>3241</v>
      </c>
      <c r="C43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v>
      </c>
    </row>
    <row r="432">
      <c r="A432" s="6" t="s">
        <v>3242</v>
      </c>
      <c r="B432" s="6" t="s">
        <v>3243</v>
      </c>
      <c r="C43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v>
      </c>
    </row>
    <row r="433">
      <c r="A433" s="6" t="s">
        <v>3244</v>
      </c>
      <c r="B433" s="6" t="s">
        <v>3245</v>
      </c>
      <c r="C43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v>
      </c>
    </row>
    <row r="434">
      <c r="A434" s="6" t="s">
        <v>3246</v>
      </c>
      <c r="B434" s="6" t="s">
        <v>3247</v>
      </c>
      <c r="C43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v>
      </c>
    </row>
    <row r="435">
      <c r="A435" s="6" t="s">
        <v>3248</v>
      </c>
      <c r="B435" s="6" t="s">
        <v>3249</v>
      </c>
      <c r="C43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v>
      </c>
    </row>
    <row r="436">
      <c r="A436" s="6" t="s">
        <v>3250</v>
      </c>
      <c r="B436" s="6" t="s">
        <v>3251</v>
      </c>
      <c r="C43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v>
      </c>
    </row>
    <row r="437">
      <c r="A437" s="6" t="s">
        <v>3252</v>
      </c>
      <c r="B437" s="6" t="s">
        <v>3253</v>
      </c>
      <c r="C43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v>
      </c>
    </row>
    <row r="438">
      <c r="A438" s="6" t="s">
        <v>2392</v>
      </c>
      <c r="B438" s="6" t="s">
        <v>3254</v>
      </c>
      <c r="C43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v>
      </c>
    </row>
    <row r="439">
      <c r="A439" s="6" t="s">
        <v>3255</v>
      </c>
      <c r="B439" s="6" t="s">
        <v>3256</v>
      </c>
      <c r="C43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v>
      </c>
    </row>
    <row r="440">
      <c r="A440" s="6" t="s">
        <v>3257</v>
      </c>
      <c r="B440" s="6" t="s">
        <v>3258</v>
      </c>
      <c r="C44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v>
      </c>
    </row>
    <row r="441">
      <c r="A441" s="6" t="s">
        <v>3259</v>
      </c>
      <c r="B441" s="6" t="s">
        <v>3260</v>
      </c>
      <c r="C44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v>
      </c>
    </row>
    <row r="442">
      <c r="A442" s="6" t="s">
        <v>3261</v>
      </c>
      <c r="B442" s="6" t="s">
        <v>3262</v>
      </c>
      <c r="C44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v>
      </c>
    </row>
    <row r="443">
      <c r="A443" s="6" t="s">
        <v>3263</v>
      </c>
      <c r="B443" s="6" t="s">
        <v>3264</v>
      </c>
      <c r="C44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v>
      </c>
    </row>
    <row r="444">
      <c r="A444" s="6" t="s">
        <v>3265</v>
      </c>
      <c r="B444" s="6" t="s">
        <v>3266</v>
      </c>
      <c r="C44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v>
      </c>
    </row>
    <row r="445">
      <c r="A445" s="6" t="s">
        <v>3267</v>
      </c>
      <c r="B445" s="6" t="s">
        <v>3268</v>
      </c>
      <c r="C44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v>
      </c>
    </row>
    <row r="446">
      <c r="A446" s="6" t="s">
        <v>3269</v>
      </c>
      <c r="B446" s="6" t="s">
        <v>3270</v>
      </c>
      <c r="C44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v>
      </c>
    </row>
    <row r="447">
      <c r="A447" s="6" t="s">
        <v>3271</v>
      </c>
      <c r="B447" s="6" t="s">
        <v>3272</v>
      </c>
      <c r="C44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v>
      </c>
    </row>
    <row r="448">
      <c r="A448" s="6" t="s">
        <v>2407</v>
      </c>
      <c r="B448" s="6" t="s">
        <v>3273</v>
      </c>
      <c r="C44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v>
      </c>
    </row>
    <row r="449">
      <c r="A449" s="6" t="s">
        <v>3274</v>
      </c>
      <c r="B449" s="6" t="s">
        <v>3275</v>
      </c>
      <c r="C44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v>
      </c>
    </row>
    <row r="450">
      <c r="A450" s="6" t="s">
        <v>3276</v>
      </c>
      <c r="B450" s="6" t="s">
        <v>3277</v>
      </c>
      <c r="C45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v>
      </c>
    </row>
    <row r="451">
      <c r="A451" s="6" t="s">
        <v>3278</v>
      </c>
      <c r="B451" s="6" t="s">
        <v>3279</v>
      </c>
      <c r="C45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v>
      </c>
    </row>
    <row r="452">
      <c r="A452" s="6" t="s">
        <v>3280</v>
      </c>
      <c r="B452" s="6" t="s">
        <v>3281</v>
      </c>
      <c r="C45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v>
      </c>
    </row>
    <row r="453">
      <c r="A453" s="6" t="s">
        <v>3282</v>
      </c>
      <c r="B453" s="6" t="s">
        <v>3283</v>
      </c>
      <c r="C45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v>
      </c>
    </row>
    <row r="454">
      <c r="A454" s="6" t="s">
        <v>3284</v>
      </c>
      <c r="B454" s="6" t="s">
        <v>3285</v>
      </c>
      <c r="C45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v>
      </c>
    </row>
    <row r="455">
      <c r="A455" s="6" t="s">
        <v>3286</v>
      </c>
      <c r="B455" s="6" t="s">
        <v>3287</v>
      </c>
      <c r="C45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v>
      </c>
    </row>
    <row r="456">
      <c r="A456" s="6" t="s">
        <v>3288</v>
      </c>
      <c r="B456" s="6" t="s">
        <v>3289</v>
      </c>
      <c r="C45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v>
      </c>
    </row>
    <row r="457">
      <c r="A457" s="6" t="s">
        <v>3290</v>
      </c>
      <c r="B457" s="6" t="s">
        <v>3291</v>
      </c>
      <c r="C45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v>
      </c>
    </row>
    <row r="458">
      <c r="A458" s="6" t="s">
        <v>3292</v>
      </c>
      <c r="B458" s="6" t="s">
        <v>3293</v>
      </c>
      <c r="C45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v>
      </c>
    </row>
    <row r="459">
      <c r="A459" s="6" t="s">
        <v>3294</v>
      </c>
      <c r="B459" s="6" t="s">
        <v>3295</v>
      </c>
      <c r="C45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v>
      </c>
    </row>
    <row r="460">
      <c r="A460" s="6" t="s">
        <v>3296</v>
      </c>
      <c r="B460" s="6" t="s">
        <v>3297</v>
      </c>
      <c r="C46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v>
      </c>
    </row>
    <row r="461">
      <c r="A461" s="6" t="s">
        <v>688</v>
      </c>
      <c r="B461" s="6" t="s">
        <v>3298</v>
      </c>
      <c r="C46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v>
      </c>
    </row>
    <row r="462">
      <c r="A462" s="6" t="s">
        <v>3299</v>
      </c>
      <c r="B462" s="6" t="s">
        <v>3300</v>
      </c>
      <c r="C46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v>
      </c>
    </row>
    <row r="463">
      <c r="A463" s="6" t="s">
        <v>682</v>
      </c>
      <c r="B463" s="6" t="s">
        <v>3301</v>
      </c>
      <c r="C46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v>
      </c>
    </row>
    <row r="464">
      <c r="A464" s="6" t="s">
        <v>3302</v>
      </c>
      <c r="B464" s="6" t="s">
        <v>3303</v>
      </c>
      <c r="C46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v>
      </c>
    </row>
    <row r="465">
      <c r="A465" s="6" t="s">
        <v>3304</v>
      </c>
      <c r="B465" s="6" t="s">
        <v>3305</v>
      </c>
      <c r="C46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v>
      </c>
    </row>
    <row r="466">
      <c r="A466" s="6" t="s">
        <v>3306</v>
      </c>
      <c r="B466" s="6" t="s">
        <v>3307</v>
      </c>
      <c r="C46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v>
      </c>
    </row>
    <row r="467">
      <c r="A467" s="6" t="s">
        <v>3308</v>
      </c>
      <c r="B467" s="6" t="s">
        <v>3309</v>
      </c>
      <c r="C46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v>
      </c>
    </row>
    <row r="468">
      <c r="A468" s="6" t="s">
        <v>3310</v>
      </c>
      <c r="B468" s="6" t="s">
        <v>3311</v>
      </c>
      <c r="C46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v>
      </c>
    </row>
    <row r="469">
      <c r="A469" s="6" t="s">
        <v>3312</v>
      </c>
      <c r="B469" s="6" t="s">
        <v>3313</v>
      </c>
      <c r="C46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v>
      </c>
    </row>
    <row r="470">
      <c r="A470" s="6" t="s">
        <v>3314</v>
      </c>
      <c r="B470" s="6" t="s">
        <v>3315</v>
      </c>
      <c r="C47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v>
      </c>
    </row>
    <row r="471">
      <c r="A471" s="6" t="s">
        <v>3316</v>
      </c>
      <c r="B471" s="6" t="s">
        <v>3317</v>
      </c>
      <c r="C47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v>
      </c>
    </row>
    <row r="472">
      <c r="A472" s="6" t="s">
        <v>668</v>
      </c>
      <c r="B472" s="6" t="s">
        <v>3318</v>
      </c>
      <c r="C47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v>
      </c>
    </row>
    <row r="473">
      <c r="A473" s="6" t="s">
        <v>665</v>
      </c>
      <c r="B473" s="6" t="s">
        <v>3319</v>
      </c>
      <c r="C47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v>
      </c>
    </row>
    <row r="474">
      <c r="A474" s="6" t="s">
        <v>662</v>
      </c>
      <c r="B474" s="6" t="s">
        <v>3320</v>
      </c>
      <c r="C47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v>
      </c>
    </row>
    <row r="475">
      <c r="A475" s="6" t="s">
        <v>659</v>
      </c>
      <c r="B475" s="6" t="s">
        <v>3321</v>
      </c>
      <c r="C47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v>
      </c>
    </row>
    <row r="476">
      <c r="A476" s="6" t="s">
        <v>656</v>
      </c>
      <c r="B476" s="6" t="s">
        <v>3322</v>
      </c>
      <c r="C47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v>
      </c>
    </row>
    <row r="477">
      <c r="A477" s="6" t="s">
        <v>653</v>
      </c>
      <c r="B477" s="6" t="s">
        <v>3323</v>
      </c>
      <c r="C47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v>
      </c>
    </row>
    <row r="478">
      <c r="A478" s="6" t="s">
        <v>3324</v>
      </c>
      <c r="B478" s="6" t="s">
        <v>3325</v>
      </c>
      <c r="C47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v>
      </c>
    </row>
    <row r="479">
      <c r="A479" s="6" t="s">
        <v>3326</v>
      </c>
      <c r="B479" s="6" t="s">
        <v>3327</v>
      </c>
      <c r="C47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v>
      </c>
    </row>
    <row r="480">
      <c r="A480" s="6" t="s">
        <v>3328</v>
      </c>
      <c r="B480" s="6" t="s">
        <v>3329</v>
      </c>
      <c r="C48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v>
      </c>
    </row>
    <row r="481">
      <c r="A481" s="6" t="s">
        <v>3330</v>
      </c>
      <c r="B481" s="6" t="s">
        <v>3331</v>
      </c>
      <c r="C48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v>
      </c>
    </row>
    <row r="482">
      <c r="A482" s="6" t="s">
        <v>647</v>
      </c>
      <c r="B482" s="6" t="s">
        <v>3332</v>
      </c>
      <c r="C48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v>
      </c>
    </row>
    <row r="483">
      <c r="A483" s="6" t="s">
        <v>644</v>
      </c>
      <c r="B483" s="6" t="s">
        <v>3333</v>
      </c>
      <c r="C48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v>
      </c>
    </row>
    <row r="484">
      <c r="A484" s="6" t="s">
        <v>641</v>
      </c>
      <c r="B484" s="6" t="s">
        <v>3334</v>
      </c>
      <c r="C48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v>
      </c>
    </row>
    <row r="485">
      <c r="A485" s="6" t="s">
        <v>638</v>
      </c>
      <c r="B485" s="6" t="s">
        <v>3335</v>
      </c>
      <c r="C48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v>
      </c>
    </row>
    <row r="486">
      <c r="A486" s="6" t="s">
        <v>635</v>
      </c>
      <c r="B486" s="6" t="s">
        <v>3336</v>
      </c>
      <c r="C48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v>
      </c>
    </row>
    <row r="487">
      <c r="A487" s="6" t="s">
        <v>632</v>
      </c>
      <c r="B487" s="6" t="s">
        <v>3337</v>
      </c>
      <c r="C48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v>
      </c>
    </row>
    <row r="488">
      <c r="A488" s="6" t="s">
        <v>629</v>
      </c>
      <c r="B488" s="6" t="s">
        <v>3338</v>
      </c>
      <c r="C48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v>
      </c>
    </row>
    <row r="489">
      <c r="A489" s="6" t="s">
        <v>626</v>
      </c>
      <c r="B489" s="6" t="s">
        <v>3339</v>
      </c>
      <c r="C48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v>
      </c>
    </row>
    <row r="490">
      <c r="A490" s="6" t="s">
        <v>623</v>
      </c>
      <c r="B490" s="6" t="s">
        <v>3340</v>
      </c>
      <c r="C49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v>
      </c>
    </row>
    <row r="491">
      <c r="A491" s="6" t="s">
        <v>620</v>
      </c>
      <c r="B491" s="6" t="s">
        <v>3341</v>
      </c>
      <c r="C49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v>
      </c>
    </row>
    <row r="492">
      <c r="A492" s="6" t="s">
        <v>617</v>
      </c>
      <c r="B492" s="6" t="s">
        <v>3342</v>
      </c>
      <c r="C49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v>
      </c>
    </row>
    <row r="493">
      <c r="A493" s="6" t="s">
        <v>614</v>
      </c>
      <c r="B493" s="6" t="s">
        <v>3343</v>
      </c>
      <c r="C49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v>
      </c>
    </row>
    <row r="494">
      <c r="A494" s="6" t="s">
        <v>611</v>
      </c>
      <c r="B494" s="6" t="s">
        <v>3344</v>
      </c>
      <c r="C49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v>
      </c>
    </row>
    <row r="495">
      <c r="A495" s="6" t="s">
        <v>608</v>
      </c>
      <c r="B495" s="6" t="s">
        <v>3345</v>
      </c>
      <c r="C49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v>
      </c>
    </row>
    <row r="496">
      <c r="A496" s="6" t="s">
        <v>605</v>
      </c>
      <c r="B496" s="6" t="s">
        <v>3346</v>
      </c>
      <c r="C49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v>
      </c>
    </row>
    <row r="497">
      <c r="A497" s="6" t="s">
        <v>602</v>
      </c>
      <c r="B497" s="6" t="s">
        <v>3347</v>
      </c>
      <c r="C49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v>
      </c>
    </row>
    <row r="498">
      <c r="A498" s="6" t="s">
        <v>598</v>
      </c>
      <c r="B498" s="6" t="s">
        <v>3348</v>
      </c>
      <c r="C49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v>
      </c>
    </row>
    <row r="499">
      <c r="A499" s="6" t="s">
        <v>596</v>
      </c>
      <c r="B499" s="6" t="s">
        <v>3349</v>
      </c>
      <c r="C49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v>
      </c>
    </row>
    <row r="500">
      <c r="A500" s="6" t="s">
        <v>3350</v>
      </c>
      <c r="B500" s="6" t="s">
        <v>3351</v>
      </c>
      <c r="C50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v>
      </c>
    </row>
    <row r="501">
      <c r="A501" s="6" t="s">
        <v>2471</v>
      </c>
      <c r="B501" s="6" t="s">
        <v>3352</v>
      </c>
      <c r="C50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v>
      </c>
    </row>
    <row r="502">
      <c r="A502" s="6" t="s">
        <v>590</v>
      </c>
      <c r="B502" s="6" t="s">
        <v>3353</v>
      </c>
      <c r="C50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v>
      </c>
    </row>
    <row r="503">
      <c r="A503" s="6" t="s">
        <v>3354</v>
      </c>
      <c r="B503" s="6" t="s">
        <v>3355</v>
      </c>
      <c r="C50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v>
      </c>
    </row>
    <row r="504">
      <c r="A504" s="6" t="s">
        <v>3356</v>
      </c>
      <c r="B504" s="6" t="s">
        <v>3357</v>
      </c>
      <c r="C50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v>
      </c>
    </row>
    <row r="505">
      <c r="A505" s="6" t="s">
        <v>3358</v>
      </c>
      <c r="B505" s="6" t="s">
        <v>3359</v>
      </c>
      <c r="C50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v>
      </c>
    </row>
    <row r="506">
      <c r="A506" s="6" t="s">
        <v>3360</v>
      </c>
      <c r="B506" s="6" t="s">
        <v>3361</v>
      </c>
      <c r="C50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v>
      </c>
    </row>
    <row r="507">
      <c r="A507" s="6" t="s">
        <v>3362</v>
      </c>
      <c r="B507" s="6" t="s">
        <v>3363</v>
      </c>
      <c r="C50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v>
      </c>
    </row>
    <row r="508">
      <c r="A508" s="6" t="s">
        <v>3364</v>
      </c>
      <c r="B508" s="6" t="s">
        <v>3365</v>
      </c>
      <c r="C50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 OR X1YL34 OR X1YL34F</v>
      </c>
    </row>
    <row r="509">
      <c r="A509" s="6" t="s">
        <v>3366</v>
      </c>
      <c r="B509" s="6" t="s">
        <v>3367</v>
      </c>
      <c r="C50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 OR X1YL34 OR X1YL34F OR XRAY34 OR XRAY34F</v>
      </c>
    </row>
    <row r="510">
      <c r="A510" s="6" t="s">
        <v>3368</v>
      </c>
      <c r="B510" s="6" t="s">
        <v>3369</v>
      </c>
      <c r="C51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 OR X1YL34 OR X1YL34F OR XRAY34 OR XRAY34F OR YUMR34 OR YUMR34F</v>
      </c>
    </row>
    <row r="511">
      <c r="A511" s="6" t="s">
        <v>3370</v>
      </c>
      <c r="B511" s="6" t="s">
        <v>3371</v>
      </c>
      <c r="C51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 OR X1YL34 OR X1YL34F OR XRAY34 OR XRAY34F OR YUMR34 OR YUMR34F OR Z1BH34 OR Z1BH34F</v>
      </c>
    </row>
    <row r="512">
      <c r="A512" s="6" t="s">
        <v>3372</v>
      </c>
      <c r="B512" s="6" t="s">
        <v>3373</v>
      </c>
      <c r="C51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 OR X1YL34 OR X1YL34F OR XRAY34 OR XRAY34F OR YUMR34 OR YUMR34F OR Z1BH34 OR Z1BH34F OR Z1IO34 OR Z1IO34F</v>
      </c>
    </row>
    <row r="513">
      <c r="A513" s="6" t="s">
        <v>3374</v>
      </c>
      <c r="B513" s="6" t="s">
        <v>3375</v>
      </c>
      <c r="C51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 OR X1YL34 OR X1YL34F OR XRAY34 OR XRAY34F OR YUMR34 OR YUMR34F OR Z1BH34 OR Z1BH34F OR Z1IO34 OR Z1IO34F OR Z1TS34 OR Z1TS34F</v>
      </c>
    </row>
    <row r="514">
      <c r="A514" s="6" t="s">
        <v>3376</v>
      </c>
      <c r="B514" s="6" t="s">
        <v>3377</v>
      </c>
      <c r="C51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 OR X1YL34 OR X1YL34F OR XRAY34 OR XRAY34F OR YUMR34 OR YUMR34F OR Z1BH34 OR Z1BH34F OR Z1IO34 OR Z1IO34F OR Z1TS34 OR Z1TS34F OR FCXO34 OR FCXO34F</v>
      </c>
    </row>
    <row r="515">
      <c r="A515" s="6" t="s">
        <v>3378</v>
      </c>
      <c r="B515" s="6" t="s">
        <v>3379</v>
      </c>
      <c r="C51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 OR X1YL34 OR X1YL34F OR XRAY34 OR XRAY34F OR YUMR34 OR YUMR34F OR Z1BH34 OR Z1BH34F OR Z1IO34 OR Z1IO34F OR Z1TS34 OR Z1TS34F OR FCXO34 OR FCXO34F OR BBSE3 OR BBSE3F</v>
      </c>
    </row>
    <row r="516">
      <c r="A516" s="6" t="s">
        <v>3142</v>
      </c>
      <c r="B516" s="6" t="s">
        <v>3380</v>
      </c>
      <c r="C51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 OR X1YL34 OR X1YL34F OR XRAY34 OR XRAY34F OR YUMR34 OR YUMR34F OR Z1BH34 OR Z1BH34F OR Z1IO34 OR Z1IO34F OR Z1TS34 OR Z1TS34F OR FCXO34 OR FCXO34F OR BBSE3 OR BBSE3F OR MMMC34 OR MMMC34F</v>
      </c>
    </row>
    <row r="517">
      <c r="A517" s="6" t="s">
        <v>3381</v>
      </c>
      <c r="B517" s="6" t="s">
        <v>3382</v>
      </c>
      <c r="C51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 OR X1YL34 OR X1YL34F OR XRAY34 OR XRAY34F OR YUMR34 OR YUMR34F OR Z1BH34 OR Z1BH34F OR Z1IO34 OR Z1IO34F OR Z1TS34 OR Z1TS34F OR FCXO34 OR FCXO34F OR BBSE3 OR BBSE3F OR MMMC34 OR MMMC34F OR BOAC34 OR BOAC34F</v>
      </c>
    </row>
    <row r="518">
      <c r="A518" s="6" t="s">
        <v>3383</v>
      </c>
      <c r="B518" s="6" t="s">
        <v>3384</v>
      </c>
      <c r="C51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 OR X1YL34 OR X1YL34F OR XRAY34 OR XRAY34F OR YUMR34 OR YUMR34F OR Z1BH34 OR Z1BH34F OR Z1IO34 OR Z1IO34F OR Z1TS34 OR Z1TS34F OR FCXO34 OR FCXO34F OR BBSE3 OR BBSE3F OR MMMC34 OR MMMC34F OR BOAC34 OR BOAC34F OR CTGP34 OR CTGP34F</v>
      </c>
    </row>
    <row r="519">
      <c r="A519" s="6" t="s">
        <v>3385</v>
      </c>
      <c r="B519" s="6" t="s">
        <v>3386</v>
      </c>
      <c r="C51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 OR X1YL34 OR X1YL34F OR XRAY34 OR XRAY34F OR YUMR34 OR YUMR34F OR Z1BH34 OR Z1BH34F OR Z1IO34 OR Z1IO34F OR Z1TS34 OR Z1TS34F OR FCXO34 OR FCXO34F OR BBSE3 OR BBSE3F OR MMMC34 OR MMMC34F OR BOAC34 OR BOAC34F OR CTGP34 OR CTGP34F OR GSGI34 OR GSGI34F</v>
      </c>
    </row>
    <row r="520">
      <c r="A520" s="6" t="s">
        <v>3387</v>
      </c>
      <c r="B520" s="6" t="s">
        <v>3388</v>
      </c>
      <c r="C52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 OR X1YL34 OR X1YL34F OR XRAY34 OR XRAY34F OR YUMR34 OR YUMR34F OR Z1BH34 OR Z1BH34F OR Z1IO34 OR Z1IO34F OR Z1TS34 OR Z1TS34F OR FCXO34 OR FCXO34F OR BBSE3 OR BBSE3F OR MMMC34 OR MMMC34F OR BOAC34 OR BOAC34F OR CTGP34 OR CTGP34F OR GSGI34 OR GSGI34F OR GEOO34 OR GEOO34F</v>
      </c>
    </row>
    <row r="521">
      <c r="A521" s="6" t="s">
        <v>3389</v>
      </c>
      <c r="B521" s="6" t="s">
        <v>3390</v>
      </c>
      <c r="C52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 OR X1YL34 OR X1YL34F OR XRAY34 OR XRAY34F OR YUMR34 OR YUMR34F OR Z1BH34 OR Z1BH34F OR Z1IO34 OR Z1IO34F OR Z1TS34 OR Z1TS34F OR FCXO34 OR FCXO34F OR BBSE3 OR BBSE3F OR MMMC34 OR MMMC34F OR BOAC34 OR BOAC34F OR CTGP34 OR CTGP34F OR GSGI34 OR GSGI34F OR GEOO34 OR GEOO34F OR HONB34 OR HONB34F</v>
      </c>
    </row>
    <row r="522">
      <c r="A522" s="6" t="s">
        <v>3391</v>
      </c>
      <c r="B522" s="6" t="s">
        <v>3392</v>
      </c>
      <c r="C52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 OR X1YL34 OR X1YL34F OR XRAY34 OR XRAY34F OR YUMR34 OR YUMR34F OR Z1BH34 OR Z1BH34F OR Z1IO34 OR Z1IO34F OR Z1TS34 OR Z1TS34F OR FCXO34 OR FCXO34F OR BBSE3 OR BBSE3F OR MMMC34 OR MMMC34F OR BOAC34 OR BOAC34F OR CTGP34 OR CTGP34F OR GSGI34 OR GSGI34F OR GEOO34 OR GEOO34F OR HONB34 OR HONB34F OR JPMC34 OR JPMC34F</v>
      </c>
    </row>
    <row r="523">
      <c r="A523" s="6" t="s">
        <v>3393</v>
      </c>
      <c r="B523" s="6" t="s">
        <v>3394</v>
      </c>
      <c r="C52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 OR X1YL34 OR X1YL34F OR XRAY34 OR XRAY34F OR YUMR34 OR YUMR34F OR Z1BH34 OR Z1BH34F OR Z1IO34 OR Z1IO34F OR Z1TS34 OR Z1TS34F OR FCXO34 OR FCXO34F OR BBSE3 OR BBSE3F OR MMMC34 OR MMMC34F OR BOAC34 OR BOAC34F OR CTGP34 OR CTGP34F OR GSGI34 OR GSGI34F OR GEOO34 OR GEOO34F OR HONB34 OR HONB34F OR JPMC34 OR JPMC34F OR MSCD34 OR MSCD34F</v>
      </c>
    </row>
    <row r="524">
      <c r="A524" s="6" t="s">
        <v>3395</v>
      </c>
      <c r="B524" s="6" t="s">
        <v>3396</v>
      </c>
      <c r="C52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 OR X1YL34 OR X1YL34F OR XRAY34 OR XRAY34F OR YUMR34 OR YUMR34F OR Z1BH34 OR Z1BH34F OR Z1IO34 OR Z1IO34F OR Z1TS34 OR Z1TS34F OR FCXO34 OR FCXO34F OR BBSE3 OR BBSE3F OR MMMC34 OR MMMC34F OR BOAC34 OR BOAC34F OR CTGP34 OR CTGP34F OR GSGI34 OR GSGI34F OR GEOO34 OR GEOO34F OR HONB34 OR HONB34F OR JPMC34 OR JPMC34F OR MSCD34 OR MSCD34F OR MSBR34F OR MSBR34</v>
      </c>
    </row>
    <row r="525">
      <c r="A525" s="6" t="s">
        <v>3397</v>
      </c>
      <c r="B525" s="6" t="s">
        <v>3398</v>
      </c>
      <c r="C52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 OR X1YL34 OR X1YL34F OR XRAY34 OR XRAY34F OR YUMR34 OR YUMR34F OR Z1BH34 OR Z1BH34F OR Z1IO34 OR Z1IO34F OR Z1TS34 OR Z1TS34F OR FCXO34 OR FCXO34F OR BBSE3 OR BBSE3F OR MMMC34 OR MMMC34F OR BOAC34 OR BOAC34F OR CTGP34 OR CTGP34F OR GSGI34 OR GSGI34F OR GEOO34 OR GEOO34F OR HONB34 OR HONB34F OR JPMC34 OR JPMC34F OR MSCD34 OR MSCD34F OR MSBR34F OR MSBR34 OR VISA34 OR VISA34F</v>
      </c>
    </row>
    <row r="526">
      <c r="A526" s="6" t="s">
        <v>3399</v>
      </c>
      <c r="B526" s="6" t="s">
        <v>3400</v>
      </c>
      <c r="C52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 OR X1YL34 OR X1YL34F OR XRAY34 OR XRAY34F OR YUMR34 OR YUMR34F OR Z1BH34 OR Z1BH34F OR Z1IO34 OR Z1IO34F OR Z1TS34 OR Z1TS34F OR FCXO34 OR FCXO34F OR BBSE3 OR BBSE3F OR MMMC34 OR MMMC34F OR BOAC34 OR BOAC34F OR CTGP34 OR CTGP34F OR GSGI34 OR GSGI34F OR GEOO34 OR GEOO34F OR HONB34 OR HONB34F OR JPMC34 OR JPMC34F OR MSCD34 OR MSCD34F OR MSBR34F OR MSBR34 OR VISA34 OR VISA34F OR WFCO34 OR WFCO34F</v>
      </c>
    </row>
    <row r="527">
      <c r="A527" s="6" t="s">
        <v>3401</v>
      </c>
      <c r="B527" s="6" t="s">
        <v>3402</v>
      </c>
      <c r="C52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 OR X1YL34 OR X1YL34F OR XRAY34 OR XRAY34F OR YUMR34 OR YUMR34F OR Z1BH34 OR Z1BH34F OR Z1IO34 OR Z1IO34F OR Z1TS34 OR Z1TS34F OR FCXO34 OR FCXO34F OR BBSE3 OR BBSE3F OR MMMC34 OR MMMC34F OR BOAC34 OR BOAC34F OR CTGP34 OR CTGP34F OR GSGI34 OR GSGI34F OR GEOO34 OR GEOO34F OR HONB34 OR HONB34F OR JPMC34 OR JPMC34F OR MSCD34 OR MSCD34F OR MSBR34F OR MSBR34 OR VISA34 OR VISA34F OR WFCO34 OR WFCO34F OR PGCO34 OR PGCO34F</v>
      </c>
    </row>
    <row r="528">
      <c r="A528" s="6" t="s">
        <v>3403</v>
      </c>
      <c r="B528" s="6" t="s">
        <v>3404</v>
      </c>
      <c r="C52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 OR X1YL34 OR X1YL34F OR XRAY34 OR XRAY34F OR YUMR34 OR YUMR34F OR Z1BH34 OR Z1BH34F OR Z1IO34 OR Z1IO34F OR Z1TS34 OR Z1TS34F OR FCXO34 OR FCXO34F OR BBSE3 OR BBSE3F OR MMMC34 OR MMMC34F OR BOAC34 OR BOAC34F OR CTGP34 OR CTGP34F OR GSGI34 OR GSGI34F OR GEOO34 OR GEOO34F OR HONB34 OR HONB34F OR JPMC34 OR JPMC34F OR MSCD34 OR MSCD34F OR MSBR34F OR MSBR34 OR VISA34 OR VISA34F OR WFCO34 OR WFCO34F OR PGCO34 OR PGCO34F OR COCA34 OR COCA34F</v>
      </c>
    </row>
    <row r="529">
      <c r="A529" s="6" t="s">
        <v>3405</v>
      </c>
      <c r="B529" s="6" t="s">
        <v>3406</v>
      </c>
      <c r="C52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 OR X1YL34 OR X1YL34F OR XRAY34 OR XRAY34F OR YUMR34 OR YUMR34F OR Z1BH34 OR Z1BH34F OR Z1IO34 OR Z1IO34F OR Z1TS34 OR Z1TS34F OR FCXO34 OR FCXO34F OR BBSE3 OR BBSE3F OR MMMC34 OR MMMC34F OR BOAC34 OR BOAC34F OR CTGP34 OR CTGP34F OR GSGI34 OR GSGI34F OR GEOO34 OR GEOO34F OR HONB34 OR HONB34F OR JPMC34 OR JPMC34F OR MSCD34 OR MSCD34F OR MSBR34F OR MSBR34 OR VISA34 OR VISA34F OR WFCO34 OR WFCO34F OR PGCO34 OR PGCO34F OR COCA34 OR COCA34F OR COLG34 OR COLG34F</v>
      </c>
    </row>
    <row r="530">
      <c r="A530" s="6" t="s">
        <v>3407</v>
      </c>
      <c r="B530" s="6" t="s">
        <v>3408</v>
      </c>
      <c r="C53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 OR X1YL34 OR X1YL34F OR XRAY34 OR XRAY34F OR YUMR34 OR YUMR34F OR Z1BH34 OR Z1BH34F OR Z1IO34 OR Z1IO34F OR Z1TS34 OR Z1TS34F OR FCXO34 OR FCXO34F OR BBSE3 OR BBSE3F OR MMMC34 OR MMMC34F OR BOAC34 OR BOAC34F OR CTGP34 OR CTGP34F OR GSGI34 OR GSGI34F OR GEOO34 OR GEOO34F OR HONB34 OR HONB34F OR JPMC34 OR JPMC34F OR MSCD34 OR MSCD34F OR MSBR34F OR MSBR34 OR VISA34 OR VISA34F OR WFCO34 OR WFCO34F OR PGCO34 OR PGCO34F OR COCA34 OR COCA34F OR COLG34 OR COLG34F OR PEPB34 OR PEPB34F</v>
      </c>
    </row>
    <row r="531">
      <c r="A531" s="6" t="s">
        <v>3409</v>
      </c>
      <c r="B531" s="6" t="s">
        <v>3410</v>
      </c>
      <c r="C53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 OR X1YL34 OR X1YL34F OR XRAY34 OR XRAY34F OR YUMR34 OR YUMR34F OR Z1BH34 OR Z1BH34F OR Z1IO34 OR Z1IO34F OR Z1TS34 OR Z1TS34F OR FCXO34 OR FCXO34F OR BBSE3 OR BBSE3F OR MMMC34 OR MMMC34F OR BOAC34 OR BOAC34F OR CTGP34 OR CTGP34F OR GSGI34 OR GSGI34F OR GEOO34 OR GEOO34F OR HONB34 OR HONB34F OR JPMC34 OR JPMC34F OR MSCD34 OR MSCD34F OR MSBR34F OR MSBR34 OR VISA34 OR VISA34F OR WFCO34 OR WFCO34F OR PGCO34 OR PGCO34F OR COCA34 OR COCA34F OR COLG34 OR COLG34F OR PEPB34 OR PEPB34F OR WALM34F OR WALM34</v>
      </c>
    </row>
    <row r="532">
      <c r="A532" s="6" t="s">
        <v>3411</v>
      </c>
      <c r="B532" s="6" t="s">
        <v>3412</v>
      </c>
      <c r="C53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 OR X1YL34 OR X1YL34F OR XRAY34 OR XRAY34F OR YUMR34 OR YUMR34F OR Z1BH34 OR Z1BH34F OR Z1IO34 OR Z1IO34F OR Z1TS34 OR Z1TS34F OR FCXO34 OR FCXO34F OR BBSE3 OR BBSE3F OR MMMC34 OR MMMC34F OR BOAC34 OR BOAC34F OR CTGP34 OR CTGP34F OR GSGI34 OR GSGI34F OR GEOO34 OR GEOO34F OR HONB34 OR HONB34F OR JPMC34 OR JPMC34F OR MSCD34 OR MSCD34F OR MSBR34F OR MSBR34 OR VISA34 OR VISA34F OR WFCO34 OR WFCO34F OR PGCO34 OR PGCO34F OR COCA34 OR COCA34F OR COLG34 OR COLG34F OR PEPB34 OR PEPB34F OR WALM34F OR WALM34 OR </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35.25"/>
    <col customWidth="1" min="6" max="6" width="18.38"/>
    <col customWidth="1" min="7" max="7" width="19.88"/>
    <col customWidth="1" min="8" max="8" width="26.25"/>
  </cols>
  <sheetData>
    <row r="1">
      <c r="A1" s="2" t="s">
        <v>3413</v>
      </c>
      <c r="B1" s="2" t="s">
        <v>3414</v>
      </c>
      <c r="C1" s="2" t="s">
        <v>988</v>
      </c>
      <c r="D1" s="2" t="s">
        <v>3415</v>
      </c>
      <c r="E1" s="2" t="s">
        <v>990</v>
      </c>
      <c r="F1" s="2" t="s">
        <v>3416</v>
      </c>
      <c r="G1" s="2" t="s">
        <v>2513</v>
      </c>
    </row>
    <row r="2">
      <c r="A2" s="6" t="str">
        <f t="shared" ref="A2:A336" si="1">"Fundos de Renda variável | FIIs | "&amp;B2</f>
        <v>Fundos de Renda variável | FIIs | Grand Plaza Shopping</v>
      </c>
      <c r="B2" s="22" t="s">
        <v>3417</v>
      </c>
      <c r="C2" s="22" t="s">
        <v>3418</v>
      </c>
      <c r="D2" s="22" t="s">
        <v>3419</v>
      </c>
      <c r="E2" s="22" t="s">
        <v>3420</v>
      </c>
      <c r="F2" s="6" t="str">
        <f>E2&amp;" OR "&amp;E3</f>
        <v>ABCP11 OR AFCR11</v>
      </c>
      <c r="G2" s="44" t="s">
        <v>3421</v>
      </c>
      <c r="H2" s="44" t="s">
        <v>3422</v>
      </c>
      <c r="I2" s="6" t="str">
        <f t="shared" ref="I2:I336" si="2">"("&amp;E2&amp;")"</f>
        <v>(ABCP11)</v>
      </c>
    </row>
    <row r="3">
      <c r="A3" s="6" t="str">
        <f t="shared" si="1"/>
        <v>Fundos de Renda variável | FIIs | AF Invest Recebíveis Imobiliários</v>
      </c>
      <c r="B3" s="22" t="s">
        <v>3423</v>
      </c>
      <c r="C3" s="22" t="s">
        <v>3424</v>
      </c>
      <c r="D3" s="22" t="s">
        <v>3425</v>
      </c>
      <c r="E3" s="22" t="s">
        <v>3426</v>
      </c>
      <c r="F3" s="6" t="str">
        <f t="shared" ref="F3:F336" si="3">F2&amp;" OR "&amp;E4</f>
        <v>ABCP11 OR AFCR11 OR AFOF11</v>
      </c>
      <c r="G3" s="44" t="s">
        <v>3427</v>
      </c>
      <c r="H3" s="44" t="s">
        <v>3428</v>
      </c>
      <c r="I3" s="6" t="str">
        <f t="shared" si="2"/>
        <v>(AFCR11)</v>
      </c>
    </row>
    <row r="4">
      <c r="A4" s="6" t="str">
        <f t="shared" si="1"/>
        <v>Fundos de Renda variável | FIIs | ALIANZA FOFII</v>
      </c>
      <c r="B4" s="22" t="s">
        <v>3429</v>
      </c>
      <c r="C4" s="22" t="s">
        <v>3430</v>
      </c>
      <c r="D4" s="22" t="s">
        <v>3431</v>
      </c>
      <c r="E4" s="22" t="s">
        <v>3432</v>
      </c>
      <c r="F4" s="6" t="str">
        <f t="shared" si="3"/>
        <v>ABCP11 OR AFCR11 OR AFOF11 OR AIEC11</v>
      </c>
      <c r="G4" s="44" t="s">
        <v>3433</v>
      </c>
      <c r="H4" s="44" t="s">
        <v>3434</v>
      </c>
      <c r="I4" s="6" t="str">
        <f t="shared" si="2"/>
        <v>(AFOF11)</v>
      </c>
    </row>
    <row r="5">
      <c r="A5" s="6" t="str">
        <f t="shared" si="1"/>
        <v>Fundos de Renda variável | FIIs | Autonomy Edifícios Corporativos</v>
      </c>
      <c r="B5" s="22" t="s">
        <v>3435</v>
      </c>
      <c r="C5" s="22" t="s">
        <v>3436</v>
      </c>
      <c r="D5" s="22" t="s">
        <v>3437</v>
      </c>
      <c r="E5" s="22" t="s">
        <v>3438</v>
      </c>
      <c r="F5" s="6" t="str">
        <f t="shared" si="3"/>
        <v>ABCP11 OR AFCR11 OR AFOF11 OR AIEC11 OR ALMI11</v>
      </c>
      <c r="G5" s="44" t="s">
        <v>3439</v>
      </c>
      <c r="H5" s="44" t="s">
        <v>3440</v>
      </c>
      <c r="I5" s="6" t="str">
        <f t="shared" si="2"/>
        <v>(AIEC11)</v>
      </c>
    </row>
    <row r="6">
      <c r="A6" s="6" t="str">
        <f t="shared" si="1"/>
        <v>Fundos de Renda variável | FIIs | Torre Almirante</v>
      </c>
      <c r="B6" s="22" t="s">
        <v>3441</v>
      </c>
      <c r="C6" s="22" t="s">
        <v>3436</v>
      </c>
      <c r="D6" s="22" t="s">
        <v>3442</v>
      </c>
      <c r="E6" s="22" t="s">
        <v>3443</v>
      </c>
      <c r="F6" s="6" t="str">
        <f t="shared" si="3"/>
        <v>ABCP11 OR AFCR11 OR AFOF11 OR AIEC11 OR ALMI11 OR ALZR11</v>
      </c>
      <c r="G6" s="44" t="s">
        <v>3444</v>
      </c>
      <c r="H6" s="44" t="s">
        <v>3445</v>
      </c>
      <c r="I6" s="6" t="str">
        <f t="shared" si="2"/>
        <v>(ALMI11)</v>
      </c>
    </row>
    <row r="7">
      <c r="A7" s="6" t="str">
        <f t="shared" si="1"/>
        <v>Fundos de Renda variável | FIIs | Alianza Trust Renda Imobiliária</v>
      </c>
      <c r="B7" s="22" t="s">
        <v>3446</v>
      </c>
      <c r="C7" s="22" t="s">
        <v>3447</v>
      </c>
      <c r="D7" s="22" t="s">
        <v>3442</v>
      </c>
      <c r="E7" s="22" t="s">
        <v>3448</v>
      </c>
      <c r="F7" s="6" t="str">
        <f t="shared" si="3"/>
        <v>ABCP11 OR AFCR11 OR AFOF11 OR AIEC11 OR ALMI11 OR ALZR11 OR ANCR11B</v>
      </c>
      <c r="G7" s="44" t="s">
        <v>3449</v>
      </c>
      <c r="H7" s="44" t="s">
        <v>3450</v>
      </c>
      <c r="I7" s="6" t="str">
        <f t="shared" si="2"/>
        <v>(ALZR11)</v>
      </c>
    </row>
    <row r="8">
      <c r="A8" s="6" t="str">
        <f t="shared" si="1"/>
        <v>Fundos de Renda variável | FIIs | Ancar IC</v>
      </c>
      <c r="B8" s="22" t="s">
        <v>3451</v>
      </c>
      <c r="C8" s="22" t="s">
        <v>3418</v>
      </c>
      <c r="D8" s="22" t="s">
        <v>3452</v>
      </c>
      <c r="E8" s="22" t="s">
        <v>3453</v>
      </c>
      <c r="F8" s="6" t="str">
        <f t="shared" si="3"/>
        <v>ABCP11 OR AFCR11 OR AFOF11 OR AIEC11 OR ALMI11 OR ALZR11 OR ANCR11B OR AQLL11</v>
      </c>
      <c r="G8" s="44" t="s">
        <v>3454</v>
      </c>
      <c r="H8" s="44" t="s">
        <v>3455</v>
      </c>
      <c r="I8" s="6" t="str">
        <f t="shared" si="2"/>
        <v>(ANCR11B)</v>
      </c>
    </row>
    <row r="9">
      <c r="A9" s="6" t="str">
        <f t="shared" si="1"/>
        <v>Fundos de Renda variável | FIIs | Áquilla</v>
      </c>
      <c r="B9" s="22" t="s">
        <v>3456</v>
      </c>
      <c r="C9" s="22" t="s">
        <v>3457</v>
      </c>
      <c r="D9" s="22" t="s">
        <v>3458</v>
      </c>
      <c r="E9" s="22" t="s">
        <v>3459</v>
      </c>
      <c r="F9" s="6" t="str">
        <f t="shared" si="3"/>
        <v>ABCP11 OR AFCR11 OR AFOF11 OR AIEC11 OR ALMI11 OR ALZR11 OR ANCR11B OR AQLL11 OR ARCT11</v>
      </c>
      <c r="G9" s="44" t="s">
        <v>3460</v>
      </c>
      <c r="H9" s="44" t="s">
        <v>3461</v>
      </c>
      <c r="I9" s="6" t="str">
        <f t="shared" si="2"/>
        <v>(AQLL11)</v>
      </c>
    </row>
    <row r="10">
      <c r="A10" s="6" t="str">
        <f t="shared" si="1"/>
        <v>Fundos de Renda variável | FIIs | Riza Arctium Real Estate</v>
      </c>
      <c r="B10" s="22" t="s">
        <v>3462</v>
      </c>
      <c r="C10" s="22" t="s">
        <v>3463</v>
      </c>
      <c r="D10" s="22" t="s">
        <v>3464</v>
      </c>
      <c r="E10" s="22" t="s">
        <v>3465</v>
      </c>
      <c r="F10" s="6" t="str">
        <f t="shared" si="3"/>
        <v>ABCP11 OR AFCR11 OR AFOF11 OR AIEC11 OR ALMI11 OR ALZR11 OR ANCR11B OR AQLL11 OR ARCT11 OR ARFI11B</v>
      </c>
      <c r="G10" s="44" t="s">
        <v>3466</v>
      </c>
      <c r="H10" s="44" t="s">
        <v>3467</v>
      </c>
      <c r="I10" s="6" t="str">
        <f t="shared" si="2"/>
        <v>(ARCT11)</v>
      </c>
    </row>
    <row r="11">
      <c r="A11" s="6" t="str">
        <f t="shared" si="1"/>
        <v>Fundos de Renda variável | FIIs | AQ3 Renda</v>
      </c>
      <c r="B11" s="22" t="s">
        <v>3468</v>
      </c>
      <c r="C11" s="22" t="s">
        <v>3424</v>
      </c>
      <c r="D11" s="22" t="s">
        <v>3458</v>
      </c>
      <c r="E11" s="22" t="s">
        <v>3469</v>
      </c>
      <c r="F11" s="6" t="str">
        <f t="shared" si="3"/>
        <v>ABCP11 OR AFCR11 OR AFOF11 OR AIEC11 OR ALMI11 OR ALZR11 OR ANCR11B OR AQLL11 OR ARCT11 OR ARFI11B OR ARRI11</v>
      </c>
      <c r="G11" s="44" t="s">
        <v>3470</v>
      </c>
      <c r="H11" s="44" t="s">
        <v>3471</v>
      </c>
      <c r="I11" s="6" t="str">
        <f t="shared" si="2"/>
        <v>(ARFI11B)</v>
      </c>
    </row>
    <row r="12">
      <c r="A12" s="6" t="str">
        <f t="shared" si="1"/>
        <v>Fundos de Renda variável | FIIs | Átrio Reit Recebíveis Imobiliários</v>
      </c>
      <c r="B12" s="22" t="s">
        <v>3472</v>
      </c>
      <c r="C12" s="22" t="s">
        <v>3424</v>
      </c>
      <c r="D12" s="22" t="s">
        <v>3473</v>
      </c>
      <c r="E12" s="22" t="s">
        <v>3474</v>
      </c>
      <c r="F12" s="6" t="str">
        <f t="shared" si="3"/>
        <v>ABCP11 OR AFCR11 OR AFOF11 OR AIEC11 OR ALMI11 OR ALZR11 OR ANCR11B OR AQLL11 OR ARCT11 OR ARFI11B OR ARRI11 OR ATCR11</v>
      </c>
      <c r="G12" s="44" t="s">
        <v>3475</v>
      </c>
      <c r="H12" s="44" t="s">
        <v>3476</v>
      </c>
      <c r="I12" s="6" t="str">
        <f t="shared" si="2"/>
        <v>(ARRI11)</v>
      </c>
    </row>
    <row r="13">
      <c r="A13" s="6" t="str">
        <f t="shared" si="1"/>
        <v>Fundos de Renda variável | FIIs | HAZ FII</v>
      </c>
      <c r="B13" s="22" t="s">
        <v>3477</v>
      </c>
      <c r="C13" s="22" t="s">
        <v>3478</v>
      </c>
      <c r="D13" s="22" t="s">
        <v>3479</v>
      </c>
      <c r="E13" s="22" t="s">
        <v>3480</v>
      </c>
      <c r="F13" s="6" t="str">
        <f t="shared" si="3"/>
        <v>ABCP11 OR AFCR11 OR AFOF11 OR AIEC11 OR ALMI11 OR ALZR11 OR ANCR11B OR AQLL11 OR ARCT11 OR ARFI11B OR ARRI11 OR ATCR11 OR ATSA11</v>
      </c>
      <c r="G13" s="44" t="s">
        <v>3481</v>
      </c>
      <c r="H13" s="44" t="s">
        <v>3482</v>
      </c>
      <c r="I13" s="6" t="str">
        <f t="shared" si="2"/>
        <v>(ATCR11)</v>
      </c>
    </row>
    <row r="14">
      <c r="A14" s="6" t="str">
        <f t="shared" si="1"/>
        <v>Fundos de Renda variável | FIIs | Hedge Atrium Shopping Santo André</v>
      </c>
      <c r="B14" s="22" t="s">
        <v>3483</v>
      </c>
      <c r="C14" s="22" t="s">
        <v>3418</v>
      </c>
      <c r="D14" s="22" t="s">
        <v>3484</v>
      </c>
      <c r="E14" s="22" t="s">
        <v>3485</v>
      </c>
      <c r="F14" s="6" t="str">
        <f t="shared" si="3"/>
        <v>ABCP11 OR AFCR11 OR AFOF11 OR AIEC11 OR ALMI11 OR ALZR11 OR ANCR11B OR AQLL11 OR ARCT11 OR ARFI11B OR ARRI11 OR ATCR11 OR ATSA11 OR BARI11</v>
      </c>
      <c r="G14" s="44" t="s">
        <v>3486</v>
      </c>
      <c r="H14" s="44" t="s">
        <v>3487</v>
      </c>
      <c r="I14" s="6" t="str">
        <f t="shared" si="2"/>
        <v>(ATSA11)</v>
      </c>
    </row>
    <row r="15">
      <c r="A15" s="6" t="str">
        <f t="shared" si="1"/>
        <v>Fundos de Renda variável | FIIs | Barigui Rendimentos</v>
      </c>
      <c r="B15" s="22" t="s">
        <v>3488</v>
      </c>
      <c r="C15" s="22" t="s">
        <v>3424</v>
      </c>
      <c r="D15" s="22" t="s">
        <v>3473</v>
      </c>
      <c r="E15" s="22" t="s">
        <v>3489</v>
      </c>
      <c r="F15" s="6" t="str">
        <f t="shared" si="3"/>
        <v>ABCP11 OR AFCR11 OR AFOF11 OR AIEC11 OR ALMI11 OR ALZR11 OR ANCR11B OR AQLL11 OR ARCT11 OR ARFI11B OR ARRI11 OR ATCR11 OR ATSA11 OR BARI11 OR BBFI11B</v>
      </c>
      <c r="G15" s="44" t="s">
        <v>3490</v>
      </c>
      <c r="H15" s="44" t="s">
        <v>3491</v>
      </c>
      <c r="I15" s="6" t="str">
        <f t="shared" si="2"/>
        <v>(BARI11)</v>
      </c>
    </row>
    <row r="16">
      <c r="A16" s="6" t="str">
        <f t="shared" si="1"/>
        <v>Fundos de Renda variável | FIIs | BB Progressivo</v>
      </c>
      <c r="B16" s="22" t="s">
        <v>3492</v>
      </c>
      <c r="C16" s="22" t="s">
        <v>3493</v>
      </c>
      <c r="D16" s="22" t="s">
        <v>3442</v>
      </c>
      <c r="E16" s="22" t="s">
        <v>3494</v>
      </c>
      <c r="F16" s="6" t="str">
        <f t="shared" si="3"/>
        <v>ABCP11 OR AFCR11 OR AFOF11 OR AIEC11 OR ALMI11 OR ALZR11 OR ANCR11B OR AQLL11 OR ARCT11 OR ARFI11B OR ARRI11 OR ATCR11 OR ATSA11 OR BARI11 OR BBFI11B OR BBIM11</v>
      </c>
      <c r="G16" s="44" t="s">
        <v>3495</v>
      </c>
      <c r="H16" s="44" t="s">
        <v>3496</v>
      </c>
      <c r="I16" s="6" t="str">
        <f t="shared" si="2"/>
        <v>(BBFI11B)</v>
      </c>
    </row>
    <row r="17">
      <c r="A17" s="6" t="str">
        <f t="shared" si="1"/>
        <v>Fundos de Renda variável | FIIs | BB Recebíveis Imobiliários</v>
      </c>
      <c r="B17" s="22" t="s">
        <v>3497</v>
      </c>
      <c r="C17" s="22" t="s">
        <v>3424</v>
      </c>
      <c r="D17" s="22" t="s">
        <v>3498</v>
      </c>
      <c r="E17" s="22" t="s">
        <v>3499</v>
      </c>
      <c r="F17" s="6" t="str">
        <f t="shared" si="3"/>
        <v>ABCP11 OR AFCR11 OR AFOF11 OR AIEC11 OR ALMI11 OR ALZR11 OR ANCR11B OR AQLL11 OR ARCT11 OR ARFI11B OR ARRI11 OR ATCR11 OR ATSA11 OR BARI11 OR BBFI11B OR BBIM11 OR BBPO11</v>
      </c>
      <c r="G17" s="44" t="s">
        <v>3500</v>
      </c>
      <c r="H17" s="44" t="s">
        <v>3501</v>
      </c>
      <c r="I17" s="6" t="str">
        <f t="shared" si="2"/>
        <v>(BBIM11)</v>
      </c>
    </row>
    <row r="18">
      <c r="A18" s="6" t="str">
        <f t="shared" si="1"/>
        <v>Fundos de Renda variável | FIIs | BB Progressivo II</v>
      </c>
      <c r="B18" s="22" t="s">
        <v>3502</v>
      </c>
      <c r="C18" s="22" t="s">
        <v>3493</v>
      </c>
      <c r="D18" s="22" t="s">
        <v>3503</v>
      </c>
      <c r="E18" s="22" t="s">
        <v>3504</v>
      </c>
      <c r="F18" s="6" t="str">
        <f t="shared" si="3"/>
        <v>ABCP11 OR AFCR11 OR AFOF11 OR AIEC11 OR ALMI11 OR ALZR11 OR ANCR11B OR AQLL11 OR ARCT11 OR ARFI11B OR ARRI11 OR ATCR11 OR ATSA11 OR BARI11 OR BBFI11B OR BBIM11 OR BBPO11 OR BBRC11</v>
      </c>
      <c r="G18" s="44" t="s">
        <v>3505</v>
      </c>
      <c r="H18" s="44" t="s">
        <v>3506</v>
      </c>
      <c r="I18" s="6" t="str">
        <f t="shared" si="2"/>
        <v>(BBPO11)</v>
      </c>
    </row>
    <row r="19">
      <c r="A19" s="6" t="str">
        <f t="shared" si="1"/>
        <v>Fundos de Renda variável | FIIs | BB Renda Corporativa</v>
      </c>
      <c r="B19" s="22" t="s">
        <v>3507</v>
      </c>
      <c r="C19" s="22" t="s">
        <v>3493</v>
      </c>
      <c r="D19" s="22" t="s">
        <v>3503</v>
      </c>
      <c r="E19" s="22" t="s">
        <v>3508</v>
      </c>
      <c r="F19" s="6" t="str">
        <f t="shared" si="3"/>
        <v>ABCP11 OR AFCR11 OR AFOF11 OR AIEC11 OR ALMI11 OR ALZR11 OR ANCR11B OR AQLL11 OR ARCT11 OR ARFI11B OR ARRI11 OR ATCR11 OR ATSA11 OR BARI11 OR BBFI11B OR BBIM11 OR BBPO11 OR BBRC11 OR BBVJ11</v>
      </c>
      <c r="G19" s="44" t="s">
        <v>3509</v>
      </c>
      <c r="H19" s="44" t="s">
        <v>3510</v>
      </c>
      <c r="I19" s="6" t="str">
        <f t="shared" si="2"/>
        <v>(BBRC11)</v>
      </c>
    </row>
    <row r="20">
      <c r="A20" s="6" t="str">
        <f t="shared" si="1"/>
        <v>Fundos de Renda variável | FIIs | Cidade Jardim Continental Tower</v>
      </c>
      <c r="B20" s="22" t="s">
        <v>3511</v>
      </c>
      <c r="C20" s="22" t="s">
        <v>3436</v>
      </c>
      <c r="D20" s="22" t="s">
        <v>3484</v>
      </c>
      <c r="E20" s="22" t="s">
        <v>3512</v>
      </c>
      <c r="F20" s="6" t="str">
        <f t="shared" si="3"/>
        <v>ABCP11 OR AFCR11 OR AFOF11 OR AIEC11 OR ALMI11 OR ALZR11 OR ANCR11B OR AQLL11 OR ARCT11 OR ARFI11B OR ARRI11 OR ATCR11 OR ATSA11 OR BARI11 OR BBFI11B OR BBIM11 OR BBPO11 OR BBRC11 OR BBVJ11 OR BCFF11</v>
      </c>
      <c r="G20" s="44" t="s">
        <v>3513</v>
      </c>
      <c r="H20" s="44" t="s">
        <v>3514</v>
      </c>
      <c r="I20" s="6" t="str">
        <f t="shared" si="2"/>
        <v>(BBVJ11)</v>
      </c>
    </row>
    <row r="21">
      <c r="A21" s="6" t="str">
        <f t="shared" si="1"/>
        <v>Fundos de Renda variável | FIIs | BTG Pactual Fundo de Fundos</v>
      </c>
      <c r="B21" s="22" t="s">
        <v>3515</v>
      </c>
      <c r="C21" s="22" t="s">
        <v>3430</v>
      </c>
      <c r="D21" s="22" t="s">
        <v>3442</v>
      </c>
      <c r="E21" s="22" t="s">
        <v>3516</v>
      </c>
      <c r="F21" s="6" t="str">
        <f t="shared" si="3"/>
        <v>ABCP11 OR AFCR11 OR AFOF11 OR AIEC11 OR ALMI11 OR ALZR11 OR ANCR11B OR AQLL11 OR ARCT11 OR ARFI11B OR ARRI11 OR ATCR11 OR ATSA11 OR BARI11 OR BBFI11B OR BBIM11 OR BBPO11 OR BBRC11 OR BBVJ11 OR BCFF11 OR BCIA11</v>
      </c>
      <c r="G21" s="44" t="s">
        <v>3517</v>
      </c>
      <c r="H21" s="44" t="s">
        <v>3518</v>
      </c>
      <c r="I21" s="6" t="str">
        <f t="shared" si="2"/>
        <v>(BCFF11)</v>
      </c>
    </row>
    <row r="22">
      <c r="A22" s="6" t="str">
        <f t="shared" si="1"/>
        <v>Fundos de Renda variável | FIIs | Bradesco Carteira Imobiliária Ativa</v>
      </c>
      <c r="B22" s="22" t="s">
        <v>3519</v>
      </c>
      <c r="C22" s="22" t="s">
        <v>3430</v>
      </c>
      <c r="D22" s="22" t="s">
        <v>3520</v>
      </c>
      <c r="E22" s="22" t="s">
        <v>3521</v>
      </c>
      <c r="F22" s="6" t="str">
        <f t="shared" si="3"/>
        <v>ABCP11 OR AFCR11 OR AFOF11 OR AIEC11 OR ALMI11 OR ALZR11 OR ANCR11B OR AQLL11 OR ARCT11 OR ARFI11B OR ARRI11 OR ATCR11 OR ATSA11 OR BARI11 OR BBFI11B OR BBIM11 OR BBPO11 OR BBRC11 OR BBVJ11 OR BCFF11 OR BCIA11 OR BCRI11</v>
      </c>
      <c r="G22" s="44" t="s">
        <v>3522</v>
      </c>
      <c r="H22" s="44" t="s">
        <v>3523</v>
      </c>
      <c r="I22" s="6" t="str">
        <f t="shared" si="2"/>
        <v>(BCIA11)</v>
      </c>
    </row>
    <row r="23">
      <c r="A23" s="6" t="str">
        <f t="shared" si="1"/>
        <v>Fundos de Renda variável | FIIs | Banestes Recebíveis Imobiliários</v>
      </c>
      <c r="B23" s="22" t="s">
        <v>3524</v>
      </c>
      <c r="C23" s="22" t="s">
        <v>3424</v>
      </c>
      <c r="D23" s="22" t="s">
        <v>3431</v>
      </c>
      <c r="E23" s="22" t="s">
        <v>3525</v>
      </c>
      <c r="F23" s="6" t="str">
        <f t="shared" si="3"/>
        <v>ABCP11 OR AFCR11 OR AFOF11 OR AIEC11 OR ALMI11 OR ALZR11 OR ANCR11B OR AQLL11 OR ARCT11 OR ARFI11B OR ARRI11 OR ATCR11 OR ATSA11 OR BARI11 OR BBFI11B OR BBIM11 OR BBPO11 OR BBRC11 OR BBVJ11 OR BCFF11 OR BCIA11 OR BCRI11 OR BICR11</v>
      </c>
      <c r="G23" s="44" t="s">
        <v>3526</v>
      </c>
      <c r="H23" s="44" t="s">
        <v>3527</v>
      </c>
      <c r="I23" s="6" t="str">
        <f t="shared" si="2"/>
        <v>(BCRI11)</v>
      </c>
    </row>
    <row r="24">
      <c r="A24" s="6" t="str">
        <f t="shared" si="1"/>
        <v>Fundos de Renda variável | FIIs | Inter Títulos Imobiliários</v>
      </c>
      <c r="B24" s="22" t="s">
        <v>3528</v>
      </c>
      <c r="C24" s="22" t="s">
        <v>3424</v>
      </c>
      <c r="D24" s="22" t="s">
        <v>3529</v>
      </c>
      <c r="E24" s="22" t="s">
        <v>3530</v>
      </c>
      <c r="F24" s="6" t="str">
        <f t="shared" si="3"/>
        <v>ABCP11 OR AFCR11 OR AFOF11 OR AIEC11 OR ALMI11 OR ALZR11 OR ANCR11B OR AQLL11 OR ARCT11 OR ARFI11B OR ARRI11 OR ATCR11 OR ATSA11 OR BARI11 OR BBFI11B OR BBIM11 OR BBPO11 OR BBRC11 OR BBVJ11 OR BCFF11 OR BCIA11 OR BCRI11 OR BICR11 OR BJRC11</v>
      </c>
      <c r="G24" s="44" t="s">
        <v>3531</v>
      </c>
      <c r="H24" s="44" t="s">
        <v>3532</v>
      </c>
      <c r="I24" s="6" t="str">
        <f t="shared" si="2"/>
        <v>(BICR11)</v>
      </c>
    </row>
    <row r="25">
      <c r="A25" s="6" t="str">
        <f t="shared" si="1"/>
        <v>Fundos de Renda variável | FIIs | JS Real Estate Recebíveis Imobiliários</v>
      </c>
      <c r="B25" s="22" t="s">
        <v>3533</v>
      </c>
      <c r="C25" s="22" t="s">
        <v>3424</v>
      </c>
      <c r="D25" s="22" t="s">
        <v>3534</v>
      </c>
      <c r="E25" s="22" t="s">
        <v>3535</v>
      </c>
      <c r="F25" s="6" t="str">
        <f t="shared" si="3"/>
        <v>ABCP11 OR AFCR11 OR AFOF11 OR AIEC11 OR ALMI11 OR ALZR11 OR ANCR11B OR AQLL11 OR ARCT11 OR ARFI11B OR ARRI11 OR ATCR11 OR ATSA11 OR BARI11 OR BBFI11B OR BBIM11 OR BBPO11 OR BBRC11 OR BBVJ11 OR BCFF11 OR BCIA11 OR BCRI11 OR BICR11 OR BJRC11 OR BLCP11</v>
      </c>
      <c r="G25" s="44" t="s">
        <v>3536</v>
      </c>
      <c r="H25" s="44" t="s">
        <v>3537</v>
      </c>
      <c r="I25" s="6" t="str">
        <f t="shared" si="2"/>
        <v>(BJRC11)</v>
      </c>
    </row>
    <row r="26">
      <c r="A26" s="6" t="str">
        <f t="shared" si="1"/>
        <v>Fundos de Renda variável | FIIs | Bluecap Renda Logística</v>
      </c>
      <c r="B26" s="22" t="s">
        <v>3538</v>
      </c>
      <c r="C26" s="22" t="s">
        <v>3463</v>
      </c>
      <c r="D26" s="22" t="s">
        <v>3442</v>
      </c>
      <c r="E26" s="22" t="s">
        <v>3539</v>
      </c>
      <c r="F26"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v>
      </c>
      <c r="G26" s="44" t="s">
        <v>3540</v>
      </c>
      <c r="H26" s="44" t="s">
        <v>3541</v>
      </c>
      <c r="I26" s="6" t="str">
        <f t="shared" si="2"/>
        <v>(BLCP11)</v>
      </c>
    </row>
    <row r="27">
      <c r="A27" s="6" t="str">
        <f t="shared" si="1"/>
        <v>Fundos de Renda variável | FIIs | Bluemacaw Logística</v>
      </c>
      <c r="B27" s="22" t="s">
        <v>3542</v>
      </c>
      <c r="C27" s="22" t="s">
        <v>3463</v>
      </c>
      <c r="D27" s="22" t="s">
        <v>3464</v>
      </c>
      <c r="E27" s="22" t="s">
        <v>3543</v>
      </c>
      <c r="F27"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v>
      </c>
      <c r="G27" s="44" t="s">
        <v>3544</v>
      </c>
      <c r="H27" s="44" t="s">
        <v>3545</v>
      </c>
      <c r="I27" s="6" t="str">
        <f t="shared" si="2"/>
        <v>(BLMG11)</v>
      </c>
    </row>
    <row r="28">
      <c r="A28" s="6" t="str">
        <f t="shared" si="1"/>
        <v>Fundos de Renda variável | FIIs | Bluemacaw Office Fund II</v>
      </c>
      <c r="B28" s="22" t="s">
        <v>3546</v>
      </c>
      <c r="C28" s="22" t="s">
        <v>3436</v>
      </c>
      <c r="D28" s="22" t="s">
        <v>3431</v>
      </c>
      <c r="E28" s="22" t="s">
        <v>3547</v>
      </c>
      <c r="F28"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v>
      </c>
      <c r="G28" s="44" t="s">
        <v>3548</v>
      </c>
      <c r="H28" s="44" t="s">
        <v>3549</v>
      </c>
      <c r="I28" s="6" t="str">
        <f t="shared" si="2"/>
        <v>(BLMO11)</v>
      </c>
    </row>
    <row r="29">
      <c r="A29" s="6" t="str">
        <f t="shared" si="1"/>
        <v>Fundos de Renda variável | FIIs | Bluemacaw Renda + FOF</v>
      </c>
      <c r="B29" s="22" t="s">
        <v>3550</v>
      </c>
      <c r="C29" s="22" t="s">
        <v>3551</v>
      </c>
      <c r="D29" s="22" t="s">
        <v>3431</v>
      </c>
      <c r="E29" s="22" t="s">
        <v>3552</v>
      </c>
      <c r="F29"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v>
      </c>
      <c r="G29" s="44" t="s">
        <v>3553</v>
      </c>
      <c r="H29" s="44" t="s">
        <v>3554</v>
      </c>
      <c r="I29" s="6" t="str">
        <f t="shared" si="2"/>
        <v>(BLMR11)</v>
      </c>
    </row>
    <row r="30">
      <c r="A30" s="6" t="str">
        <f t="shared" si="1"/>
        <v>Fundos de Renda variável | FIIs | Brasílio Machado</v>
      </c>
      <c r="B30" s="22" t="s">
        <v>3555</v>
      </c>
      <c r="C30" s="22" t="s">
        <v>3436</v>
      </c>
      <c r="D30" s="22" t="s">
        <v>3419</v>
      </c>
      <c r="E30" s="22" t="s">
        <v>3556</v>
      </c>
      <c r="F30"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v>
      </c>
      <c r="G30" s="44" t="s">
        <v>3557</v>
      </c>
      <c r="H30" s="44" t="s">
        <v>3558</v>
      </c>
      <c r="I30" s="6" t="str">
        <f t="shared" si="2"/>
        <v>(BMII11)</v>
      </c>
    </row>
    <row r="31">
      <c r="A31" s="6" t="str">
        <f t="shared" si="1"/>
        <v>Fundos de Renda variável | FIIs | BM Brascan Lajes Corporativas</v>
      </c>
      <c r="B31" s="22" t="s">
        <v>3559</v>
      </c>
      <c r="C31" s="22" t="s">
        <v>3436</v>
      </c>
      <c r="D31" s="22" t="s">
        <v>3442</v>
      </c>
      <c r="E31" s="22" t="s">
        <v>3560</v>
      </c>
      <c r="F31"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v>
      </c>
      <c r="G31" s="44" t="s">
        <v>3561</v>
      </c>
      <c r="H31" s="44" t="s">
        <v>3562</v>
      </c>
      <c r="I31" s="6" t="str">
        <f t="shared" si="2"/>
        <v>(BMLC11B)</v>
      </c>
    </row>
    <row r="32">
      <c r="A32" s="6" t="str">
        <f t="shared" si="1"/>
        <v>Fundos de Renda variável | FIIs | Banrisul Novas Fronteiras</v>
      </c>
      <c r="B32" s="22" t="s">
        <v>3563</v>
      </c>
      <c r="C32" s="22" t="s">
        <v>3493</v>
      </c>
      <c r="D32" s="22" t="s">
        <v>3473</v>
      </c>
      <c r="E32" s="22" t="s">
        <v>3564</v>
      </c>
      <c r="F32"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v>
      </c>
      <c r="G32" s="44" t="s">
        <v>3565</v>
      </c>
      <c r="H32" s="44" t="s">
        <v>3566</v>
      </c>
      <c r="I32" s="6" t="str">
        <f t="shared" si="2"/>
        <v>(BNFS11)</v>
      </c>
    </row>
    <row r="33">
      <c r="A33" s="6" t="str">
        <f t="shared" si="1"/>
        <v>Fundos de Renda variável | FIIs | Brasil Plural Absoluto Fundo de Fundos</v>
      </c>
      <c r="B33" s="22" t="s">
        <v>3567</v>
      </c>
      <c r="C33" s="22" t="s">
        <v>3430</v>
      </c>
      <c r="D33" s="22" t="s">
        <v>3568</v>
      </c>
      <c r="E33" s="22" t="s">
        <v>3569</v>
      </c>
      <c r="F33"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v>
      </c>
      <c r="G33" s="44" t="s">
        <v>3570</v>
      </c>
      <c r="H33" s="44" t="s">
        <v>3571</v>
      </c>
      <c r="I33" s="6" t="str">
        <f t="shared" si="2"/>
        <v>(BPFF11)</v>
      </c>
    </row>
    <row r="34">
      <c r="A34" s="6" t="str">
        <f t="shared" si="1"/>
        <v>Fundos de Renda variável | FIIs | Brio Prime Malls</v>
      </c>
      <c r="B34" s="22" t="s">
        <v>3572</v>
      </c>
      <c r="C34" s="22" t="s">
        <v>3418</v>
      </c>
      <c r="D34" s="22" t="s">
        <v>3431</v>
      </c>
      <c r="E34" s="22" t="s">
        <v>3573</v>
      </c>
      <c r="F34"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v>
      </c>
      <c r="G34" s="44" t="s">
        <v>3574</v>
      </c>
      <c r="H34" s="44" t="s">
        <v>3575</v>
      </c>
      <c r="I34" s="6" t="str">
        <f t="shared" si="2"/>
        <v>(BPMA11)</v>
      </c>
    </row>
    <row r="35">
      <c r="A35" s="6" t="str">
        <f t="shared" si="1"/>
        <v>Fundos de Renda variável | FIIs | BTG Pactual Shoppings</v>
      </c>
      <c r="B35" s="22" t="s">
        <v>3576</v>
      </c>
      <c r="C35" s="22" t="s">
        <v>3418</v>
      </c>
      <c r="D35" s="22" t="s">
        <v>3442</v>
      </c>
      <c r="E35" s="22" t="s">
        <v>3577</v>
      </c>
      <c r="F35"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v>
      </c>
      <c r="G35" s="44" t="s">
        <v>3578</v>
      </c>
      <c r="H35" s="44" t="s">
        <v>3579</v>
      </c>
      <c r="I35" s="6" t="str">
        <f t="shared" si="2"/>
        <v>(BPML11)</v>
      </c>
    </row>
    <row r="36">
      <c r="A36" s="6" t="str">
        <f t="shared" si="1"/>
        <v>Fundos de Renda variável | FIIs | BRLPROP</v>
      </c>
      <c r="B36" s="22" t="s">
        <v>3580</v>
      </c>
      <c r="C36" s="22" t="s">
        <v>3463</v>
      </c>
      <c r="D36" s="22" t="s">
        <v>3442</v>
      </c>
      <c r="E36" s="22" t="s">
        <v>3581</v>
      </c>
      <c r="F36"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v>
      </c>
      <c r="G36" s="44" t="s">
        <v>3582</v>
      </c>
      <c r="H36" s="44" t="s">
        <v>3583</v>
      </c>
      <c r="I36" s="6" t="str">
        <f t="shared" si="2"/>
        <v>(BPRP11)</v>
      </c>
    </row>
    <row r="37">
      <c r="A37" s="6" t="str">
        <f t="shared" si="1"/>
        <v>Fundos de Renda variável | FIIs | Bresco Logística</v>
      </c>
      <c r="B37" s="22" t="s">
        <v>3584</v>
      </c>
      <c r="C37" s="22" t="s">
        <v>3463</v>
      </c>
      <c r="D37" s="22" t="s">
        <v>3473</v>
      </c>
      <c r="E37" s="22" t="s">
        <v>3585</v>
      </c>
      <c r="F37"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v>
      </c>
      <c r="G37" s="44" t="s">
        <v>3586</v>
      </c>
      <c r="H37" s="44" t="s">
        <v>3587</v>
      </c>
      <c r="I37" s="6" t="str">
        <f t="shared" si="2"/>
        <v>(BRCO11)</v>
      </c>
    </row>
    <row r="38">
      <c r="A38" s="6" t="str">
        <f t="shared" si="1"/>
        <v>Fundos de Renda variável | FIIs | BTG Pactual Corporate Office Fund</v>
      </c>
      <c r="B38" s="22" t="s">
        <v>3588</v>
      </c>
      <c r="C38" s="22" t="s">
        <v>3436</v>
      </c>
      <c r="D38" s="22" t="s">
        <v>3442</v>
      </c>
      <c r="E38" s="22" t="s">
        <v>3589</v>
      </c>
      <c r="F38"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v>
      </c>
      <c r="G38" s="44" t="s">
        <v>3590</v>
      </c>
      <c r="H38" s="44" t="s">
        <v>3591</v>
      </c>
      <c r="I38" s="6" t="str">
        <f t="shared" si="2"/>
        <v>(BRCR11)</v>
      </c>
    </row>
    <row r="39">
      <c r="A39" s="6" t="str">
        <f t="shared" si="1"/>
        <v>Fundos de Renda variável | FIIs | Brazil Real Estate Victory Fund I</v>
      </c>
      <c r="B39" s="22" t="s">
        <v>3592</v>
      </c>
      <c r="C39" s="22" t="s">
        <v>3436</v>
      </c>
      <c r="D39" s="22" t="s">
        <v>3593</v>
      </c>
      <c r="E39" s="22" t="s">
        <v>3594</v>
      </c>
      <c r="F39"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v>
      </c>
      <c r="G39" s="44" t="s">
        <v>3595</v>
      </c>
      <c r="H39" s="44" t="s">
        <v>3596</v>
      </c>
      <c r="I39" s="6" t="str">
        <f t="shared" si="2"/>
        <v>(BREV11)</v>
      </c>
    </row>
    <row r="40">
      <c r="A40" s="6" t="str">
        <f t="shared" si="1"/>
        <v>Fundos de Renda variável | FIIs | BR Hoteis</v>
      </c>
      <c r="B40" s="22" t="s">
        <v>3597</v>
      </c>
      <c r="C40" s="22" t="s">
        <v>3478</v>
      </c>
      <c r="D40" s="22" t="s">
        <v>3598</v>
      </c>
      <c r="E40" s="22" t="s">
        <v>3599</v>
      </c>
      <c r="F40"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v>
      </c>
      <c r="G40" s="44" t="s">
        <v>3600</v>
      </c>
      <c r="H40" s="44" t="s">
        <v>3601</v>
      </c>
      <c r="I40" s="6" t="str">
        <f t="shared" si="2"/>
        <v>(BRHT11B)</v>
      </c>
    </row>
    <row r="41">
      <c r="A41" s="6" t="str">
        <f t="shared" si="1"/>
        <v>Fundos de Renda variável | FIIs | Brio Real Estate II</v>
      </c>
      <c r="B41" s="22" t="s">
        <v>3602</v>
      </c>
      <c r="C41" s="22" t="s">
        <v>3603</v>
      </c>
      <c r="D41" s="22" t="s">
        <v>3431</v>
      </c>
      <c r="E41" s="22" t="s">
        <v>3604</v>
      </c>
      <c r="F41"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v>
      </c>
      <c r="G41" s="44" t="s">
        <v>3605</v>
      </c>
      <c r="H41" s="44" t="s">
        <v>3606</v>
      </c>
      <c r="I41" s="6" t="str">
        <f t="shared" si="2"/>
        <v>(BRIM11)</v>
      </c>
    </row>
    <row r="42">
      <c r="A42" s="6" t="str">
        <f t="shared" si="1"/>
        <v>Fundos de Renda variável | FIIs | Brio Real Estate III</v>
      </c>
      <c r="B42" s="22" t="s">
        <v>3607</v>
      </c>
      <c r="C42" s="22" t="s">
        <v>3603</v>
      </c>
      <c r="D42" s="22" t="s">
        <v>3431</v>
      </c>
      <c r="E42" s="22" t="s">
        <v>3608</v>
      </c>
      <c r="F42"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v>
      </c>
      <c r="G42" s="44" t="s">
        <v>3609</v>
      </c>
      <c r="H42" s="44" t="s">
        <v>3610</v>
      </c>
      <c r="I42" s="6" t="str">
        <f t="shared" si="2"/>
        <v>(BRIP11)</v>
      </c>
    </row>
    <row r="43">
      <c r="A43" s="6" t="str">
        <f t="shared" si="1"/>
        <v>Fundos de Renda variável | FIIs | BRL PROP II</v>
      </c>
      <c r="B43" s="22" t="s">
        <v>3611</v>
      </c>
      <c r="C43" s="22" t="s">
        <v>3463</v>
      </c>
      <c r="D43" s="22" t="s">
        <v>3442</v>
      </c>
      <c r="E43" s="22" t="s">
        <v>3612</v>
      </c>
      <c r="F43"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v>
      </c>
      <c r="G43" s="44" t="s">
        <v>3613</v>
      </c>
      <c r="H43" s="44" t="s">
        <v>3614</v>
      </c>
      <c r="I43" s="6" t="str">
        <f t="shared" si="2"/>
        <v>(BRLA11)</v>
      </c>
    </row>
    <row r="44">
      <c r="A44" s="6" t="str">
        <f t="shared" si="1"/>
        <v>Fundos de Renda variável | FIIs | BTG Pactual Crédito Imobiliário</v>
      </c>
      <c r="B44" s="22" t="s">
        <v>3615</v>
      </c>
      <c r="C44" s="22" t="s">
        <v>3424</v>
      </c>
      <c r="D44" s="22" t="s">
        <v>3442</v>
      </c>
      <c r="E44" s="22" t="s">
        <v>3616</v>
      </c>
      <c r="F44"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v>
      </c>
      <c r="G44" s="44" t="s">
        <v>3617</v>
      </c>
      <c r="H44" s="44" t="s">
        <v>3618</v>
      </c>
      <c r="I44" s="6" t="str">
        <f t="shared" si="2"/>
        <v>(BTCR11)</v>
      </c>
    </row>
    <row r="45">
      <c r="A45" s="6" t="str">
        <f t="shared" si="1"/>
        <v>Fundos de Renda variável | FIIs | BTG Pactual Logística</v>
      </c>
      <c r="B45" s="22" t="s">
        <v>3619</v>
      </c>
      <c r="C45" s="22" t="s">
        <v>3463</v>
      </c>
      <c r="D45" s="22" t="s">
        <v>3442</v>
      </c>
      <c r="E45" s="22" t="s">
        <v>3620</v>
      </c>
      <c r="F45"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v>
      </c>
      <c r="G45" s="44" t="s">
        <v>3621</v>
      </c>
      <c r="H45" s="44" t="s">
        <v>3622</v>
      </c>
      <c r="I45" s="6" t="str">
        <f t="shared" si="2"/>
        <v>(BTLG11)</v>
      </c>
    </row>
    <row r="46">
      <c r="A46" s="6" t="str">
        <f t="shared" si="1"/>
        <v>Fundos de Renda variável | FIIs | BTSP I</v>
      </c>
      <c r="B46" s="22" t="s">
        <v>3623</v>
      </c>
      <c r="C46" s="22" t="s">
        <v>3457</v>
      </c>
      <c r="D46" s="22" t="s">
        <v>3624</v>
      </c>
      <c r="E46" s="22" t="s">
        <v>3625</v>
      </c>
      <c r="F46"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v>
      </c>
      <c r="G46" s="44" t="s">
        <v>3626</v>
      </c>
      <c r="H46" s="44" t="s">
        <v>3627</v>
      </c>
      <c r="I46" s="6" t="str">
        <f t="shared" si="2"/>
        <v>(BTSG11)</v>
      </c>
    </row>
    <row r="47">
      <c r="A47" s="6" t="str">
        <f t="shared" si="1"/>
        <v>Fundos de Renda variável | FIIs | Brasil Varejo</v>
      </c>
      <c r="B47" s="22" t="s">
        <v>3628</v>
      </c>
      <c r="C47" s="22" t="s">
        <v>3436</v>
      </c>
      <c r="D47" s="22" t="s">
        <v>3419</v>
      </c>
      <c r="E47" s="22" t="s">
        <v>3629</v>
      </c>
      <c r="F47"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v>
      </c>
      <c r="G47" s="44" t="s">
        <v>3630</v>
      </c>
      <c r="H47" s="44" t="s">
        <v>3631</v>
      </c>
      <c r="I47" s="6" t="str">
        <f t="shared" si="2"/>
        <v>(BVAR11)</v>
      </c>
    </row>
    <row r="48">
      <c r="A48" s="6" t="str">
        <f t="shared" si="1"/>
        <v>Fundos de Renda variável | FIIs | BRAZIL REALTY</v>
      </c>
      <c r="B48" s="22" t="s">
        <v>3632</v>
      </c>
      <c r="C48" s="22" t="s">
        <v>3424</v>
      </c>
      <c r="D48" s="22" t="s">
        <v>3458</v>
      </c>
      <c r="E48" s="22" t="s">
        <v>3633</v>
      </c>
      <c r="F48"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v>
      </c>
      <c r="G48" s="44" t="s">
        <v>3634</v>
      </c>
      <c r="H48" s="44" t="s">
        <v>3635</v>
      </c>
      <c r="I48" s="6" t="str">
        <f t="shared" si="2"/>
        <v>(BZLI11)</v>
      </c>
    </row>
    <row r="49">
      <c r="A49" s="6" t="str">
        <f t="shared" si="1"/>
        <v>Fundos de Renda variável | FIIs | Brazilian GraveyardDeath Care</v>
      </c>
      <c r="B49" s="22" t="s">
        <v>3636</v>
      </c>
      <c r="C49" s="22" t="s">
        <v>566</v>
      </c>
      <c r="D49" s="22" t="s">
        <v>3637</v>
      </c>
      <c r="E49" s="22" t="s">
        <v>3638</v>
      </c>
      <c r="F49"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v>
      </c>
      <c r="G49" s="44" t="s">
        <v>3639</v>
      </c>
      <c r="H49" s="44" t="s">
        <v>3640</v>
      </c>
      <c r="I49" s="6" t="str">
        <f t="shared" si="2"/>
        <v>(CARE11)</v>
      </c>
    </row>
    <row r="50">
      <c r="A50" s="6" t="str">
        <f t="shared" si="1"/>
        <v>Fundos de Renda variável | FIIs | Castello Branco Office Park</v>
      </c>
      <c r="B50" s="22" t="s">
        <v>3641</v>
      </c>
      <c r="C50" s="22" t="s">
        <v>3436</v>
      </c>
      <c r="D50" s="22" t="s">
        <v>3642</v>
      </c>
      <c r="E50" s="22" t="s">
        <v>3643</v>
      </c>
      <c r="F50"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v>
      </c>
      <c r="G50" s="44" t="s">
        <v>3644</v>
      </c>
      <c r="H50" s="44" t="s">
        <v>3645</v>
      </c>
      <c r="I50" s="6" t="str">
        <f t="shared" si="2"/>
        <v>(CBOP11)</v>
      </c>
    </row>
    <row r="51">
      <c r="A51" s="6" t="str">
        <f t="shared" si="1"/>
        <v>Fundos de Renda variável | FIIs | CEO Cyrela Commercial Properties</v>
      </c>
      <c r="B51" s="22" t="s">
        <v>3646</v>
      </c>
      <c r="C51" s="22" t="s">
        <v>3436</v>
      </c>
      <c r="D51" s="22" t="s">
        <v>3442</v>
      </c>
      <c r="E51" s="22" t="s">
        <v>3647</v>
      </c>
      <c r="F51"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v>
      </c>
      <c r="G51" s="44" t="s">
        <v>3648</v>
      </c>
      <c r="H51" s="44" t="s">
        <v>3649</v>
      </c>
      <c r="I51" s="6" t="str">
        <f t="shared" si="2"/>
        <v>(CEOC11)</v>
      </c>
    </row>
    <row r="52">
      <c r="A52" s="6" t="str">
        <f t="shared" si="1"/>
        <v>Fundos de Renda variável | FIIs | CF2 FII</v>
      </c>
      <c r="B52" s="22" t="s">
        <v>3650</v>
      </c>
      <c r="C52" s="22" t="s">
        <v>3436</v>
      </c>
      <c r="D52" s="22" t="s">
        <v>3464</v>
      </c>
      <c r="E52" s="22" t="s">
        <v>3651</v>
      </c>
      <c r="F52"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v>
      </c>
      <c r="G52" s="44" t="s">
        <v>3652</v>
      </c>
      <c r="H52" s="44" t="s">
        <v>3653</v>
      </c>
      <c r="I52" s="6" t="str">
        <f t="shared" si="2"/>
        <v>(CFHI11)</v>
      </c>
    </row>
    <row r="53">
      <c r="A53" s="6" t="str">
        <f t="shared" si="1"/>
        <v>Fundos de Renda variável | FIIs | CJ FII</v>
      </c>
      <c r="B53" s="22" t="s">
        <v>3654</v>
      </c>
      <c r="C53" s="22" t="s">
        <v>3436</v>
      </c>
      <c r="D53" s="22" t="s">
        <v>3442</v>
      </c>
      <c r="E53" s="22" t="s">
        <v>3655</v>
      </c>
      <c r="F53"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v>
      </c>
      <c r="G53" s="44" t="s">
        <v>3656</v>
      </c>
      <c r="H53" s="44" t="s">
        <v>3657</v>
      </c>
      <c r="I53" s="6" t="str">
        <f t="shared" si="2"/>
        <v>(CJFI11)</v>
      </c>
    </row>
    <row r="54">
      <c r="A54" s="6" t="str">
        <f t="shared" si="1"/>
        <v>Fundos de Renda variável | FIIs | Cenesp</v>
      </c>
      <c r="B54" s="22" t="s">
        <v>3658</v>
      </c>
      <c r="C54" s="22" t="s">
        <v>3436</v>
      </c>
      <c r="D54" s="22" t="s">
        <v>3442</v>
      </c>
      <c r="E54" s="22" t="s">
        <v>3659</v>
      </c>
      <c r="F54"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v>
      </c>
      <c r="G54" s="44" t="s">
        <v>3660</v>
      </c>
      <c r="H54" s="44" t="s">
        <v>3661</v>
      </c>
      <c r="I54" s="6" t="str">
        <f t="shared" si="2"/>
        <v>(CNES11)</v>
      </c>
    </row>
    <row r="55">
      <c r="A55" s="6" t="str">
        <f t="shared" si="1"/>
        <v>Fundos de Renda variável | FIIs | Capitânia REIT FOF</v>
      </c>
      <c r="B55" s="22" t="s">
        <v>3662</v>
      </c>
      <c r="C55" s="22" t="s">
        <v>3430</v>
      </c>
      <c r="D55" s="22" t="s">
        <v>3464</v>
      </c>
      <c r="E55" s="22" t="s">
        <v>3663</v>
      </c>
      <c r="F55"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v>
      </c>
      <c r="G55" s="44" t="s">
        <v>3664</v>
      </c>
      <c r="H55" s="44" t="s">
        <v>3665</v>
      </c>
      <c r="I55" s="6" t="str">
        <f t="shared" si="2"/>
        <v>(CPFF11)</v>
      </c>
    </row>
    <row r="56">
      <c r="A56" s="6" t="str">
        <f t="shared" si="1"/>
        <v>Fundos de Renda variável | FIIs | Capitânia Securities II</v>
      </c>
      <c r="B56" s="22" t="s">
        <v>3666</v>
      </c>
      <c r="C56" s="22" t="s">
        <v>3424</v>
      </c>
      <c r="D56" s="22" t="s">
        <v>3442</v>
      </c>
      <c r="E56" s="22" t="s">
        <v>3667</v>
      </c>
      <c r="F56"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v>
      </c>
      <c r="G56" s="44" t="s">
        <v>3668</v>
      </c>
      <c r="H56" s="44" t="s">
        <v>3669</v>
      </c>
      <c r="I56" s="6" t="str">
        <f t="shared" si="2"/>
        <v>(CPTS11)</v>
      </c>
    </row>
    <row r="57">
      <c r="A57" s="6" t="str">
        <f t="shared" si="1"/>
        <v>Fundos de Renda variável | FIIs | Caixa Rio Bravo Fundo de Fundos II</v>
      </c>
      <c r="B57" s="22" t="s">
        <v>3670</v>
      </c>
      <c r="C57" s="22" t="s">
        <v>3430</v>
      </c>
      <c r="D57" s="22" t="s">
        <v>3671</v>
      </c>
      <c r="E57" s="22" t="s">
        <v>3672</v>
      </c>
      <c r="F57"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v>
      </c>
      <c r="G57" s="44" t="s">
        <v>3673</v>
      </c>
      <c r="H57" s="44" t="s">
        <v>3674</v>
      </c>
      <c r="I57" s="6" t="str">
        <f t="shared" si="2"/>
        <v>(CRFF11)</v>
      </c>
    </row>
    <row r="58">
      <c r="A58" s="6" t="str">
        <f t="shared" si="1"/>
        <v>Fundos de Renda variável | FIIs | Centro Têxtil Internacional</v>
      </c>
      <c r="B58" s="22" t="s">
        <v>3675</v>
      </c>
      <c r="C58" s="22" t="s">
        <v>3436</v>
      </c>
      <c r="D58" s="22" t="s">
        <v>3419</v>
      </c>
      <c r="E58" s="22" t="s">
        <v>3676</v>
      </c>
      <c r="F58"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v>
      </c>
      <c r="G58" s="44" t="s">
        <v>3677</v>
      </c>
      <c r="H58" s="44" t="s">
        <v>3678</v>
      </c>
      <c r="I58" s="6" t="str">
        <f t="shared" si="2"/>
        <v>(CTXT11)</v>
      </c>
    </row>
    <row r="59">
      <c r="A59" s="6" t="str">
        <f t="shared" si="1"/>
        <v>Fundos de Renda variável | FIIs | VBI CRI</v>
      </c>
      <c r="B59" s="22" t="s">
        <v>3679</v>
      </c>
      <c r="C59" s="22" t="s">
        <v>3424</v>
      </c>
      <c r="D59" s="22" t="s">
        <v>3431</v>
      </c>
      <c r="E59" s="22" t="s">
        <v>3680</v>
      </c>
      <c r="F59"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v>
      </c>
      <c r="G59" s="44" t="s">
        <v>3681</v>
      </c>
      <c r="H59" s="44" t="s">
        <v>3682</v>
      </c>
      <c r="I59" s="6" t="str">
        <f t="shared" si="2"/>
        <v>(CVBI11)</v>
      </c>
    </row>
    <row r="60">
      <c r="A60" s="6" t="str">
        <f t="shared" si="1"/>
        <v>Fundos de Renda variável | FIIs | Caixa Cedae</v>
      </c>
      <c r="B60" s="22" t="s">
        <v>3683</v>
      </c>
      <c r="C60" s="22" t="s">
        <v>3436</v>
      </c>
      <c r="D60" s="22" t="s">
        <v>3671</v>
      </c>
      <c r="E60" s="22" t="s">
        <v>3684</v>
      </c>
      <c r="F60"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v>
      </c>
      <c r="G60" s="44" t="s">
        <v>3685</v>
      </c>
      <c r="H60" s="44" t="s">
        <v>3686</v>
      </c>
      <c r="I60" s="6" t="str">
        <f t="shared" si="2"/>
        <v>(CXCE11B)</v>
      </c>
    </row>
    <row r="61">
      <c r="A61" s="6" t="str">
        <f t="shared" si="1"/>
        <v>Fundos de Renda variável | FIIs | Caixa Rio Bravo Fundo de Fundos</v>
      </c>
      <c r="B61" s="22" t="s">
        <v>3687</v>
      </c>
      <c r="C61" s="22" t="s">
        <v>3430</v>
      </c>
      <c r="D61" s="22" t="s">
        <v>3671</v>
      </c>
      <c r="E61" s="22" t="s">
        <v>3688</v>
      </c>
      <c r="F61"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v>
      </c>
      <c r="G61" s="44" t="s">
        <v>3689</v>
      </c>
      <c r="H61" s="44" t="s">
        <v>3690</v>
      </c>
      <c r="I61" s="6" t="str">
        <f t="shared" si="2"/>
        <v>(CXRI11)</v>
      </c>
    </row>
    <row r="62">
      <c r="A62" s="6" t="str">
        <f t="shared" si="1"/>
        <v>Fundos de Renda variável | FIIs | Caixa TRX Logística Renda</v>
      </c>
      <c r="B62" s="22" t="s">
        <v>3691</v>
      </c>
      <c r="C62" s="22" t="s">
        <v>3463</v>
      </c>
      <c r="D62" s="22" t="s">
        <v>3671</v>
      </c>
      <c r="E62" s="22" t="s">
        <v>3692</v>
      </c>
      <c r="F62"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v>
      </c>
      <c r="G62" s="44" t="s">
        <v>3693</v>
      </c>
      <c r="H62" s="44" t="s">
        <v>3694</v>
      </c>
      <c r="I62" s="6" t="str">
        <f t="shared" si="2"/>
        <v>(CXTL11)</v>
      </c>
    </row>
    <row r="63">
      <c r="A63" s="6" t="str">
        <f t="shared" si="1"/>
        <v>Fundos de Renda variável | FIIs | Diamante</v>
      </c>
      <c r="B63" s="22" t="s">
        <v>3695</v>
      </c>
      <c r="C63" s="22" t="s">
        <v>3418</v>
      </c>
      <c r="D63" s="22" t="s">
        <v>3696</v>
      </c>
      <c r="E63" s="22" t="s">
        <v>3697</v>
      </c>
      <c r="F63"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v>
      </c>
      <c r="G63" s="44" t="s">
        <v>3698</v>
      </c>
      <c r="H63" s="44" t="s">
        <v>3699</v>
      </c>
      <c r="I63" s="6" t="str">
        <f t="shared" si="2"/>
        <v>(DAMT11B)</v>
      </c>
    </row>
    <row r="64">
      <c r="A64" s="6" t="str">
        <f t="shared" si="1"/>
        <v>Fundos de Renda variável | FIIs | Devant Recebíveis Imobiliários</v>
      </c>
      <c r="B64" s="22" t="s">
        <v>3700</v>
      </c>
      <c r="C64" s="22" t="s">
        <v>3424</v>
      </c>
      <c r="D64" s="22" t="s">
        <v>3464</v>
      </c>
      <c r="E64" s="22" t="s">
        <v>3701</v>
      </c>
      <c r="F64"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v>
      </c>
      <c r="G64" s="44" t="s">
        <v>3702</v>
      </c>
      <c r="H64" s="44" t="s">
        <v>3703</v>
      </c>
      <c r="I64" s="6" t="str">
        <f t="shared" si="2"/>
        <v>(DEVA11)</v>
      </c>
    </row>
    <row r="65">
      <c r="A65" s="6" t="str">
        <f t="shared" si="1"/>
        <v>Fundos de Renda variável | FIIs | Del Monte Ajax</v>
      </c>
      <c r="B65" s="22" t="s">
        <v>3704</v>
      </c>
      <c r="C65" s="22" t="s">
        <v>3436</v>
      </c>
      <c r="D65" s="22" t="s">
        <v>3637</v>
      </c>
      <c r="E65" s="22" t="s">
        <v>3705</v>
      </c>
      <c r="F65"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v>
      </c>
      <c r="G65" s="44" t="s">
        <v>3706</v>
      </c>
      <c r="H65" s="44" t="s">
        <v>3707</v>
      </c>
      <c r="I65" s="6" t="str">
        <f t="shared" si="2"/>
        <v>(DLMT11)</v>
      </c>
    </row>
    <row r="66">
      <c r="A66" s="6" t="str">
        <f t="shared" si="1"/>
        <v>Fundos de Renda variável | FIIs | MAC FII</v>
      </c>
      <c r="B66" s="22" t="s">
        <v>3708</v>
      </c>
      <c r="C66" s="22" t="s">
        <v>3603</v>
      </c>
      <c r="D66" s="22" t="s">
        <v>3473</v>
      </c>
      <c r="E66" s="22" t="s">
        <v>3709</v>
      </c>
      <c r="F66"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v>
      </c>
      <c r="G66" s="44" t="s">
        <v>3710</v>
      </c>
      <c r="H66" s="44" t="s">
        <v>3711</v>
      </c>
      <c r="I66" s="6" t="str">
        <f t="shared" si="2"/>
        <v>(DMAC11)</v>
      </c>
    </row>
    <row r="67">
      <c r="A67" s="6" t="str">
        <f t="shared" si="1"/>
        <v>Fundos de Renda variável | FIIs | Dovel</v>
      </c>
      <c r="B67" s="22" t="s">
        <v>3712</v>
      </c>
      <c r="C67" s="22" t="s">
        <v>3436</v>
      </c>
      <c r="D67" s="22" t="s">
        <v>3713</v>
      </c>
      <c r="E67" s="22" t="s">
        <v>3714</v>
      </c>
      <c r="F67"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v>
      </c>
      <c r="G67" s="44" t="s">
        <v>3715</v>
      </c>
      <c r="H67" s="44" t="s">
        <v>3716</v>
      </c>
      <c r="I67" s="6" t="str">
        <f t="shared" si="2"/>
        <v>(DOVL11B)</v>
      </c>
    </row>
    <row r="68">
      <c r="A68" s="6" t="str">
        <f t="shared" si="1"/>
        <v>Fundos de Renda variável | FIIs | Multigestão Renda Comercial</v>
      </c>
      <c r="B68" s="22" t="s">
        <v>3717</v>
      </c>
      <c r="C68" s="22" t="s">
        <v>3436</v>
      </c>
      <c r="D68" s="22" t="s">
        <v>3718</v>
      </c>
      <c r="E68" s="22" t="s">
        <v>3719</v>
      </c>
      <c r="F68"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v>
      </c>
      <c r="G68" s="44" t="s">
        <v>3720</v>
      </c>
      <c r="H68" s="44" t="s">
        <v>3721</v>
      </c>
      <c r="I68" s="6" t="str">
        <f t="shared" si="2"/>
        <v>(DRIT11B)</v>
      </c>
    </row>
    <row r="69">
      <c r="A69" s="6" t="str">
        <f t="shared" si="1"/>
        <v>Fundos de Renda variável | FIIs | Edifício Ourinvest</v>
      </c>
      <c r="B69" s="45" t="s">
        <v>3722</v>
      </c>
      <c r="C69" s="22" t="s">
        <v>3436</v>
      </c>
      <c r="D69" s="22" t="s">
        <v>3473</v>
      </c>
      <c r="E69" s="22" t="s">
        <v>3723</v>
      </c>
      <c r="F69"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v>
      </c>
      <c r="G69" s="44" t="s">
        <v>3724</v>
      </c>
      <c r="H69" s="44" t="s">
        <v>3725</v>
      </c>
      <c r="I69" s="6" t="str">
        <f t="shared" si="2"/>
        <v>(EDFO11B)</v>
      </c>
    </row>
    <row r="70">
      <c r="A70" s="6" t="str">
        <f t="shared" si="1"/>
        <v>Fundos de Renda variável | FIIs | Edifício Galeria</v>
      </c>
      <c r="B70" s="22" t="s">
        <v>3726</v>
      </c>
      <c r="C70" s="22" t="s">
        <v>3436</v>
      </c>
      <c r="D70" s="22" t="s">
        <v>3442</v>
      </c>
      <c r="E70" s="22" t="s">
        <v>3727</v>
      </c>
      <c r="F70"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v>
      </c>
      <c r="G70" s="44" t="s">
        <v>3728</v>
      </c>
      <c r="H70" s="44" t="s">
        <v>3729</v>
      </c>
      <c r="I70" s="6" t="str">
        <f t="shared" si="2"/>
        <v>(EDGA11)</v>
      </c>
    </row>
    <row r="71">
      <c r="A71" s="6" t="str">
        <f t="shared" si="1"/>
        <v>Fundos de Renda variável | FIIs | Energy Resort</v>
      </c>
      <c r="B71" s="22" t="s">
        <v>3730</v>
      </c>
      <c r="C71" s="22" t="s">
        <v>3603</v>
      </c>
      <c r="D71" s="22" t="s">
        <v>3731</v>
      </c>
      <c r="E71" s="22" t="s">
        <v>3732</v>
      </c>
      <c r="F71"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v>
      </c>
      <c r="G71" s="44" t="s">
        <v>3733</v>
      </c>
      <c r="H71" s="44" t="s">
        <v>3734</v>
      </c>
      <c r="I71" s="6" t="str">
        <f t="shared" si="2"/>
        <v>(EGYR11)</v>
      </c>
    </row>
    <row r="72">
      <c r="A72" s="6" t="str">
        <f t="shared" si="1"/>
        <v>Fundos de Renda variável | FIIs | Eldorado</v>
      </c>
      <c r="B72" s="22" t="s">
        <v>3735</v>
      </c>
      <c r="C72" s="22" t="s">
        <v>3418</v>
      </c>
      <c r="D72" s="22" t="s">
        <v>3419</v>
      </c>
      <c r="E72" s="22" t="s">
        <v>3736</v>
      </c>
      <c r="F72"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v>
      </c>
      <c r="G72" s="44" t="s">
        <v>3737</v>
      </c>
      <c r="H72" s="44" t="s">
        <v>3738</v>
      </c>
      <c r="I72" s="6" t="str">
        <f t="shared" si="2"/>
        <v>(ELDO11B)</v>
      </c>
    </row>
    <row r="73">
      <c r="A73" s="6" t="str">
        <f t="shared" si="1"/>
        <v>Fundos de Renda variável | FIIs | AYLES</v>
      </c>
      <c r="B73" s="22" t="s">
        <v>3739</v>
      </c>
      <c r="C73" s="22" t="s">
        <v>3603</v>
      </c>
      <c r="D73" s="22" t="s">
        <v>3473</v>
      </c>
      <c r="E73" s="22" t="s">
        <v>3740</v>
      </c>
      <c r="F73"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v>
      </c>
      <c r="G73" s="44" t="s">
        <v>3741</v>
      </c>
      <c r="H73" s="44" t="s">
        <v>3742</v>
      </c>
      <c r="I73" s="6" t="str">
        <f t="shared" si="2"/>
        <v>(ERCR11)</v>
      </c>
    </row>
    <row r="74">
      <c r="A74" s="6" t="str">
        <f t="shared" si="1"/>
        <v>Fundos de Renda variável | FIIs | EUROPA 105</v>
      </c>
      <c r="B74" s="22" t="s">
        <v>3743</v>
      </c>
      <c r="C74" s="22" t="s">
        <v>3436</v>
      </c>
      <c r="D74" s="22" t="s">
        <v>3473</v>
      </c>
      <c r="E74" s="22" t="s">
        <v>3744</v>
      </c>
      <c r="F74"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v>
      </c>
      <c r="G74" s="44" t="s">
        <v>3745</v>
      </c>
      <c r="H74" s="44" t="s">
        <v>3746</v>
      </c>
      <c r="I74" s="6" t="str">
        <f t="shared" si="2"/>
        <v>(ERPA11)</v>
      </c>
    </row>
    <row r="75">
      <c r="A75" s="6" t="str">
        <f t="shared" si="1"/>
        <v>Fundos de Renda variável | FIIs | Polo Estoque II</v>
      </c>
      <c r="B75" s="22" t="s">
        <v>3747</v>
      </c>
      <c r="C75" s="22" t="s">
        <v>3436</v>
      </c>
      <c r="D75" s="22" t="s">
        <v>3473</v>
      </c>
      <c r="E75" s="22" t="s">
        <v>3748</v>
      </c>
      <c r="F75"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v>
      </c>
      <c r="G75" s="44" t="s">
        <v>3749</v>
      </c>
      <c r="H75" s="44" t="s">
        <v>3750</v>
      </c>
      <c r="I75" s="6" t="str">
        <f t="shared" si="2"/>
        <v>(ESTQ11)</v>
      </c>
    </row>
    <row r="76">
      <c r="A76" s="6" t="str">
        <f t="shared" si="1"/>
        <v>Fundos de Renda variável | FIIs | Europar</v>
      </c>
      <c r="B76" s="22" t="s">
        <v>3751</v>
      </c>
      <c r="C76" s="22" t="s">
        <v>3463</v>
      </c>
      <c r="D76" s="22" t="s">
        <v>3752</v>
      </c>
      <c r="E76" s="22" t="s">
        <v>3753</v>
      </c>
      <c r="F76"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v>
      </c>
      <c r="G76" s="44" t="s">
        <v>3754</v>
      </c>
      <c r="H76" s="44" t="s">
        <v>3755</v>
      </c>
      <c r="I76" s="6" t="str">
        <f t="shared" si="2"/>
        <v>(EURO11)</v>
      </c>
    </row>
    <row r="77">
      <c r="A77" s="6" t="str">
        <f t="shared" si="1"/>
        <v>Fundos de Renda variável | FIIs | VBI Consumo Essencial</v>
      </c>
      <c r="B77" s="22" t="s">
        <v>3756</v>
      </c>
      <c r="C77" s="22" t="s">
        <v>566</v>
      </c>
      <c r="D77" s="22" t="s">
        <v>3431</v>
      </c>
      <c r="E77" s="22" t="s">
        <v>3757</v>
      </c>
      <c r="F77"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v>
      </c>
      <c r="G77" s="44" t="s">
        <v>3758</v>
      </c>
      <c r="H77" s="44" t="s">
        <v>3759</v>
      </c>
      <c r="I77" s="6" t="str">
        <f t="shared" si="2"/>
        <v>(EVBI11)</v>
      </c>
    </row>
    <row r="78">
      <c r="A78" s="6" t="str">
        <f t="shared" si="1"/>
        <v>Fundos de Renda variável | FIIs | Even Hotel Fasano Itaim</v>
      </c>
      <c r="B78" s="22" t="s">
        <v>3760</v>
      </c>
      <c r="C78" s="22" t="s">
        <v>3478</v>
      </c>
      <c r="D78" s="22" t="s">
        <v>3431</v>
      </c>
      <c r="E78" s="22" t="s">
        <v>3761</v>
      </c>
      <c r="F78"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v>
      </c>
      <c r="G78" s="44" t="s">
        <v>3762</v>
      </c>
      <c r="H78" s="44" t="s">
        <v>3763</v>
      </c>
      <c r="I78" s="6" t="str">
        <f t="shared" si="2"/>
        <v>(EVHF11)</v>
      </c>
    </row>
    <row r="79">
      <c r="A79" s="6" t="str">
        <f t="shared" si="1"/>
        <v>Fundos de Renda variável | FIIs | Anhanguera Educacional</v>
      </c>
      <c r="B79" s="22" t="s">
        <v>3764</v>
      </c>
      <c r="C79" s="22" t="s">
        <v>3765</v>
      </c>
      <c r="D79" s="22" t="s">
        <v>3442</v>
      </c>
      <c r="E79" s="22" t="s">
        <v>3766</v>
      </c>
      <c r="F79"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v>
      </c>
      <c r="G79" s="44" t="s">
        <v>3767</v>
      </c>
      <c r="H79" s="44" t="s">
        <v>3768</v>
      </c>
      <c r="I79" s="6" t="str">
        <f t="shared" si="2"/>
        <v>(FAED11)</v>
      </c>
    </row>
    <row r="80">
      <c r="A80" s="6" t="str">
        <f t="shared" si="1"/>
        <v>Fundos de Renda variável | FIIs | Edifício Almirante Barroso</v>
      </c>
      <c r="B80" s="22" t="s">
        <v>3769</v>
      </c>
      <c r="C80" s="22" t="s">
        <v>3436</v>
      </c>
      <c r="D80" s="22" t="s">
        <v>3442</v>
      </c>
      <c r="E80" s="22" t="s">
        <v>3770</v>
      </c>
      <c r="F80"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v>
      </c>
      <c r="G80" s="44" t="s">
        <v>3771</v>
      </c>
      <c r="H80" s="44" t="s">
        <v>3772</v>
      </c>
      <c r="I80" s="6" t="str">
        <f t="shared" si="2"/>
        <v>(FAMB11B)</v>
      </c>
    </row>
    <row r="81">
      <c r="A81" s="6" t="str">
        <f t="shared" si="1"/>
        <v>Fundos de Renda variável | FIIs | ATHENA I</v>
      </c>
      <c r="B81" s="22" t="s">
        <v>3773</v>
      </c>
      <c r="C81" s="22" t="s">
        <v>3447</v>
      </c>
      <c r="D81" s="22" t="s">
        <v>3593</v>
      </c>
      <c r="E81" s="22" t="s">
        <v>3774</v>
      </c>
      <c r="F81"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v>
      </c>
      <c r="G81" s="44" t="s">
        <v>3775</v>
      </c>
      <c r="H81" s="44" t="s">
        <v>3776</v>
      </c>
      <c r="I81" s="6" t="str">
        <f t="shared" si="2"/>
        <v>(FATN11)</v>
      </c>
    </row>
    <row r="82">
      <c r="A82" s="6" t="str">
        <f t="shared" si="1"/>
        <v>Fundos de Renda variável | FIIs | Edifício Castelo</v>
      </c>
      <c r="B82" s="22" t="s">
        <v>3777</v>
      </c>
      <c r="C82" s="22" t="s">
        <v>3436</v>
      </c>
      <c r="D82" s="22" t="s">
        <v>3442</v>
      </c>
      <c r="E82" s="22" t="s">
        <v>3778</v>
      </c>
      <c r="F82"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v>
      </c>
      <c r="G82" s="44" t="s">
        <v>3779</v>
      </c>
      <c r="H82" s="44" t="s">
        <v>3780</v>
      </c>
      <c r="I82" s="6" t="str">
        <f t="shared" si="2"/>
        <v>(FCAS11)</v>
      </c>
    </row>
    <row r="83">
      <c r="A83" s="6" t="str">
        <f t="shared" si="1"/>
        <v>Fundos de Renda variável | FIIs | Campus Faria Lima</v>
      </c>
      <c r="B83" s="22" t="s">
        <v>3781</v>
      </c>
      <c r="C83" s="22" t="s">
        <v>3765</v>
      </c>
      <c r="D83" s="22" t="s">
        <v>3442</v>
      </c>
      <c r="E83" s="22" t="s">
        <v>3782</v>
      </c>
      <c r="F83"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v>
      </c>
      <c r="G83" s="44" t="s">
        <v>3783</v>
      </c>
      <c r="H83" s="44" t="s">
        <v>3784</v>
      </c>
      <c r="I83" s="6" t="str">
        <f t="shared" si="2"/>
        <v>(FCFL11)</v>
      </c>
    </row>
    <row r="84">
      <c r="A84" s="6" t="str">
        <f t="shared" si="1"/>
        <v>Fundos de Renda variável | FIIs | BTG Pactual Fundo de CRI</v>
      </c>
      <c r="B84" s="22" t="s">
        <v>3785</v>
      </c>
      <c r="C84" s="22" t="s">
        <v>3424</v>
      </c>
      <c r="D84" s="22" t="s">
        <v>3442</v>
      </c>
      <c r="E84" s="22" t="s">
        <v>3786</v>
      </c>
      <c r="F84"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v>
      </c>
      <c r="G84" s="44" t="s">
        <v>3787</v>
      </c>
      <c r="H84" s="44" t="s">
        <v>3788</v>
      </c>
      <c r="I84" s="6" t="str">
        <f t="shared" si="2"/>
        <v>(FEXC11)</v>
      </c>
    </row>
    <row r="85">
      <c r="A85" s="6" t="str">
        <f t="shared" si="1"/>
        <v>Fundos de Renda variável | FIIs | General Shopping Ativo e Renda</v>
      </c>
      <c r="B85" s="22" t="s">
        <v>3789</v>
      </c>
      <c r="C85" s="22" t="s">
        <v>3418</v>
      </c>
      <c r="D85" s="22" t="s">
        <v>3484</v>
      </c>
      <c r="E85" s="22" t="s">
        <v>3790</v>
      </c>
      <c r="F85"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v>
      </c>
      <c r="G85" s="44" t="s">
        <v>3791</v>
      </c>
      <c r="H85" s="44" t="s">
        <v>3792</v>
      </c>
      <c r="I85" s="6" t="str">
        <f t="shared" si="2"/>
        <v>(FIGS11)</v>
      </c>
    </row>
    <row r="86">
      <c r="A86" s="6" t="str">
        <f t="shared" si="1"/>
        <v>Fundos de Renda variável | FIIs | Industrial do Brasil</v>
      </c>
      <c r="B86" s="22" t="s">
        <v>3793</v>
      </c>
      <c r="C86" s="22" t="s">
        <v>3463</v>
      </c>
      <c r="D86" s="22" t="s">
        <v>3752</v>
      </c>
      <c r="E86" s="22" t="s">
        <v>3794</v>
      </c>
      <c r="F86"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v>
      </c>
      <c r="G86" s="44" t="s">
        <v>3795</v>
      </c>
      <c r="H86" s="44" t="s">
        <v>3796</v>
      </c>
      <c r="I86" s="6" t="str">
        <f t="shared" si="2"/>
        <v>(FIIB11)</v>
      </c>
    </row>
    <row r="87">
      <c r="A87" s="6" t="str">
        <f t="shared" si="1"/>
        <v>Fundos de Renda variável | FIIs | RB Capital Renda I</v>
      </c>
      <c r="B87" s="22" t="s">
        <v>3797</v>
      </c>
      <c r="C87" s="22" t="s">
        <v>3447</v>
      </c>
      <c r="D87" s="22" t="s">
        <v>3473</v>
      </c>
      <c r="E87" s="22" t="s">
        <v>3798</v>
      </c>
      <c r="F87"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v>
      </c>
      <c r="G87" s="44" t="s">
        <v>3799</v>
      </c>
      <c r="H87" s="44" t="s">
        <v>3800</v>
      </c>
      <c r="I87" s="6" t="str">
        <f t="shared" si="2"/>
        <v>(FIIP11B)</v>
      </c>
    </row>
    <row r="88">
      <c r="A88" s="6" t="str">
        <f t="shared" si="1"/>
        <v>Fundos de Renda variável | FIIs | Infra Real Estate</v>
      </c>
      <c r="B88" s="22" t="s">
        <v>3801</v>
      </c>
      <c r="C88" s="22" t="s">
        <v>3463</v>
      </c>
      <c r="D88" s="22" t="s">
        <v>3637</v>
      </c>
      <c r="E88" s="22" t="s">
        <v>3802</v>
      </c>
      <c r="F88"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v>
      </c>
      <c r="G88" s="44" t="s">
        <v>3803</v>
      </c>
      <c r="H88" s="44" t="s">
        <v>3804</v>
      </c>
      <c r="I88" s="6" t="str">
        <f t="shared" si="2"/>
        <v>(FINF11)</v>
      </c>
    </row>
    <row r="89">
      <c r="A89" s="6" t="str">
        <f t="shared" si="1"/>
        <v>Fundos de Renda variável | FIIs | SC 401</v>
      </c>
      <c r="B89" s="22" t="s">
        <v>3805</v>
      </c>
      <c r="C89" s="22" t="s">
        <v>3436</v>
      </c>
      <c r="D89" s="22" t="s">
        <v>3806</v>
      </c>
      <c r="E89" s="22" t="s">
        <v>3807</v>
      </c>
      <c r="F89"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v>
      </c>
      <c r="G89" s="44" t="s">
        <v>3808</v>
      </c>
      <c r="H89" s="44" t="s">
        <v>3809</v>
      </c>
      <c r="I89" s="6" t="str">
        <f t="shared" si="2"/>
        <v>(FISC11)</v>
      </c>
    </row>
    <row r="90">
      <c r="A90" s="6" t="str">
        <f t="shared" si="1"/>
        <v>Fundos de Renda variável | FIIs | São Domingos</v>
      </c>
      <c r="B90" s="22" t="s">
        <v>3810</v>
      </c>
      <c r="C90" s="22" t="s">
        <v>3424</v>
      </c>
      <c r="D90" s="22" t="s">
        <v>3811</v>
      </c>
      <c r="E90" s="22" t="s">
        <v>3812</v>
      </c>
      <c r="F90"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v>
      </c>
      <c r="G90" s="44" t="s">
        <v>3813</v>
      </c>
      <c r="H90" s="44" t="s">
        <v>3814</v>
      </c>
      <c r="I90" s="6" t="str">
        <f t="shared" si="2"/>
        <v>(FISD11)</v>
      </c>
    </row>
    <row r="91">
      <c r="A91" s="6" t="str">
        <f t="shared" si="1"/>
        <v>Fundos de Renda variável | FIIs | Vida Nova</v>
      </c>
      <c r="B91" s="22" t="s">
        <v>3815</v>
      </c>
      <c r="C91" s="22" t="s">
        <v>3603</v>
      </c>
      <c r="D91" s="22" t="s">
        <v>3473</v>
      </c>
      <c r="E91" s="22" t="s">
        <v>3816</v>
      </c>
      <c r="F91"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v>
      </c>
      <c r="G91" s="44" t="s">
        <v>3817</v>
      </c>
      <c r="H91" s="44" t="s">
        <v>3818</v>
      </c>
      <c r="I91" s="6" t="str">
        <f t="shared" si="2"/>
        <v>(FIVN11)</v>
      </c>
    </row>
    <row r="92">
      <c r="A92" s="6" t="str">
        <f t="shared" si="1"/>
        <v>Fundos de Renda variável | FIIs | Faria Lima Capital Recebíveis Imobiliários I</v>
      </c>
      <c r="B92" s="22" t="s">
        <v>3819</v>
      </c>
      <c r="C92" s="22" t="s">
        <v>3424</v>
      </c>
      <c r="D92" s="22" t="s">
        <v>3431</v>
      </c>
      <c r="E92" s="22" t="s">
        <v>3820</v>
      </c>
      <c r="F92"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v>
      </c>
      <c r="G92" s="44" t="s">
        <v>3821</v>
      </c>
      <c r="H92" s="44" t="s">
        <v>3822</v>
      </c>
      <c r="I92" s="6" t="str">
        <f t="shared" si="2"/>
        <v>(FLCR11)</v>
      </c>
    </row>
    <row r="93">
      <c r="A93" s="6" t="str">
        <f t="shared" si="1"/>
        <v>Fundos de Renda variável | FIIs | Continental Square Faria Lima</v>
      </c>
      <c r="B93" s="22" t="s">
        <v>3823</v>
      </c>
      <c r="C93" s="22" t="s">
        <v>3436</v>
      </c>
      <c r="D93" s="22" t="s">
        <v>3593</v>
      </c>
      <c r="E93" s="22" t="s">
        <v>3824</v>
      </c>
      <c r="F93"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v>
      </c>
      <c r="G93" s="44" t="s">
        <v>3825</v>
      </c>
      <c r="H93" s="44" t="s">
        <v>3826</v>
      </c>
      <c r="I93" s="6" t="str">
        <f t="shared" si="2"/>
        <v>(FLMA11)</v>
      </c>
    </row>
    <row r="94">
      <c r="A94" s="6" t="str">
        <f t="shared" si="1"/>
        <v>Fundos de Renda variável | FIIs | Floripa Shopping</v>
      </c>
      <c r="B94" s="22" t="s">
        <v>3827</v>
      </c>
      <c r="C94" s="22" t="s">
        <v>3418</v>
      </c>
      <c r="D94" s="22" t="s">
        <v>3442</v>
      </c>
      <c r="E94" s="22" t="s">
        <v>3828</v>
      </c>
      <c r="F94"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v>
      </c>
      <c r="G94" s="44" t="s">
        <v>3829</v>
      </c>
      <c r="H94" s="44" t="s">
        <v>3830</v>
      </c>
      <c r="I94" s="6" t="str">
        <f t="shared" si="2"/>
        <v>(FLRP11)</v>
      </c>
    </row>
    <row r="95">
      <c r="A95" s="6" t="str">
        <f t="shared" si="1"/>
        <v>Fundos de Renda variável | FIIs | Memorial Office</v>
      </c>
      <c r="B95" s="22" t="s">
        <v>3831</v>
      </c>
      <c r="C95" s="22" t="s">
        <v>3436</v>
      </c>
      <c r="D95" s="22" t="s">
        <v>3752</v>
      </c>
      <c r="E95" s="22" t="s">
        <v>3832</v>
      </c>
      <c r="F95"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v>
      </c>
      <c r="G95" s="44" t="s">
        <v>3833</v>
      </c>
      <c r="H95" s="44" t="s">
        <v>3834</v>
      </c>
      <c r="I95" s="6" t="str">
        <f t="shared" si="2"/>
        <v>(FMOF11)</v>
      </c>
    </row>
    <row r="96">
      <c r="A96" s="6" t="str">
        <f t="shared" si="1"/>
        <v>Fundos de Renda variável | FIIs | Hedge TOP FOFII 2</v>
      </c>
      <c r="B96" s="22" t="s">
        <v>3835</v>
      </c>
      <c r="C96" s="22" t="s">
        <v>3430</v>
      </c>
      <c r="D96" s="22" t="s">
        <v>3484</v>
      </c>
      <c r="E96" s="22" t="s">
        <v>3836</v>
      </c>
      <c r="F96"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v>
      </c>
      <c r="G96" s="44" t="s">
        <v>3837</v>
      </c>
      <c r="H96" s="44" t="s">
        <v>3838</v>
      </c>
      <c r="I96" s="6" t="str">
        <f t="shared" si="2"/>
        <v>(FOFT11)</v>
      </c>
    </row>
    <row r="97">
      <c r="A97" s="6" t="str">
        <f t="shared" si="1"/>
        <v>Fundos de Renda variável | FIIs | Projeto Água Branca</v>
      </c>
      <c r="B97" s="22" t="s">
        <v>3839</v>
      </c>
      <c r="C97" s="22" t="s">
        <v>3436</v>
      </c>
      <c r="D97" s="22" t="s">
        <v>3752</v>
      </c>
      <c r="E97" s="22" t="s">
        <v>3840</v>
      </c>
      <c r="F97"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v>
      </c>
      <c r="G97" s="44" t="s">
        <v>3841</v>
      </c>
      <c r="H97" s="44" t="s">
        <v>3842</v>
      </c>
      <c r="I97" s="6" t="str">
        <f t="shared" si="2"/>
        <v>(FPAB11)</v>
      </c>
    </row>
    <row r="98">
      <c r="A98" s="6" t="str">
        <f t="shared" si="1"/>
        <v>Fundos de Renda variável | FIIs | Pedra Negra Renda Imobiliária</v>
      </c>
      <c r="B98" s="22" t="s">
        <v>3843</v>
      </c>
      <c r="C98" s="22" t="s">
        <v>3436</v>
      </c>
      <c r="D98" s="22" t="s">
        <v>3593</v>
      </c>
      <c r="E98" s="22" t="s">
        <v>3844</v>
      </c>
      <c r="F98"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v>
      </c>
      <c r="G98" s="44" t="s">
        <v>3845</v>
      </c>
      <c r="H98" s="44" t="s">
        <v>3846</v>
      </c>
      <c r="I98" s="6" t="str">
        <f t="shared" si="2"/>
        <v>(FPNG11)</v>
      </c>
    </row>
    <row r="99">
      <c r="A99" s="6" t="str">
        <f t="shared" si="1"/>
        <v>Fundos de Renda variável | FIIs | Opportunity</v>
      </c>
      <c r="B99" s="22" t="s">
        <v>3847</v>
      </c>
      <c r="C99" s="22" t="s">
        <v>3436</v>
      </c>
      <c r="D99" s="22" t="s">
        <v>3848</v>
      </c>
      <c r="E99" s="22" t="s">
        <v>3849</v>
      </c>
      <c r="F99"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v>
      </c>
      <c r="G99" s="44" t="s">
        <v>3850</v>
      </c>
      <c r="H99" s="44" t="s">
        <v>3851</v>
      </c>
      <c r="I99" s="6" t="str">
        <f t="shared" si="2"/>
        <v>(FTCE11B)</v>
      </c>
    </row>
    <row r="100">
      <c r="A100" s="6" t="str">
        <f t="shared" si="1"/>
        <v>Fundos de Renda variável | FIIs | TMJ FII</v>
      </c>
      <c r="B100" s="22" t="s">
        <v>3852</v>
      </c>
      <c r="C100" s="22" t="s">
        <v>3424</v>
      </c>
      <c r="D100" s="22" t="s">
        <v>3479</v>
      </c>
      <c r="E100" s="22" t="s">
        <v>3853</v>
      </c>
      <c r="F100"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v>
      </c>
      <c r="G100" s="44" t="s">
        <v>3854</v>
      </c>
      <c r="H100" s="44" t="s">
        <v>3855</v>
      </c>
      <c r="I100" s="6" t="str">
        <f t="shared" si="2"/>
        <v>(FTMJ11)</v>
      </c>
    </row>
    <row r="101">
      <c r="A101" s="6" t="str">
        <f t="shared" si="1"/>
        <v>Fundos de Renda variável | FIIs | Fundo VBI FL 4440</v>
      </c>
      <c r="B101" s="22" t="s">
        <v>3856</v>
      </c>
      <c r="C101" s="22" t="s">
        <v>3436</v>
      </c>
      <c r="D101" s="22" t="s">
        <v>3442</v>
      </c>
      <c r="E101" s="22" t="s">
        <v>3857</v>
      </c>
      <c r="F101"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v>
      </c>
      <c r="G101" s="44" t="s">
        <v>3858</v>
      </c>
      <c r="H101" s="44" t="s">
        <v>3859</v>
      </c>
      <c r="I101" s="6" t="str">
        <f t="shared" si="2"/>
        <v>(FVBI11)</v>
      </c>
    </row>
    <row r="102">
      <c r="A102" s="6" t="str">
        <f t="shared" si="1"/>
        <v>Fundos de Renda variável | FIIs | Via Parque</v>
      </c>
      <c r="B102" s="22" t="s">
        <v>3860</v>
      </c>
      <c r="C102" s="22" t="s">
        <v>3418</v>
      </c>
      <c r="D102" s="22" t="s">
        <v>3419</v>
      </c>
      <c r="E102" s="22" t="s">
        <v>3861</v>
      </c>
      <c r="F102"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v>
      </c>
      <c r="G102" s="44" t="s">
        <v>3862</v>
      </c>
      <c r="H102" s="44" t="s">
        <v>3863</v>
      </c>
      <c r="I102" s="6" t="str">
        <f t="shared" si="2"/>
        <v>(FVPQ11)</v>
      </c>
    </row>
    <row r="103">
      <c r="A103" s="6" t="str">
        <f t="shared" si="1"/>
        <v>Fundos de Renda variável | FIIs | Guardian Logística</v>
      </c>
      <c r="B103" s="22" t="s">
        <v>3864</v>
      </c>
      <c r="C103" s="22" t="s">
        <v>3463</v>
      </c>
      <c r="D103" s="22" t="s">
        <v>3431</v>
      </c>
      <c r="E103" s="22" t="s">
        <v>3865</v>
      </c>
      <c r="F103"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v>
      </c>
      <c r="G103" s="44" t="s">
        <v>3866</v>
      </c>
      <c r="H103" s="44" t="s">
        <v>3867</v>
      </c>
      <c r="I103" s="6" t="str">
        <f t="shared" si="2"/>
        <v>(GALG11)</v>
      </c>
    </row>
    <row r="104">
      <c r="A104" s="6" t="str">
        <f t="shared" si="1"/>
        <v>Fundos de Renda variável | FIIs | Galapagos Fundo de Fundos</v>
      </c>
      <c r="B104" s="22" t="s">
        <v>3868</v>
      </c>
      <c r="C104" s="22" t="s">
        <v>3430</v>
      </c>
      <c r="D104" s="22" t="s">
        <v>3442</v>
      </c>
      <c r="E104" s="22" t="s">
        <v>3869</v>
      </c>
      <c r="F104"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v>
      </c>
      <c r="G104" s="44" t="s">
        <v>3870</v>
      </c>
      <c r="H104" s="44" t="s">
        <v>3871</v>
      </c>
      <c r="I104" s="6" t="str">
        <f t="shared" si="2"/>
        <v>(GCFF11)</v>
      </c>
    </row>
    <row r="105">
      <c r="A105" s="6" t="str">
        <f t="shared" si="1"/>
        <v>Fundos de Renda variável | FIIs | General Severiano</v>
      </c>
      <c r="B105" s="22" t="s">
        <v>3872</v>
      </c>
      <c r="C105" s="22" t="s">
        <v>566</v>
      </c>
      <c r="D105" s="22" t="s">
        <v>3473</v>
      </c>
      <c r="E105" s="22" t="s">
        <v>3873</v>
      </c>
      <c r="F105"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v>
      </c>
      <c r="G105" s="44" t="s">
        <v>3874</v>
      </c>
      <c r="H105" s="44" t="s">
        <v>3875</v>
      </c>
      <c r="I105" s="6" t="str">
        <f t="shared" si="2"/>
        <v>(GESE11B)</v>
      </c>
    </row>
    <row r="106">
      <c r="A106" s="6" t="str">
        <f t="shared" si="1"/>
        <v>Fundos de Renda variável | FIIs | GGR COVEPI</v>
      </c>
      <c r="B106" s="22" t="s">
        <v>3876</v>
      </c>
      <c r="C106" s="22" t="s">
        <v>3463</v>
      </c>
      <c r="D106" s="22" t="s">
        <v>3425</v>
      </c>
      <c r="E106" s="22" t="s">
        <v>3877</v>
      </c>
      <c r="F106"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v>
      </c>
      <c r="G106" s="44" t="s">
        <v>3878</v>
      </c>
      <c r="H106" s="44" t="s">
        <v>3879</v>
      </c>
      <c r="I106" s="6" t="str">
        <f t="shared" si="2"/>
        <v>(GGRC11)</v>
      </c>
    </row>
    <row r="107">
      <c r="A107" s="6" t="str">
        <f t="shared" si="1"/>
        <v>Fundos de Renda variável | FIIs | GR Louveira</v>
      </c>
      <c r="B107" s="22" t="s">
        <v>3880</v>
      </c>
      <c r="C107" s="22" t="s">
        <v>3463</v>
      </c>
      <c r="D107" s="22" t="s">
        <v>3484</v>
      </c>
      <c r="E107" s="22" t="s">
        <v>3881</v>
      </c>
      <c r="F107"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v>
      </c>
      <c r="G107" s="44" t="s">
        <v>3882</v>
      </c>
      <c r="H107" s="44" t="s">
        <v>3883</v>
      </c>
      <c r="I107" s="6" t="str">
        <f t="shared" si="2"/>
        <v>(GRLV11)</v>
      </c>
    </row>
    <row r="108">
      <c r="A108" s="6" t="str">
        <f t="shared" si="1"/>
        <v>Fundos de Renda variável | FIIs | General Shopping e Outlets</v>
      </c>
      <c r="B108" s="22" t="s">
        <v>3884</v>
      </c>
      <c r="C108" s="22" t="s">
        <v>3418</v>
      </c>
      <c r="D108" s="22" t="s">
        <v>3637</v>
      </c>
      <c r="E108" s="22" t="s">
        <v>3885</v>
      </c>
      <c r="F108"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v>
      </c>
      <c r="G108" s="44" t="s">
        <v>3886</v>
      </c>
      <c r="H108" s="44" t="s">
        <v>3887</v>
      </c>
      <c r="I108" s="6" t="str">
        <f t="shared" si="2"/>
        <v>(GSFI11)</v>
      </c>
    </row>
    <row r="109">
      <c r="A109" s="6" t="str">
        <f t="shared" si="1"/>
        <v>Fundos de Renda variável | FIIs | Green Towers</v>
      </c>
      <c r="B109" s="22" t="s">
        <v>3888</v>
      </c>
      <c r="C109" s="22" t="s">
        <v>3436</v>
      </c>
      <c r="D109" s="22" t="s">
        <v>3503</v>
      </c>
      <c r="E109" s="22" t="s">
        <v>3889</v>
      </c>
      <c r="F109"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v>
      </c>
      <c r="G109" s="44" t="s">
        <v>3890</v>
      </c>
      <c r="H109" s="44" t="s">
        <v>3891</v>
      </c>
      <c r="I109" s="6" t="str">
        <f t="shared" si="2"/>
        <v>(GTWR11)</v>
      </c>
    </row>
    <row r="110">
      <c r="A110" s="6" t="str">
        <f t="shared" si="1"/>
        <v>Fundos de Renda variável | FIIs | GWI Condomínios Logísticos</v>
      </c>
      <c r="B110" s="22" t="s">
        <v>3892</v>
      </c>
      <c r="C110" s="22" t="s">
        <v>3463</v>
      </c>
      <c r="D110" s="22" t="s">
        <v>3442</v>
      </c>
      <c r="E110" s="22" t="s">
        <v>3893</v>
      </c>
      <c r="F110"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v>
      </c>
      <c r="G110" s="44" t="s">
        <v>3894</v>
      </c>
      <c r="H110" s="44" t="s">
        <v>3895</v>
      </c>
      <c r="I110" s="6" t="str">
        <f t="shared" si="2"/>
        <v>(GWIC11)</v>
      </c>
    </row>
    <row r="111">
      <c r="A111" s="6" t="str">
        <f t="shared" si="1"/>
        <v>Fundos de Renda variável | FIIs | Hedge AAA</v>
      </c>
      <c r="B111" s="22" t="s">
        <v>3896</v>
      </c>
      <c r="C111" s="22" t="s">
        <v>3436</v>
      </c>
      <c r="D111" s="22" t="s">
        <v>3484</v>
      </c>
      <c r="E111" s="22" t="s">
        <v>3897</v>
      </c>
      <c r="F111"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v>
      </c>
      <c r="G111" s="44" t="s">
        <v>3898</v>
      </c>
      <c r="H111" s="44" t="s">
        <v>3899</v>
      </c>
      <c r="I111" s="6" t="str">
        <f t="shared" si="2"/>
        <v>(HAAA11)</v>
      </c>
    </row>
    <row r="112">
      <c r="A112" s="6" t="str">
        <f t="shared" si="1"/>
        <v>Fundos de Renda variável | FIIs | Habitat Recebíveis Pulverizados</v>
      </c>
      <c r="B112" s="22" t="s">
        <v>3900</v>
      </c>
      <c r="C112" s="22" t="s">
        <v>3424</v>
      </c>
      <c r="D112" s="22" t="s">
        <v>3464</v>
      </c>
      <c r="E112" s="22" t="s">
        <v>3901</v>
      </c>
      <c r="F112"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v>
      </c>
      <c r="G112" s="44" t="s">
        <v>3902</v>
      </c>
      <c r="H112" s="44" t="s">
        <v>3903</v>
      </c>
      <c r="I112" s="6" t="str">
        <f t="shared" si="2"/>
        <v>(HABT11)</v>
      </c>
    </row>
    <row r="113">
      <c r="A113" s="6" t="str">
        <f t="shared" si="1"/>
        <v>Fundos de Renda variável | FIIs | Multi Renda Urbana</v>
      </c>
      <c r="B113" s="22" t="s">
        <v>3904</v>
      </c>
      <c r="C113" s="22" t="s">
        <v>3436</v>
      </c>
      <c r="D113" s="22" t="s">
        <v>3431</v>
      </c>
      <c r="E113" s="22" t="s">
        <v>3905</v>
      </c>
      <c r="F113"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v>
      </c>
      <c r="G113" s="44" t="s">
        <v>3906</v>
      </c>
      <c r="H113" s="44" t="s">
        <v>3907</v>
      </c>
      <c r="I113" s="6" t="str">
        <f t="shared" si="2"/>
        <v>(HBRH11)</v>
      </c>
    </row>
    <row r="114">
      <c r="A114" s="6" t="str">
        <f t="shared" si="1"/>
        <v>Fundos de Renda variável | FIIs | Habitat I</v>
      </c>
      <c r="B114" s="22" t="s">
        <v>3908</v>
      </c>
      <c r="C114" s="22" t="s">
        <v>3424</v>
      </c>
      <c r="D114" s="22" t="s">
        <v>3464</v>
      </c>
      <c r="E114" s="22" t="s">
        <v>3909</v>
      </c>
      <c r="F114"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v>
      </c>
      <c r="G114" s="44" t="s">
        <v>3910</v>
      </c>
      <c r="H114" s="44" t="s">
        <v>3911</v>
      </c>
      <c r="I114" s="6" t="str">
        <f t="shared" si="2"/>
        <v>(HBTT11)</v>
      </c>
    </row>
    <row r="115">
      <c r="A115" s="6" t="str">
        <f t="shared" si="1"/>
        <v>Fundos de Renda variável | FIIs | Hospital da Criança</v>
      </c>
      <c r="B115" s="22" t="s">
        <v>3912</v>
      </c>
      <c r="C115" s="22" t="s">
        <v>3913</v>
      </c>
      <c r="D115" s="22" t="s">
        <v>3442</v>
      </c>
      <c r="E115" s="22" t="s">
        <v>3914</v>
      </c>
      <c r="F115"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v>
      </c>
      <c r="G115" s="44" t="s">
        <v>3915</v>
      </c>
      <c r="H115" s="44" t="s">
        <v>3916</v>
      </c>
      <c r="I115" s="6" t="str">
        <f t="shared" si="2"/>
        <v>(HCRI11)</v>
      </c>
    </row>
    <row r="116">
      <c r="A116" s="6" t="str">
        <f t="shared" si="1"/>
        <v>Fundos de Renda variável | FIIs | Hectare Desenvolvimento Student Housing</v>
      </c>
      <c r="B116" s="45" t="s">
        <v>3917</v>
      </c>
      <c r="C116" s="22" t="s">
        <v>3603</v>
      </c>
      <c r="D116" s="22" t="s">
        <v>3464</v>
      </c>
      <c r="E116" s="22" t="s">
        <v>3918</v>
      </c>
      <c r="F116"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v>
      </c>
      <c r="G116" s="44" t="s">
        <v>3919</v>
      </c>
      <c r="H116" s="44" t="s">
        <v>3920</v>
      </c>
      <c r="I116" s="6" t="str">
        <f t="shared" si="2"/>
        <v>(HCST11)</v>
      </c>
    </row>
    <row r="117">
      <c r="A117" s="6" t="str">
        <f t="shared" si="1"/>
        <v>Fundos de Renda variável | FIIs | HECTARE CE</v>
      </c>
      <c r="B117" s="22" t="s">
        <v>3921</v>
      </c>
      <c r="C117" s="22" t="s">
        <v>3424</v>
      </c>
      <c r="D117" s="22" t="s">
        <v>3464</v>
      </c>
      <c r="E117" s="22" t="s">
        <v>3922</v>
      </c>
      <c r="F117"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v>
      </c>
      <c r="G117" s="44" t="s">
        <v>3923</v>
      </c>
      <c r="H117" s="44" t="s">
        <v>3924</v>
      </c>
      <c r="I117" s="6" t="str">
        <f t="shared" si="2"/>
        <v>(HCTR11)</v>
      </c>
    </row>
    <row r="118">
      <c r="A118" s="6" t="str">
        <f t="shared" si="1"/>
        <v>Fundos de Renda variável | FIIs | Hedge Design Offices</v>
      </c>
      <c r="B118" s="22" t="s">
        <v>3925</v>
      </c>
      <c r="C118" s="22" t="s">
        <v>3436</v>
      </c>
      <c r="D118" s="22" t="s">
        <v>3484</v>
      </c>
      <c r="E118" s="22" t="s">
        <v>3926</v>
      </c>
      <c r="F118"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v>
      </c>
      <c r="G118" s="44" t="s">
        <v>3927</v>
      </c>
      <c r="H118" s="44" t="s">
        <v>3928</v>
      </c>
      <c r="I118" s="6" t="str">
        <f t="shared" si="2"/>
        <v>(HDOF11)</v>
      </c>
    </row>
    <row r="119">
      <c r="A119" s="6" t="str">
        <f t="shared" si="1"/>
        <v>Fundos de Renda variável | FIIs | Hedge TOP FOFII 3</v>
      </c>
      <c r="B119" s="22" t="s">
        <v>3929</v>
      </c>
      <c r="C119" s="22" t="s">
        <v>3430</v>
      </c>
      <c r="D119" s="22" t="s">
        <v>3484</v>
      </c>
      <c r="E119" s="22" t="s">
        <v>3930</v>
      </c>
      <c r="F119"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v>
      </c>
      <c r="G119" s="44" t="s">
        <v>3931</v>
      </c>
      <c r="H119" s="44" t="s">
        <v>3932</v>
      </c>
      <c r="I119" s="6" t="str">
        <f t="shared" si="2"/>
        <v>(HFOF11)</v>
      </c>
    </row>
    <row r="120">
      <c r="A120" s="6" t="str">
        <f t="shared" si="1"/>
        <v>Fundos de Renda variável | FIIs | Hedge Brasil Shopping</v>
      </c>
      <c r="B120" s="22" t="s">
        <v>3933</v>
      </c>
      <c r="C120" s="22" t="s">
        <v>3418</v>
      </c>
      <c r="D120" s="22" t="s">
        <v>3484</v>
      </c>
      <c r="E120" s="22" t="s">
        <v>3934</v>
      </c>
      <c r="F120"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v>
      </c>
      <c r="G120" s="44" t="s">
        <v>3935</v>
      </c>
      <c r="H120" s="44" t="s">
        <v>3936</v>
      </c>
      <c r="I120" s="6" t="str">
        <f t="shared" si="2"/>
        <v>(HGBS11)</v>
      </c>
    </row>
    <row r="121">
      <c r="A121" s="6" t="str">
        <f t="shared" si="1"/>
        <v>Fundos de Renda variável | FIIs | CSHG Recebíveis Imobiliários</v>
      </c>
      <c r="B121" s="22" t="s">
        <v>3937</v>
      </c>
      <c r="C121" s="22" t="s">
        <v>3424</v>
      </c>
      <c r="D121" s="22" t="s">
        <v>3642</v>
      </c>
      <c r="E121" s="22" t="s">
        <v>3938</v>
      </c>
      <c r="F121"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v>
      </c>
      <c r="G121" s="44" t="s">
        <v>3939</v>
      </c>
      <c r="H121" s="44" t="s">
        <v>3940</v>
      </c>
      <c r="I121" s="6" t="str">
        <f t="shared" si="2"/>
        <v>(HGCR11)</v>
      </c>
    </row>
    <row r="122">
      <c r="A122" s="6" t="str">
        <f t="shared" si="1"/>
        <v>Fundos de Renda variável | FIIs | CSHG Imobiliário FOF</v>
      </c>
      <c r="B122" s="22" t="s">
        <v>3941</v>
      </c>
      <c r="C122" s="22" t="s">
        <v>3430</v>
      </c>
      <c r="D122" s="22" t="s">
        <v>3642</v>
      </c>
      <c r="E122" s="22" t="s">
        <v>3942</v>
      </c>
      <c r="F122"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v>
      </c>
      <c r="G122" s="44" t="s">
        <v>3943</v>
      </c>
      <c r="H122" s="44" t="s">
        <v>3944</v>
      </c>
      <c r="I122" s="6" t="str">
        <f t="shared" si="2"/>
        <v>(HGFF11)</v>
      </c>
    </row>
    <row r="123">
      <c r="A123" s="6" t="str">
        <f t="shared" si="1"/>
        <v>Fundos de Renda variável | FIIs | CSHG Logística</v>
      </c>
      <c r="B123" s="22" t="s">
        <v>3945</v>
      </c>
      <c r="C123" s="22" t="s">
        <v>3463</v>
      </c>
      <c r="D123" s="22" t="s">
        <v>3642</v>
      </c>
      <c r="E123" s="22" t="s">
        <v>3946</v>
      </c>
      <c r="F123"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v>
      </c>
      <c r="G123" s="44" t="s">
        <v>3947</v>
      </c>
      <c r="H123" s="44" t="s">
        <v>3948</v>
      </c>
      <c r="I123" s="6" t="str">
        <f t="shared" si="2"/>
        <v>(HGLG11)</v>
      </c>
    </row>
    <row r="124">
      <c r="A124" s="6" t="str">
        <f t="shared" si="1"/>
        <v>Fundos de Renda variável | FIIs | CSHG Prime Offices</v>
      </c>
      <c r="B124" s="22" t="s">
        <v>3949</v>
      </c>
      <c r="C124" s="22" t="s">
        <v>3436</v>
      </c>
      <c r="D124" s="22" t="s">
        <v>3642</v>
      </c>
      <c r="E124" s="22" t="s">
        <v>3950</v>
      </c>
      <c r="F124"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v>
      </c>
      <c r="G124" s="44" t="s">
        <v>3951</v>
      </c>
      <c r="H124" s="44" t="s">
        <v>3952</v>
      </c>
      <c r="I124" s="6" t="str">
        <f t="shared" si="2"/>
        <v>(HGPO11)</v>
      </c>
    </row>
    <row r="125">
      <c r="A125" s="6" t="str">
        <f t="shared" si="1"/>
        <v>Fundos de Renda variável | FIIs | CSHG Real Estate</v>
      </c>
      <c r="B125" s="22" t="s">
        <v>3953</v>
      </c>
      <c r="C125" s="22" t="s">
        <v>3436</v>
      </c>
      <c r="D125" s="22" t="s">
        <v>3642</v>
      </c>
      <c r="E125" s="22" t="s">
        <v>3954</v>
      </c>
      <c r="F125"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v>
      </c>
      <c r="G125" s="44" t="s">
        <v>3955</v>
      </c>
      <c r="H125" s="44" t="s">
        <v>3956</v>
      </c>
      <c r="I125" s="6" t="str">
        <f t="shared" si="2"/>
        <v>(HGRE11)</v>
      </c>
    </row>
    <row r="126">
      <c r="A126" s="6" t="str">
        <f t="shared" si="1"/>
        <v>Fundos de Renda variável | FIIs | CSHG Renda Urbana</v>
      </c>
      <c r="B126" s="22" t="s">
        <v>3957</v>
      </c>
      <c r="C126" s="22" t="s">
        <v>3447</v>
      </c>
      <c r="D126" s="22" t="s">
        <v>3642</v>
      </c>
      <c r="E126" s="22" t="s">
        <v>3958</v>
      </c>
      <c r="F126"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v>
      </c>
      <c r="G126" s="44" t="s">
        <v>3959</v>
      </c>
      <c r="H126" s="44" t="s">
        <v>3960</v>
      </c>
      <c r="I126" s="6" t="str">
        <f t="shared" si="2"/>
        <v>(HGRU11)</v>
      </c>
    </row>
    <row r="127">
      <c r="A127" s="6" t="str">
        <f t="shared" si="1"/>
        <v>Fundos de Renda variável | FIIs | Hedge Logística</v>
      </c>
      <c r="B127" s="22" t="s">
        <v>3961</v>
      </c>
      <c r="C127" s="22" t="s">
        <v>3463</v>
      </c>
      <c r="D127" s="22" t="s">
        <v>3484</v>
      </c>
      <c r="E127" s="22" t="s">
        <v>3962</v>
      </c>
      <c r="F127"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v>
      </c>
      <c r="G127" s="44" t="s">
        <v>3963</v>
      </c>
      <c r="H127" s="44" t="s">
        <v>3964</v>
      </c>
      <c r="I127" s="6" t="str">
        <f t="shared" si="2"/>
        <v>(HLOG11)</v>
      </c>
    </row>
    <row r="128">
      <c r="A128" s="6" t="str">
        <f t="shared" si="1"/>
        <v>Fundos de Renda variável | FIIs | Hedge Shopping Praça da Moça</v>
      </c>
      <c r="B128" s="45" t="s">
        <v>3965</v>
      </c>
      <c r="C128" s="22" t="s">
        <v>3418</v>
      </c>
      <c r="D128" s="22" t="s">
        <v>3484</v>
      </c>
      <c r="E128" s="22" t="s">
        <v>3966</v>
      </c>
      <c r="F128"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v>
      </c>
      <c r="G128" s="44" t="s">
        <v>3967</v>
      </c>
      <c r="H128" s="44" t="s">
        <v>3968</v>
      </c>
      <c r="I128" s="6" t="str">
        <f t="shared" si="2"/>
        <v>(HMOC11)</v>
      </c>
    </row>
    <row r="129">
      <c r="A129" s="6" t="str">
        <f t="shared" si="1"/>
        <v>Fundos de Renda variável | FIIs | Housi</v>
      </c>
      <c r="B129" s="22" t="s">
        <v>3969</v>
      </c>
      <c r="C129" s="22" t="s">
        <v>3603</v>
      </c>
      <c r="D129" s="22" t="s">
        <v>3464</v>
      </c>
      <c r="E129" s="22" t="s">
        <v>3970</v>
      </c>
      <c r="F129"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v>
      </c>
      <c r="G129" s="44" t="s">
        <v>3971</v>
      </c>
      <c r="H129" s="44" t="s">
        <v>3972</v>
      </c>
      <c r="I129" s="6" t="str">
        <f t="shared" si="2"/>
        <v>(HOSI11)</v>
      </c>
    </row>
    <row r="130">
      <c r="A130" s="6" t="str">
        <f t="shared" si="1"/>
        <v>Fundos de Renda variável | FIIs | Hedge Shopping Parque Dom Pedro</v>
      </c>
      <c r="B130" s="22" t="s">
        <v>3973</v>
      </c>
      <c r="C130" s="22" t="s">
        <v>3418</v>
      </c>
      <c r="D130" s="22" t="s">
        <v>3484</v>
      </c>
      <c r="E130" s="22" t="s">
        <v>3974</v>
      </c>
      <c r="F130"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v>
      </c>
      <c r="G130" s="44" t="s">
        <v>3975</v>
      </c>
      <c r="H130" s="44" t="s">
        <v>3976</v>
      </c>
      <c r="I130" s="6" t="str">
        <f t="shared" si="2"/>
        <v>(HPDP11)</v>
      </c>
    </row>
    <row r="131">
      <c r="A131" s="6" t="str">
        <f t="shared" si="1"/>
        <v>Fundos de Renda variável | FIIs | Hedge Realty Development</v>
      </c>
      <c r="B131" s="22" t="s">
        <v>3977</v>
      </c>
      <c r="C131" s="22" t="s">
        <v>3457</v>
      </c>
      <c r="D131" s="22" t="s">
        <v>3484</v>
      </c>
      <c r="E131" s="22" t="s">
        <v>3978</v>
      </c>
      <c r="F131"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v>
      </c>
      <c r="G131" s="44" t="s">
        <v>3979</v>
      </c>
      <c r="H131" s="44" t="s">
        <v>3980</v>
      </c>
      <c r="I131" s="6" t="str">
        <f t="shared" si="2"/>
        <v>(HRDF11)</v>
      </c>
    </row>
    <row r="132">
      <c r="A132" s="6" t="str">
        <f t="shared" si="1"/>
        <v>Fundos de Renda variável | FIIs | Hedge Recebíveis Imobiliários</v>
      </c>
      <c r="B132" s="22" t="s">
        <v>3981</v>
      </c>
      <c r="C132" s="22" t="s">
        <v>3424</v>
      </c>
      <c r="D132" s="22" t="s">
        <v>3484</v>
      </c>
      <c r="E132" s="22" t="s">
        <v>3982</v>
      </c>
      <c r="F132"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v>
      </c>
      <c r="G132" s="44" t="s">
        <v>3983</v>
      </c>
      <c r="H132" s="44" t="s">
        <v>3984</v>
      </c>
      <c r="I132" s="6" t="str">
        <f t="shared" si="2"/>
        <v>(HREC11)</v>
      </c>
    </row>
    <row r="133">
      <c r="A133" s="6" t="str">
        <f t="shared" si="1"/>
        <v>Fundos de Renda variável | FIIs | HSI Ativos Financeiros</v>
      </c>
      <c r="B133" s="22" t="s">
        <v>3985</v>
      </c>
      <c r="C133" s="22" t="s">
        <v>3424</v>
      </c>
      <c r="D133" s="22" t="s">
        <v>3431</v>
      </c>
      <c r="E133" s="22" t="s">
        <v>3986</v>
      </c>
      <c r="F133"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v>
      </c>
      <c r="G133" s="44" t="s">
        <v>3987</v>
      </c>
      <c r="H133" s="44" t="s">
        <v>3988</v>
      </c>
      <c r="I133" s="6" t="str">
        <f t="shared" si="2"/>
        <v>(HSAF11)</v>
      </c>
    </row>
    <row r="134">
      <c r="A134" s="6" t="str">
        <f t="shared" si="1"/>
        <v>Fundos de Renda variável | FIIs | HSI Logística</v>
      </c>
      <c r="B134" s="22" t="s">
        <v>3989</v>
      </c>
      <c r="C134" s="22" t="s">
        <v>3463</v>
      </c>
      <c r="D134" s="22" t="s">
        <v>3431</v>
      </c>
      <c r="E134" s="22" t="s">
        <v>3990</v>
      </c>
      <c r="F134"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v>
      </c>
      <c r="G134" s="44" t="s">
        <v>3991</v>
      </c>
      <c r="H134" s="44" t="s">
        <v>3992</v>
      </c>
      <c r="I134" s="6" t="str">
        <f t="shared" si="2"/>
        <v>(HSLG11)</v>
      </c>
    </row>
    <row r="135">
      <c r="A135" s="6" t="str">
        <f t="shared" si="1"/>
        <v>Fundos de Renda variável | FIIs | HSI Malls</v>
      </c>
      <c r="B135" s="22" t="s">
        <v>3993</v>
      </c>
      <c r="C135" s="22" t="s">
        <v>3418</v>
      </c>
      <c r="D135" s="22" t="s">
        <v>3994</v>
      </c>
      <c r="E135" s="22" t="s">
        <v>3995</v>
      </c>
      <c r="F135"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v>
      </c>
      <c r="G135" s="44" t="s">
        <v>3996</v>
      </c>
      <c r="H135" s="44" t="s">
        <v>3997</v>
      </c>
      <c r="I135" s="6" t="str">
        <f t="shared" si="2"/>
        <v>(HSML11)</v>
      </c>
    </row>
    <row r="136">
      <c r="A136" s="6" t="str">
        <f t="shared" si="1"/>
        <v>Fundos de Renda variável | FIIs | HSI Renda Imobiliária</v>
      </c>
      <c r="B136" s="22" t="s">
        <v>3998</v>
      </c>
      <c r="C136" s="22" t="s">
        <v>3447</v>
      </c>
      <c r="D136" s="22" t="s">
        <v>3994</v>
      </c>
      <c r="E136" s="22" t="s">
        <v>3999</v>
      </c>
      <c r="F136"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v>
      </c>
      <c r="G136" s="44" t="s">
        <v>4000</v>
      </c>
      <c r="H136" s="44" t="s">
        <v>4001</v>
      </c>
      <c r="I136" s="6" t="str">
        <f t="shared" si="2"/>
        <v>(HSRE11)</v>
      </c>
    </row>
    <row r="137">
      <c r="A137" s="6" t="str">
        <f t="shared" si="1"/>
        <v>Fundos de Renda variável | FIIs | Hotel Maxinvest</v>
      </c>
      <c r="B137" s="22" t="s">
        <v>4002</v>
      </c>
      <c r="C137" s="22" t="s">
        <v>3478</v>
      </c>
      <c r="D137" s="22" t="s">
        <v>3442</v>
      </c>
      <c r="E137" s="22" t="s">
        <v>4003</v>
      </c>
      <c r="F137"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v>
      </c>
      <c r="G137" s="44" t="s">
        <v>4004</v>
      </c>
      <c r="H137" s="44" t="s">
        <v>4005</v>
      </c>
      <c r="I137" s="6" t="str">
        <f t="shared" si="2"/>
        <v>(HTMX11)</v>
      </c>
    </row>
    <row r="138">
      <c r="A138" s="6" t="str">
        <f t="shared" si="1"/>
        <v>Fundos de Renda variável | FIIs | Hospital Unimed Sul Capixaba</v>
      </c>
      <c r="B138" s="22" t="s">
        <v>4006</v>
      </c>
      <c r="C138" s="22" t="s">
        <v>3913</v>
      </c>
      <c r="D138" s="22" t="s">
        <v>3419</v>
      </c>
      <c r="E138" s="22" t="s">
        <v>4007</v>
      </c>
      <c r="F138"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v>
      </c>
      <c r="G138" s="44" t="s">
        <v>4008</v>
      </c>
      <c r="H138" s="44" t="s">
        <v>4009</v>
      </c>
      <c r="I138" s="6" t="str">
        <f t="shared" si="2"/>
        <v>(HUSC11)</v>
      </c>
    </row>
    <row r="139">
      <c r="A139" s="6" t="str">
        <f t="shared" si="1"/>
        <v>Fundos de Renda variável | FIIs | HUSI</v>
      </c>
      <c r="B139" s="22" t="s">
        <v>4010</v>
      </c>
      <c r="C139" s="22" t="s">
        <v>3913</v>
      </c>
      <c r="D139" s="22" t="s">
        <v>3637</v>
      </c>
      <c r="E139" s="22" t="s">
        <v>4011</v>
      </c>
      <c r="F139"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v>
      </c>
      <c r="G139" s="44" t="s">
        <v>4012</v>
      </c>
      <c r="H139" s="44" t="s">
        <v>4013</v>
      </c>
      <c r="I139" s="6" t="str">
        <f t="shared" si="2"/>
        <v>(HUSI11)</v>
      </c>
    </row>
    <row r="140">
      <c r="A140" s="6" t="str">
        <f t="shared" si="1"/>
        <v>Fundos de Renda variável | FIIs | FOF Integral Brei</v>
      </c>
      <c r="B140" s="22" t="s">
        <v>4014</v>
      </c>
      <c r="C140" s="22" t="s">
        <v>3430</v>
      </c>
      <c r="D140" s="22" t="s">
        <v>3442</v>
      </c>
      <c r="E140" s="22" t="s">
        <v>4015</v>
      </c>
      <c r="F140"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v>
      </c>
      <c r="G140" s="44" t="s">
        <v>4016</v>
      </c>
      <c r="H140" s="44" t="s">
        <v>4017</v>
      </c>
      <c r="I140" s="6" t="str">
        <f t="shared" si="2"/>
        <v>(IBFF11)</v>
      </c>
    </row>
    <row r="141">
      <c r="A141" s="6" t="str">
        <f t="shared" si="1"/>
        <v>Fundos de Renda variável | FIIs | IFI-D</v>
      </c>
      <c r="B141" s="22" t="s">
        <v>4018</v>
      </c>
      <c r="C141" s="22" t="s">
        <v>3430</v>
      </c>
      <c r="D141" s="22" t="s">
        <v>3624</v>
      </c>
      <c r="E141" s="22" t="s">
        <v>4019</v>
      </c>
      <c r="F141"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v>
      </c>
      <c r="G141" s="44" t="s">
        <v>4020</v>
      </c>
      <c r="H141" s="44" t="s">
        <v>4021</v>
      </c>
      <c r="I141" s="6" t="str">
        <f t="shared" si="2"/>
        <v>(IFID11)</v>
      </c>
    </row>
    <row r="142">
      <c r="A142" s="6" t="str">
        <f t="shared" si="1"/>
        <v>Fundos de Renda variável | FIIs | IFI-E</v>
      </c>
      <c r="B142" s="22" t="s">
        <v>4022</v>
      </c>
      <c r="C142" s="22" t="s">
        <v>3430</v>
      </c>
      <c r="D142" s="22" t="s">
        <v>3624</v>
      </c>
      <c r="E142" s="22" t="s">
        <v>4023</v>
      </c>
      <c r="F142"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v>
      </c>
      <c r="G142" s="44" t="s">
        <v>4024</v>
      </c>
      <c r="H142" s="44" t="s">
        <v>4025</v>
      </c>
      <c r="I142" s="6" t="str">
        <f t="shared" si="2"/>
        <v>(IFIE11)</v>
      </c>
    </row>
    <row r="143">
      <c r="A143" s="6" t="str">
        <f t="shared" si="1"/>
        <v>Fundos de Renda variável | FIIs | IFIX Índice de Fundos Imobiliários</v>
      </c>
      <c r="B143" s="22" t="s">
        <v>4026</v>
      </c>
      <c r="C143" s="22" t="s">
        <v>3551</v>
      </c>
      <c r="D143" s="22" t="s">
        <v>3551</v>
      </c>
      <c r="E143" s="22" t="s">
        <v>4027</v>
      </c>
      <c r="F143"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v>
      </c>
      <c r="G143" s="44" t="s">
        <v>4028</v>
      </c>
      <c r="H143" s="44" t="s">
        <v>4029</v>
      </c>
      <c r="I143" s="6" t="str">
        <f t="shared" si="2"/>
        <v>(IFIX)</v>
      </c>
    </row>
    <row r="144">
      <c r="A144" s="6" t="str">
        <f t="shared" si="1"/>
        <v>Fundos de Renda variável | FIIs | Iridium Recebíveis Imobiliários</v>
      </c>
      <c r="B144" s="45" t="s">
        <v>4030</v>
      </c>
      <c r="C144" s="22" t="s">
        <v>3424</v>
      </c>
      <c r="D144" s="22" t="s">
        <v>3442</v>
      </c>
      <c r="E144" s="22" t="s">
        <v>4031</v>
      </c>
      <c r="F144"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v>
      </c>
      <c r="G144" s="44" t="s">
        <v>4032</v>
      </c>
      <c r="H144" s="44" t="s">
        <v>4033</v>
      </c>
      <c r="I144" s="6" t="str">
        <f t="shared" si="2"/>
        <v>(IRDM11)</v>
      </c>
    </row>
    <row r="145">
      <c r="A145" s="6" t="str">
        <f t="shared" si="1"/>
        <v>Fundos de Renda variável | FIIs | JBFO FOF</v>
      </c>
      <c r="B145" s="45" t="s">
        <v>4034</v>
      </c>
      <c r="C145" s="22" t="s">
        <v>3430</v>
      </c>
      <c r="D145" s="22" t="s">
        <v>4035</v>
      </c>
      <c r="E145" s="22" t="s">
        <v>4036</v>
      </c>
      <c r="F145"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v>
      </c>
      <c r="G145" s="44" t="s">
        <v>4037</v>
      </c>
      <c r="H145" s="44" t="s">
        <v>4038</v>
      </c>
      <c r="I145" s="6" t="str">
        <f t="shared" si="2"/>
        <v>(JBFO11)</v>
      </c>
    </row>
    <row r="146">
      <c r="A146" s="6" t="str">
        <f t="shared" si="1"/>
        <v>Fundos de Renda variável | FIIs | JFL Living</v>
      </c>
      <c r="B146" s="45" t="s">
        <v>4039</v>
      </c>
      <c r="C146" s="22" t="s">
        <v>3603</v>
      </c>
      <c r="D146" s="22" t="s">
        <v>4040</v>
      </c>
      <c r="E146" s="22" t="s">
        <v>4041</v>
      </c>
      <c r="F146"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v>
      </c>
      <c r="G146" s="44" t="s">
        <v>4042</v>
      </c>
      <c r="H146" s="44" t="s">
        <v>4043</v>
      </c>
      <c r="I146" s="6" t="str">
        <f t="shared" si="2"/>
        <v>(JFLL11)</v>
      </c>
    </row>
    <row r="147">
      <c r="A147" s="6" t="str">
        <f t="shared" si="1"/>
        <v>Fundos de Renda variável | FIIs | JPP Allocaton Mogno</v>
      </c>
      <c r="B147" s="45" t="s">
        <v>4044</v>
      </c>
      <c r="C147" s="22" t="s">
        <v>3424</v>
      </c>
      <c r="D147" s="22" t="s">
        <v>3464</v>
      </c>
      <c r="E147" s="22" t="s">
        <v>4045</v>
      </c>
      <c r="F147"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v>
      </c>
      <c r="G147" s="44" t="s">
        <v>4046</v>
      </c>
      <c r="H147" s="44" t="s">
        <v>4047</v>
      </c>
      <c r="I147" s="6" t="str">
        <f t="shared" si="2"/>
        <v>(JPPA11)</v>
      </c>
    </row>
    <row r="148">
      <c r="A148" s="6" t="str">
        <f t="shared" si="1"/>
        <v>Fundos de Renda variável | FIIs | JPP Capital</v>
      </c>
      <c r="B148" s="22" t="s">
        <v>4048</v>
      </c>
      <c r="C148" s="22" t="s">
        <v>3457</v>
      </c>
      <c r="D148" s="22" t="s">
        <v>4049</v>
      </c>
      <c r="E148" s="22" t="s">
        <v>4050</v>
      </c>
      <c r="F148"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v>
      </c>
      <c r="G148" s="44" t="s">
        <v>4051</v>
      </c>
      <c r="H148" s="44" t="s">
        <v>4052</v>
      </c>
      <c r="I148" s="6" t="str">
        <f t="shared" si="2"/>
        <v>(JPPC11)</v>
      </c>
    </row>
    <row r="149">
      <c r="A149" s="6" t="str">
        <f t="shared" si="1"/>
        <v>Fundos de Renda variável | FIIs | Shopping Jardim Sul</v>
      </c>
      <c r="B149" s="22" t="s">
        <v>4053</v>
      </c>
      <c r="C149" s="22" t="s">
        <v>3418</v>
      </c>
      <c r="D149" s="22" t="s">
        <v>3442</v>
      </c>
      <c r="E149" s="22" t="s">
        <v>4054</v>
      </c>
      <c r="F149"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v>
      </c>
      <c r="G149" s="44" t="s">
        <v>4055</v>
      </c>
      <c r="H149" s="44" t="s">
        <v>4056</v>
      </c>
      <c r="I149" s="6" t="str">
        <f t="shared" si="2"/>
        <v>(JRDM11)</v>
      </c>
    </row>
    <row r="150">
      <c r="A150" s="6" t="str">
        <f t="shared" si="1"/>
        <v>Fundos de Renda variável | FIIs | JS Real Estate Renda Imobiliária</v>
      </c>
      <c r="B150" s="22" t="s">
        <v>4057</v>
      </c>
      <c r="C150" s="22" t="s">
        <v>3424</v>
      </c>
      <c r="D150" s="22" t="s">
        <v>3534</v>
      </c>
      <c r="E150" s="22" t="s">
        <v>4058</v>
      </c>
      <c r="F150"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v>
      </c>
      <c r="G150" s="44" t="s">
        <v>4059</v>
      </c>
      <c r="H150" s="44" t="s">
        <v>4060</v>
      </c>
      <c r="I150" s="6" t="str">
        <f t="shared" si="2"/>
        <v>(JSIM11)</v>
      </c>
    </row>
    <row r="151">
      <c r="A151" s="6" t="str">
        <f t="shared" si="1"/>
        <v>Fundos de Renda variável | FIIs | JS Real Estate Multigestão</v>
      </c>
      <c r="B151" s="22" t="s">
        <v>4061</v>
      </c>
      <c r="C151" s="22" t="s">
        <v>3436</v>
      </c>
      <c r="D151" s="22" t="s">
        <v>3534</v>
      </c>
      <c r="E151" s="22" t="s">
        <v>4062</v>
      </c>
      <c r="F151"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v>
      </c>
      <c r="G151" s="44" t="s">
        <v>4063</v>
      </c>
      <c r="H151" s="44" t="s">
        <v>4064</v>
      </c>
      <c r="I151" s="6" t="str">
        <f t="shared" si="2"/>
        <v>(JSRE11)</v>
      </c>
    </row>
    <row r="152">
      <c r="A152" s="6" t="str">
        <f t="shared" si="1"/>
        <v>Fundos de Renda variável | FIIs | JT PREV Desenvolvimento Habitacional</v>
      </c>
      <c r="B152" s="45" t="s">
        <v>4065</v>
      </c>
      <c r="C152" s="22" t="s">
        <v>3603</v>
      </c>
      <c r="D152" s="22" t="s">
        <v>3637</v>
      </c>
      <c r="E152" s="22" t="s">
        <v>4066</v>
      </c>
      <c r="F152"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v>
      </c>
      <c r="G152" s="44" t="s">
        <v>4067</v>
      </c>
      <c r="H152" s="44" t="s">
        <v>4068</v>
      </c>
      <c r="I152" s="6" t="str">
        <f t="shared" si="2"/>
        <v>(JTPR11)</v>
      </c>
    </row>
    <row r="153">
      <c r="A153" s="6" t="str">
        <f t="shared" si="1"/>
        <v>Fundos de Renda variável | FIIs | Even II</v>
      </c>
      <c r="B153" s="22" t="s">
        <v>4069</v>
      </c>
      <c r="C153" s="22" t="s">
        <v>3603</v>
      </c>
      <c r="D153" s="22" t="s">
        <v>4070</v>
      </c>
      <c r="E153" s="22" t="s">
        <v>4071</v>
      </c>
      <c r="F153"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v>
      </c>
      <c r="G153" s="44" t="s">
        <v>4072</v>
      </c>
      <c r="H153" s="44" t="s">
        <v>4073</v>
      </c>
      <c r="I153" s="6" t="str">
        <f t="shared" si="2"/>
        <v>(KEVE11)</v>
      </c>
    </row>
    <row r="154">
      <c r="A154" s="6" t="str">
        <f t="shared" si="1"/>
        <v>Fundos de Renda variável | FIIs | Kinea Fundo de Fundos</v>
      </c>
      <c r="B154" s="22" t="s">
        <v>4074</v>
      </c>
      <c r="C154" s="22" t="s">
        <v>3430</v>
      </c>
      <c r="D154" s="22" t="s">
        <v>4070</v>
      </c>
      <c r="E154" s="22" t="s">
        <v>4075</v>
      </c>
      <c r="F154"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v>
      </c>
      <c r="G154" s="44" t="s">
        <v>4076</v>
      </c>
      <c r="H154" s="44" t="s">
        <v>4077</v>
      </c>
      <c r="I154" s="6" t="str">
        <f t="shared" si="2"/>
        <v>(KFOF11)</v>
      </c>
    </row>
    <row r="155">
      <c r="A155" s="6" t="str">
        <f t="shared" si="1"/>
        <v>Fundos de Renda variável | FIIs | Even Permuta Kinea</v>
      </c>
      <c r="B155" s="22" t="s">
        <v>4078</v>
      </c>
      <c r="C155" s="22" t="s">
        <v>3603</v>
      </c>
      <c r="D155" s="22" t="s">
        <v>4070</v>
      </c>
      <c r="E155" s="22" t="s">
        <v>4079</v>
      </c>
      <c r="F155"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v>
      </c>
      <c r="G155" s="44" t="s">
        <v>4080</v>
      </c>
      <c r="H155" s="44" t="s">
        <v>4081</v>
      </c>
      <c r="I155" s="6" t="str">
        <f t="shared" si="2"/>
        <v>(KINP11)</v>
      </c>
    </row>
    <row r="156">
      <c r="A156" s="6" t="str">
        <f t="shared" si="1"/>
        <v>Fundos de Renda variável | FIIs | Kilima FoF Suno 30</v>
      </c>
      <c r="B156" s="45" t="s">
        <v>4082</v>
      </c>
      <c r="C156" s="22" t="s">
        <v>3430</v>
      </c>
      <c r="D156" s="22" t="s">
        <v>3464</v>
      </c>
      <c r="E156" s="22" t="s">
        <v>4083</v>
      </c>
      <c r="F156"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v>
      </c>
      <c r="G156" s="44" t="s">
        <v>4084</v>
      </c>
      <c r="H156" s="44" t="s">
        <v>4085</v>
      </c>
      <c r="I156" s="6" t="str">
        <f t="shared" si="2"/>
        <v>(KISU11)</v>
      </c>
    </row>
    <row r="157">
      <c r="A157" s="6" t="str">
        <f t="shared" si="1"/>
        <v>Fundos de Renda variável | FIIs | Kinea Rendimentos Imobiliários FII</v>
      </c>
      <c r="B157" s="22" t="s">
        <v>4086</v>
      </c>
      <c r="C157" s="22" t="s">
        <v>3424</v>
      </c>
      <c r="D157" s="22" t="s">
        <v>4070</v>
      </c>
      <c r="E157" s="22" t="s">
        <v>4087</v>
      </c>
      <c r="F157"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v>
      </c>
      <c r="G157" s="44" t="s">
        <v>4088</v>
      </c>
      <c r="H157" s="44" t="s">
        <v>4089</v>
      </c>
      <c r="I157" s="6" t="str">
        <f t="shared" si="2"/>
        <v>(KNCR11)</v>
      </c>
    </row>
    <row r="158">
      <c r="A158" s="6" t="str">
        <f t="shared" si="1"/>
        <v>Fundos de Renda variável | FIIs | Kinea High Yield CRI</v>
      </c>
      <c r="B158" s="22" t="s">
        <v>4090</v>
      </c>
      <c r="C158" s="22" t="s">
        <v>3424</v>
      </c>
      <c r="D158" s="22" t="s">
        <v>4070</v>
      </c>
      <c r="E158" s="22" t="s">
        <v>4091</v>
      </c>
      <c r="F158"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v>
      </c>
      <c r="G158" s="44" t="s">
        <v>4092</v>
      </c>
      <c r="H158" s="44" t="s">
        <v>4093</v>
      </c>
      <c r="I158" s="6" t="str">
        <f t="shared" si="2"/>
        <v>(KNHY11)</v>
      </c>
    </row>
    <row r="159">
      <c r="A159" s="6" t="str">
        <f t="shared" si="1"/>
        <v>Fundos de Renda variável | FIIs | Kinea Índices de Preços</v>
      </c>
      <c r="B159" s="22" t="s">
        <v>4094</v>
      </c>
      <c r="C159" s="22" t="s">
        <v>3424</v>
      </c>
      <c r="D159" s="22" t="s">
        <v>4070</v>
      </c>
      <c r="E159" s="22" t="s">
        <v>4095</v>
      </c>
      <c r="F159"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v>
      </c>
      <c r="G159" s="44" t="s">
        <v>4096</v>
      </c>
      <c r="H159" s="44" t="s">
        <v>4097</v>
      </c>
      <c r="I159" s="6" t="str">
        <f t="shared" si="2"/>
        <v>(KNIP11)</v>
      </c>
    </row>
    <row r="160">
      <c r="A160" s="6" t="str">
        <f t="shared" si="1"/>
        <v>Fundos de Renda variável | FIIs | Kinea II Real Estate Equity</v>
      </c>
      <c r="B160" s="22" t="s">
        <v>4098</v>
      </c>
      <c r="C160" s="22" t="s">
        <v>3603</v>
      </c>
      <c r="D160" s="22" t="s">
        <v>4070</v>
      </c>
      <c r="E160" s="22" t="s">
        <v>4099</v>
      </c>
      <c r="F160"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v>
      </c>
      <c r="G160" s="44" t="s">
        <v>4100</v>
      </c>
      <c r="H160" s="44" t="s">
        <v>4101</v>
      </c>
      <c r="I160" s="6" t="str">
        <f t="shared" si="2"/>
        <v>(KNRE11)</v>
      </c>
    </row>
    <row r="161">
      <c r="A161" s="6" t="str">
        <f t="shared" si="1"/>
        <v>Fundos de Renda variável | FIIs | Kinea Renda Imobiliária</v>
      </c>
      <c r="B161" s="22" t="s">
        <v>4102</v>
      </c>
      <c r="C161" s="22" t="s">
        <v>3447</v>
      </c>
      <c r="D161" s="22" t="s">
        <v>4070</v>
      </c>
      <c r="E161" s="22" t="s">
        <v>4103</v>
      </c>
      <c r="F161"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v>
      </c>
      <c r="G161" s="44" t="s">
        <v>4104</v>
      </c>
      <c r="H161" s="44" t="s">
        <v>4105</v>
      </c>
      <c r="I161" s="6" t="str">
        <f t="shared" si="2"/>
        <v>(KNRI11)</v>
      </c>
    </row>
    <row r="162">
      <c r="A162" s="6" t="str">
        <f t="shared" si="1"/>
        <v>Fundos de Renda variável | FIIs | Kinea Securities</v>
      </c>
      <c r="B162" s="22" t="s">
        <v>4106</v>
      </c>
      <c r="C162" s="22" t="s">
        <v>3424</v>
      </c>
      <c r="D162" s="22" t="s">
        <v>4070</v>
      </c>
      <c r="E162" s="22" t="s">
        <v>4107</v>
      </c>
      <c r="F162"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v>
      </c>
      <c r="G162" s="44" t="s">
        <v>4108</v>
      </c>
      <c r="H162" s="44" t="s">
        <v>4109</v>
      </c>
      <c r="I162" s="6" t="str">
        <f t="shared" si="2"/>
        <v>(KNSC11)</v>
      </c>
    </row>
    <row r="163">
      <c r="A163" s="6" t="str">
        <f t="shared" si="1"/>
        <v>Fundos de Renda variável | FIIs | Legatus Shoppings</v>
      </c>
      <c r="B163" s="22" t="s">
        <v>4110</v>
      </c>
      <c r="C163" s="22" t="s">
        <v>3418</v>
      </c>
      <c r="D163" s="22" t="s">
        <v>3464</v>
      </c>
      <c r="E163" s="22" t="s">
        <v>4111</v>
      </c>
      <c r="F163"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v>
      </c>
      <c r="G163" s="44" t="s">
        <v>4112</v>
      </c>
      <c r="H163" s="44" t="s">
        <v>4113</v>
      </c>
      <c r="I163" s="6" t="str">
        <f t="shared" si="2"/>
        <v>(LASC11)</v>
      </c>
    </row>
    <row r="164">
      <c r="A164" s="6" t="str">
        <f t="shared" si="1"/>
        <v>Fundos de Renda variável | FIIs | Lateres</v>
      </c>
      <c r="B164" s="22" t="s">
        <v>4114</v>
      </c>
      <c r="C164" s="22" t="s">
        <v>3603</v>
      </c>
      <c r="D164" s="22" t="s">
        <v>3473</v>
      </c>
      <c r="E164" s="22" t="s">
        <v>4115</v>
      </c>
      <c r="F164"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v>
      </c>
      <c r="G164" s="44" t="s">
        <v>4116</v>
      </c>
      <c r="H164" s="44" t="s">
        <v>4117</v>
      </c>
      <c r="I164" s="6" t="str">
        <f t="shared" si="2"/>
        <v>(LATR11B)</v>
      </c>
    </row>
    <row r="165">
      <c r="A165" s="6" t="str">
        <f t="shared" si="1"/>
        <v>Fundos de Renda variável | FIIs | LOFT II</v>
      </c>
      <c r="B165" s="22" t="s">
        <v>4118</v>
      </c>
      <c r="C165" s="22" t="s">
        <v>3603</v>
      </c>
      <c r="D165" s="22" t="s">
        <v>3437</v>
      </c>
      <c r="E165" s="22" t="s">
        <v>4119</v>
      </c>
      <c r="F165"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v>
      </c>
      <c r="G165" s="44" t="s">
        <v>4120</v>
      </c>
      <c r="H165" s="44" t="s">
        <v>4121</v>
      </c>
      <c r="I165" s="6" t="str">
        <f t="shared" si="2"/>
        <v>(LFTT11)</v>
      </c>
    </row>
    <row r="166">
      <c r="A166" s="6" t="str">
        <f t="shared" si="1"/>
        <v>Fundos de Renda variável | FIIs | LOG CP Inter</v>
      </c>
      <c r="B166" s="45" t="s">
        <v>4122</v>
      </c>
      <c r="C166" s="22" t="s">
        <v>3463</v>
      </c>
      <c r="D166" s="22" t="s">
        <v>3529</v>
      </c>
      <c r="E166" s="22" t="s">
        <v>4123</v>
      </c>
      <c r="F166"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v>
      </c>
      <c r="G166" s="44" t="s">
        <v>4124</v>
      </c>
      <c r="H166" s="44" t="s">
        <v>4125</v>
      </c>
      <c r="I166" s="6" t="str">
        <f t="shared" si="2"/>
        <v>(LGCP11)</v>
      </c>
    </row>
    <row r="167">
      <c r="A167" s="6" t="str">
        <f t="shared" si="1"/>
        <v>Fundos de Renda variável | FIIs | LOFT I (Cota Sênior)</v>
      </c>
      <c r="B167" s="22" t="s">
        <v>4126</v>
      </c>
      <c r="C167" s="22" t="s">
        <v>3603</v>
      </c>
      <c r="D167" s="22" t="s">
        <v>3437</v>
      </c>
      <c r="E167" s="22" t="s">
        <v>4127</v>
      </c>
      <c r="F167"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v>
      </c>
      <c r="G167" s="44" t="s">
        <v>4128</v>
      </c>
      <c r="H167" s="44" t="s">
        <v>4129</v>
      </c>
      <c r="I167" s="6" t="str">
        <f t="shared" si="2"/>
        <v>(LOFT11B)</v>
      </c>
    </row>
    <row r="168">
      <c r="A168" s="6" t="str">
        <f t="shared" si="1"/>
        <v>Fundos de Renda variável | FIIs | LOFT I (Cota Subordinada)</v>
      </c>
      <c r="B168" s="22" t="s">
        <v>4130</v>
      </c>
      <c r="C168" s="22" t="s">
        <v>3603</v>
      </c>
      <c r="D168" s="22" t="s">
        <v>3437</v>
      </c>
      <c r="E168" s="22" t="s">
        <v>4131</v>
      </c>
      <c r="F168"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v>
      </c>
      <c r="G168" s="44" t="s">
        <v>4132</v>
      </c>
      <c r="H168" s="44" t="s">
        <v>4133</v>
      </c>
      <c r="I168" s="6" t="str">
        <f t="shared" si="2"/>
        <v>(LOFT13B)</v>
      </c>
    </row>
    <row r="169">
      <c r="A169" s="6" t="str">
        <f t="shared" si="1"/>
        <v>Fundos de Renda variável | FIIs | Luggo</v>
      </c>
      <c r="B169" s="22" t="s">
        <v>4134</v>
      </c>
      <c r="C169" s="22" t="s">
        <v>3603</v>
      </c>
      <c r="D169" s="22" t="s">
        <v>3529</v>
      </c>
      <c r="E169" s="22" t="s">
        <v>4135</v>
      </c>
      <c r="F169"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v>
      </c>
      <c r="G169" s="44" t="s">
        <v>4136</v>
      </c>
      <c r="H169" s="44" t="s">
        <v>4137</v>
      </c>
      <c r="I169" s="6" t="str">
        <f t="shared" si="2"/>
        <v>(LUGG11)</v>
      </c>
    </row>
    <row r="170">
      <c r="A170" s="6" t="str">
        <f t="shared" si="1"/>
        <v>Fundos de Renda variável | FIIs | VBI Logístico</v>
      </c>
      <c r="B170" s="22" t="s">
        <v>4138</v>
      </c>
      <c r="C170" s="22" t="s">
        <v>3463</v>
      </c>
      <c r="D170" s="22" t="s">
        <v>3442</v>
      </c>
      <c r="E170" s="22" t="s">
        <v>4139</v>
      </c>
      <c r="F170"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v>
      </c>
      <c r="G170" s="44" t="s">
        <v>4140</v>
      </c>
      <c r="H170" s="44" t="s">
        <v>4141</v>
      </c>
      <c r="I170" s="6" t="str">
        <f t="shared" si="2"/>
        <v>(LVBI11)</v>
      </c>
    </row>
    <row r="171">
      <c r="A171" s="6" t="str">
        <f t="shared" si="1"/>
        <v>Fundos de Renda variável | FIIs | MALLS BRASIL PLURAL</v>
      </c>
      <c r="B171" s="22" t="s">
        <v>4142</v>
      </c>
      <c r="C171" s="22" t="s">
        <v>3418</v>
      </c>
      <c r="D171" s="22" t="s">
        <v>3568</v>
      </c>
      <c r="E171" s="22" t="s">
        <v>4143</v>
      </c>
      <c r="F171"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v>
      </c>
      <c r="G171" s="44" t="s">
        <v>4144</v>
      </c>
      <c r="H171" s="44" t="s">
        <v>4145</v>
      </c>
      <c r="I171" s="6" t="str">
        <f t="shared" si="2"/>
        <v>(MALL11)</v>
      </c>
    </row>
    <row r="172">
      <c r="A172" s="6" t="str">
        <f t="shared" si="1"/>
        <v>Fundos de Renda variável | FIIs | Max Retail</v>
      </c>
      <c r="B172" s="22" t="s">
        <v>4146</v>
      </c>
      <c r="C172" s="22" t="s">
        <v>3418</v>
      </c>
      <c r="D172" s="22" t="s">
        <v>3442</v>
      </c>
      <c r="E172" s="22" t="s">
        <v>4147</v>
      </c>
      <c r="F172"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v>
      </c>
      <c r="G172" s="44" t="s">
        <v>4148</v>
      </c>
      <c r="H172" s="44" t="s">
        <v>4149</v>
      </c>
      <c r="I172" s="6" t="str">
        <f t="shared" si="2"/>
        <v>(MAXR11)</v>
      </c>
    </row>
    <row r="173">
      <c r="A173" s="6" t="str">
        <f t="shared" si="1"/>
        <v>Fundos de Renda variável | FIIs | Mercantil do Brasil</v>
      </c>
      <c r="B173" s="22" t="s">
        <v>4150</v>
      </c>
      <c r="C173" s="22" t="s">
        <v>3493</v>
      </c>
      <c r="D173" s="22" t="s">
        <v>3419</v>
      </c>
      <c r="E173" s="22" t="s">
        <v>4151</v>
      </c>
      <c r="F173"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v>
      </c>
      <c r="G173" s="44" t="s">
        <v>4152</v>
      </c>
      <c r="H173" s="44" t="s">
        <v>4153</v>
      </c>
      <c r="I173" s="6" t="str">
        <f t="shared" si="2"/>
        <v>(MBRF11)</v>
      </c>
    </row>
    <row r="174">
      <c r="A174" s="6" t="str">
        <f t="shared" si="1"/>
        <v>Fundos de Renda variável | FIIs | Mauá Capital Recebíveis Imobiliários</v>
      </c>
      <c r="B174" s="22" t="s">
        <v>4154</v>
      </c>
      <c r="C174" s="22" t="s">
        <v>3424</v>
      </c>
      <c r="D174" s="22" t="s">
        <v>3442</v>
      </c>
      <c r="E174" s="22" t="s">
        <v>4155</v>
      </c>
      <c r="F174"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v>
      </c>
      <c r="G174" s="44" t="s">
        <v>4156</v>
      </c>
      <c r="H174" s="44" t="s">
        <v>4157</v>
      </c>
      <c r="I174" s="6" t="str">
        <f t="shared" si="2"/>
        <v>(MCCI11)</v>
      </c>
    </row>
    <row r="175">
      <c r="A175" s="6" t="str">
        <f t="shared" si="1"/>
        <v>Fundos de Renda variável | FIIs | Mauá Capital FoF</v>
      </c>
      <c r="B175" s="22" t="s">
        <v>4158</v>
      </c>
      <c r="C175" s="22" t="s">
        <v>3430</v>
      </c>
      <c r="D175" s="22" t="s">
        <v>3442</v>
      </c>
      <c r="E175" s="22" t="s">
        <v>4159</v>
      </c>
      <c r="F175"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v>
      </c>
      <c r="G175" s="44" t="s">
        <v>4160</v>
      </c>
      <c r="H175" s="44" t="s">
        <v>4161</v>
      </c>
      <c r="I175" s="6" t="str">
        <f t="shared" si="2"/>
        <v>(MCFF11)</v>
      </c>
    </row>
    <row r="176">
      <c r="A176" s="6" t="str">
        <f t="shared" si="1"/>
        <v>Fundos de Renda variável | FIIs | Mérito Fundos e Ações Imobiliárias</v>
      </c>
      <c r="B176" s="22" t="s">
        <v>4162</v>
      </c>
      <c r="C176" s="22" t="s">
        <v>3430</v>
      </c>
      <c r="D176" s="22" t="s">
        <v>3637</v>
      </c>
      <c r="E176" s="22" t="s">
        <v>4163</v>
      </c>
      <c r="F176"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v>
      </c>
      <c r="G176" s="44" t="s">
        <v>4164</v>
      </c>
      <c r="H176" s="44" t="s">
        <v>4165</v>
      </c>
      <c r="I176" s="6" t="str">
        <f t="shared" si="2"/>
        <v>(MFAI11)</v>
      </c>
    </row>
    <row r="177">
      <c r="A177" s="6" t="str">
        <f t="shared" si="1"/>
        <v>Fundos de Renda variável | FIIs | Mérito Desenvolvimento Imobiliário I</v>
      </c>
      <c r="B177" s="22" t="s">
        <v>4166</v>
      </c>
      <c r="C177" s="22" t="s">
        <v>3603</v>
      </c>
      <c r="D177" s="22" t="s">
        <v>3637</v>
      </c>
      <c r="E177" s="22" t="s">
        <v>4167</v>
      </c>
      <c r="F177"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v>
      </c>
      <c r="G177" s="44" t="s">
        <v>4168</v>
      </c>
      <c r="H177" s="44" t="s">
        <v>4169</v>
      </c>
      <c r="I177" s="6" t="str">
        <f t="shared" si="2"/>
        <v>(MFII11)</v>
      </c>
    </row>
    <row r="178">
      <c r="A178" s="6" t="str">
        <f t="shared" si="1"/>
        <v>Fundos de Renda variável | FIIs | Mogno CRIs High Grade</v>
      </c>
      <c r="B178" s="22" t="s">
        <v>4170</v>
      </c>
      <c r="C178" s="22" t="s">
        <v>3424</v>
      </c>
      <c r="D178" s="22" t="s">
        <v>3442</v>
      </c>
      <c r="E178" s="22" t="s">
        <v>4171</v>
      </c>
      <c r="F178"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v>
      </c>
      <c r="G178" s="44" t="s">
        <v>4172</v>
      </c>
      <c r="H178" s="44" t="s">
        <v>4173</v>
      </c>
      <c r="I178" s="6" t="str">
        <f t="shared" si="2"/>
        <v>(MGCR11)</v>
      </c>
    </row>
    <row r="179">
      <c r="A179" s="6" t="str">
        <f t="shared" si="1"/>
        <v>Fundos de Renda variável | FIIs | Mogno Fundo de Fundos</v>
      </c>
      <c r="B179" s="22" t="s">
        <v>4174</v>
      </c>
      <c r="C179" s="22" t="s">
        <v>3430</v>
      </c>
      <c r="D179" s="22" t="s">
        <v>3442</v>
      </c>
      <c r="E179" s="22" t="s">
        <v>4175</v>
      </c>
      <c r="F179"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v>
      </c>
      <c r="G179" s="44" t="s">
        <v>4176</v>
      </c>
      <c r="H179" s="44" t="s">
        <v>4177</v>
      </c>
      <c r="I179" s="6" t="str">
        <f t="shared" si="2"/>
        <v>(MGFF11)</v>
      </c>
    </row>
    <row r="180">
      <c r="A180" s="6" t="str">
        <f t="shared" si="1"/>
        <v>Fundos de Renda variável | FIIs | Mogno Hoteis</v>
      </c>
      <c r="B180" s="22" t="s">
        <v>4178</v>
      </c>
      <c r="C180" s="22" t="s">
        <v>3478</v>
      </c>
      <c r="D180" s="22" t="s">
        <v>3442</v>
      </c>
      <c r="E180" s="22" t="s">
        <v>4179</v>
      </c>
      <c r="F180"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v>
      </c>
      <c r="G180" s="44" t="s">
        <v>4180</v>
      </c>
      <c r="H180" s="44" t="s">
        <v>4181</v>
      </c>
      <c r="I180" s="6" t="str">
        <f t="shared" si="2"/>
        <v>(MGHT11)</v>
      </c>
    </row>
    <row r="181">
      <c r="A181" s="6" t="str">
        <f t="shared" si="1"/>
        <v>Fundos de Renda variável | FIIs | Mint Educacional</v>
      </c>
      <c r="B181" s="22" t="s">
        <v>4182</v>
      </c>
      <c r="C181" s="22" t="s">
        <v>3765</v>
      </c>
      <c r="D181" s="22" t="s">
        <v>4040</v>
      </c>
      <c r="E181" s="22" t="s">
        <v>4183</v>
      </c>
      <c r="F181"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v>
      </c>
      <c r="G181" s="44" t="s">
        <v>4184</v>
      </c>
      <c r="H181" s="44" t="s">
        <v>4185</v>
      </c>
      <c r="I181" s="6" t="str">
        <f t="shared" si="2"/>
        <v>(MINT11)</v>
      </c>
    </row>
    <row r="182">
      <c r="A182" s="6" t="str">
        <f t="shared" si="1"/>
        <v>Fundos de Renda variável | FIIs | MULTIOFFICES 2</v>
      </c>
      <c r="B182" s="22" t="s">
        <v>4186</v>
      </c>
      <c r="C182" s="22" t="s">
        <v>3436</v>
      </c>
      <c r="D182" s="22" t="s">
        <v>3473</v>
      </c>
      <c r="E182" s="22" t="s">
        <v>4187</v>
      </c>
      <c r="F182"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v>
      </c>
      <c r="G182" s="44" t="s">
        <v>4188</v>
      </c>
      <c r="H182" s="44" t="s">
        <v>4189</v>
      </c>
      <c r="I182" s="6" t="str">
        <f t="shared" si="2"/>
        <v>(MOFF11)</v>
      </c>
    </row>
    <row r="183">
      <c r="A183" s="6" t="str">
        <f t="shared" si="1"/>
        <v>Fundos de Renda variável | FIIs | More Real Estate FOF</v>
      </c>
      <c r="B183" s="22" t="s">
        <v>4190</v>
      </c>
      <c r="C183" s="22" t="s">
        <v>3430</v>
      </c>
      <c r="D183" s="22" t="s">
        <v>3442</v>
      </c>
      <c r="E183" s="22" t="s">
        <v>4191</v>
      </c>
      <c r="F183"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v>
      </c>
      <c r="G183" s="44" t="s">
        <v>4192</v>
      </c>
      <c r="H183" s="44" t="s">
        <v>4193</v>
      </c>
      <c r="I183" s="6" t="str">
        <f t="shared" si="2"/>
        <v>(MORE11)</v>
      </c>
    </row>
    <row r="184">
      <c r="A184" s="6" t="str">
        <f t="shared" si="1"/>
        <v>Fundos de Renda variável | FIIs | Mais Shopping Largo 13</v>
      </c>
      <c r="B184" s="22" t="s">
        <v>4194</v>
      </c>
      <c r="C184" s="22" t="s">
        <v>3418</v>
      </c>
      <c r="D184" s="22" t="s">
        <v>4035</v>
      </c>
      <c r="E184" s="22" t="s">
        <v>4195</v>
      </c>
      <c r="F184"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v>
      </c>
      <c r="G184" s="44" t="s">
        <v>4196</v>
      </c>
      <c r="H184" s="44" t="s">
        <v>4197</v>
      </c>
      <c r="I184" s="6" t="str">
        <f t="shared" si="2"/>
        <v>(MSHP11)</v>
      </c>
    </row>
    <row r="185">
      <c r="A185" s="6" t="str">
        <f t="shared" si="1"/>
        <v>Fundos de Renda variável | FIIs | MULTIOFFICES 1</v>
      </c>
      <c r="B185" s="22" t="s">
        <v>4198</v>
      </c>
      <c r="C185" s="22" t="s">
        <v>3424</v>
      </c>
      <c r="D185" s="22" t="s">
        <v>3473</v>
      </c>
      <c r="E185" s="22" t="s">
        <v>4199</v>
      </c>
      <c r="F185"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v>
      </c>
      <c r="G185" s="44" t="s">
        <v>4200</v>
      </c>
      <c r="H185" s="44" t="s">
        <v>4201</v>
      </c>
      <c r="I185" s="6" t="str">
        <f t="shared" si="2"/>
        <v>(MTOF11)</v>
      </c>
    </row>
    <row r="186">
      <c r="A186" s="6" t="str">
        <f t="shared" si="1"/>
        <v>Fundos de Renda variável | FIIs | Metropolis</v>
      </c>
      <c r="B186" s="22" t="s">
        <v>4202</v>
      </c>
      <c r="C186" s="22" t="s">
        <v>566</v>
      </c>
      <c r="D186" s="22" t="s">
        <v>3442</v>
      </c>
      <c r="E186" s="22" t="s">
        <v>4203</v>
      </c>
      <c r="F186"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v>
      </c>
      <c r="G186" s="44" t="s">
        <v>4204</v>
      </c>
      <c r="H186" s="44" t="s">
        <v>4205</v>
      </c>
      <c r="I186" s="6" t="str">
        <f t="shared" si="2"/>
        <v>(MTRS11)</v>
      </c>
    </row>
    <row r="187">
      <c r="A187" s="6" t="str">
        <f t="shared" si="1"/>
        <v>Fundos de Renda variável | FIIs | MV9 FII</v>
      </c>
      <c r="B187" s="45" t="s">
        <v>4206</v>
      </c>
      <c r="C187" s="22" t="s">
        <v>3436</v>
      </c>
      <c r="D187" s="22" t="s">
        <v>3442</v>
      </c>
      <c r="E187" s="22" t="s">
        <v>4207</v>
      </c>
      <c r="F187"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v>
      </c>
      <c r="G187" s="44" t="s">
        <v>4208</v>
      </c>
      <c r="H187" s="44" t="s">
        <v>4209</v>
      </c>
      <c r="I187" s="6" t="str">
        <f t="shared" si="2"/>
        <v>(MVFI11)</v>
      </c>
    </row>
    <row r="188">
      <c r="A188" s="6" t="str">
        <f t="shared" si="1"/>
        <v>Fundos de Renda variável | FIIs | Maxi Renda</v>
      </c>
      <c r="B188" s="22" t="s">
        <v>4210</v>
      </c>
      <c r="C188" s="22" t="s">
        <v>3424</v>
      </c>
      <c r="D188" s="22" t="s">
        <v>3442</v>
      </c>
      <c r="E188" s="22" t="s">
        <v>4211</v>
      </c>
      <c r="F188"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v>
      </c>
      <c r="G188" s="44" t="s">
        <v>4212</v>
      </c>
      <c r="H188" s="44" t="s">
        <v>4213</v>
      </c>
      <c r="I188" s="6" t="str">
        <f t="shared" si="2"/>
        <v>(MXRF11)</v>
      </c>
    </row>
    <row r="189">
      <c r="A189" s="6" t="str">
        <f t="shared" si="1"/>
        <v>Fundos de Renda variável | FIIs | NCH Brasil Recebíveis Imobiliários</v>
      </c>
      <c r="B189" s="45" t="s">
        <v>4214</v>
      </c>
      <c r="C189" s="22" t="s">
        <v>3424</v>
      </c>
      <c r="D189" s="22" t="s">
        <v>3442</v>
      </c>
      <c r="E189" s="22" t="s">
        <v>4215</v>
      </c>
      <c r="F189"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v>
      </c>
      <c r="G189" s="44" t="s">
        <v>4216</v>
      </c>
      <c r="H189" s="44" t="s">
        <v>4217</v>
      </c>
      <c r="I189" s="6" t="str">
        <f t="shared" si="2"/>
        <v>(NCHB11)</v>
      </c>
    </row>
    <row r="190">
      <c r="A190" s="6" t="str">
        <f t="shared" si="1"/>
        <v>Fundos de Renda variável | FIIs | Newport Logística</v>
      </c>
      <c r="B190" s="22" t="s">
        <v>4218</v>
      </c>
      <c r="C190" s="22" t="s">
        <v>3463</v>
      </c>
      <c r="D190" s="22" t="s">
        <v>4040</v>
      </c>
      <c r="E190" s="22" t="s">
        <v>4219</v>
      </c>
      <c r="F190"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v>
      </c>
      <c r="G190" s="44" t="s">
        <v>4220</v>
      </c>
      <c r="H190" s="44" t="s">
        <v>4221</v>
      </c>
      <c r="I190" s="6" t="str">
        <f t="shared" si="2"/>
        <v>(NEWL11)</v>
      </c>
    </row>
    <row r="191">
      <c r="A191" s="6" t="str">
        <f t="shared" si="1"/>
        <v>Fundos de Renda variável | FIIs | Newport Renda Urbana</v>
      </c>
      <c r="B191" s="22" t="s">
        <v>4222</v>
      </c>
      <c r="C191" s="22" t="s">
        <v>3436</v>
      </c>
      <c r="D191" s="22" t="s">
        <v>4223</v>
      </c>
      <c r="E191" s="22" t="s">
        <v>4224</v>
      </c>
      <c r="F191"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v>
      </c>
      <c r="G191" s="44" t="s">
        <v>4225</v>
      </c>
      <c r="H191" s="44" t="s">
        <v>4226</v>
      </c>
      <c r="I191" s="6" t="str">
        <f t="shared" si="2"/>
        <v>(NEWU11)</v>
      </c>
    </row>
    <row r="192">
      <c r="A192" s="6" t="str">
        <f t="shared" si="1"/>
        <v>Fundos de Renda variável | FIIs | NESTPAR</v>
      </c>
      <c r="B192" s="22" t="s">
        <v>4227</v>
      </c>
      <c r="C192" s="22" t="s">
        <v>3457</v>
      </c>
      <c r="D192" s="22" t="s">
        <v>3637</v>
      </c>
      <c r="E192" s="22" t="s">
        <v>4228</v>
      </c>
      <c r="F192"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v>
      </c>
      <c r="G192" s="44" t="s">
        <v>4229</v>
      </c>
      <c r="H192" s="44" t="s">
        <v>4230</v>
      </c>
      <c r="I192" s="6" t="str">
        <f t="shared" si="2"/>
        <v>(NPAR11)</v>
      </c>
    </row>
    <row r="193">
      <c r="A193" s="6" t="str">
        <f t="shared" si="1"/>
        <v>Fundos de Renda variável | FIIs | Hospital Nossa Senhora de Lourdes</v>
      </c>
      <c r="B193" s="45" t="s">
        <v>4231</v>
      </c>
      <c r="C193" s="22" t="s">
        <v>3913</v>
      </c>
      <c r="D193" s="22" t="s">
        <v>3442</v>
      </c>
      <c r="E193" s="22" t="s">
        <v>4232</v>
      </c>
      <c r="F193"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v>
      </c>
      <c r="G193" s="44" t="s">
        <v>4233</v>
      </c>
      <c r="H193" s="44" t="s">
        <v>4234</v>
      </c>
      <c r="I193" s="6" t="str">
        <f t="shared" si="2"/>
        <v>(NSLU11)</v>
      </c>
    </row>
    <row r="194">
      <c r="A194" s="6" t="str">
        <f t="shared" si="1"/>
        <v>Fundos de Renda variável | FIIs | Novo Horizonte</v>
      </c>
      <c r="B194" s="22" t="s">
        <v>4235</v>
      </c>
      <c r="C194" s="22" t="s">
        <v>3913</v>
      </c>
      <c r="D194" s="22" t="s">
        <v>4040</v>
      </c>
      <c r="E194" s="22" t="s">
        <v>4236</v>
      </c>
      <c r="F194"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v>
      </c>
      <c r="G194" s="44" t="s">
        <v>4237</v>
      </c>
      <c r="H194" s="44" t="s">
        <v>4237</v>
      </c>
      <c r="I194" s="6" t="str">
        <f t="shared" si="2"/>
        <v>(NVHO11)</v>
      </c>
    </row>
    <row r="195">
      <c r="A195" s="6" t="str">
        <f t="shared" si="1"/>
        <v>Fundos de Renda variável | FIIs | Nova I</v>
      </c>
      <c r="B195" s="45" t="s">
        <v>4238</v>
      </c>
      <c r="C195" s="22" t="s">
        <v>3447</v>
      </c>
      <c r="D195" s="22" t="s">
        <v>3437</v>
      </c>
      <c r="E195" s="22" t="s">
        <v>4239</v>
      </c>
      <c r="F195"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v>
      </c>
      <c r="G195" s="44" t="s">
        <v>4240</v>
      </c>
      <c r="H195" s="44" t="s">
        <v>4241</v>
      </c>
      <c r="I195" s="6" t="str">
        <f t="shared" si="2"/>
        <v>(NVIF11B)</v>
      </c>
    </row>
    <row r="196">
      <c r="A196" s="6" t="str">
        <f t="shared" si="1"/>
        <v>Fundos de Renda variável | FIIs | The One</v>
      </c>
      <c r="B196" s="22" t="s">
        <v>4242</v>
      </c>
      <c r="C196" s="22" t="s">
        <v>3436</v>
      </c>
      <c r="D196" s="22" t="s">
        <v>3419</v>
      </c>
      <c r="E196" s="22" t="s">
        <v>4243</v>
      </c>
      <c r="F196"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v>
      </c>
      <c r="G196" s="44" t="s">
        <v>4244</v>
      </c>
      <c r="H196" s="44" t="s">
        <v>4245</v>
      </c>
      <c r="I196" s="6" t="str">
        <f t="shared" si="2"/>
        <v>(ONEF11)</v>
      </c>
    </row>
    <row r="197">
      <c r="A197" s="6" t="str">
        <f t="shared" si="1"/>
        <v>Fundos de Renda variável | FIIs | Ouro Verde Desenvolvimento Imobiliário</v>
      </c>
      <c r="B197" s="45" t="s">
        <v>4246</v>
      </c>
      <c r="C197" s="22" t="s">
        <v>3424</v>
      </c>
      <c r="D197" s="22" t="s">
        <v>3637</v>
      </c>
      <c r="E197" s="22" t="s">
        <v>4247</v>
      </c>
      <c r="F197"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v>
      </c>
      <c r="G197" s="44" t="s">
        <v>4248</v>
      </c>
      <c r="H197" s="44" t="s">
        <v>4249</v>
      </c>
      <c r="I197" s="6" t="str">
        <f t="shared" si="2"/>
        <v>(ORPD11)</v>
      </c>
    </row>
    <row r="198">
      <c r="A198" s="6" t="str">
        <f t="shared" si="1"/>
        <v>Fundos de Renda variável | FIIs | OURINVEST CYRELA</v>
      </c>
      <c r="B198" s="22" t="s">
        <v>4250</v>
      </c>
      <c r="C198" s="22" t="s">
        <v>3424</v>
      </c>
      <c r="D198" s="22" t="s">
        <v>4251</v>
      </c>
      <c r="E198" s="22" t="s">
        <v>4252</v>
      </c>
      <c r="F198"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v>
      </c>
      <c r="G198" s="44" t="s">
        <v>4253</v>
      </c>
      <c r="H198" s="44" t="s">
        <v>4254</v>
      </c>
      <c r="I198" s="6" t="str">
        <f t="shared" si="2"/>
        <v>(OUCY11)</v>
      </c>
    </row>
    <row r="199">
      <c r="A199" s="6" t="str">
        <f t="shared" si="1"/>
        <v>Fundos de Renda variável | FIIs | Ourinvest Fundo de Fundos</v>
      </c>
      <c r="B199" s="22" t="s">
        <v>4255</v>
      </c>
      <c r="C199" s="22" t="s">
        <v>3430</v>
      </c>
      <c r="D199" s="22" t="s">
        <v>4251</v>
      </c>
      <c r="E199" s="22" t="s">
        <v>4256</v>
      </c>
      <c r="F199"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v>
      </c>
      <c r="G199" s="44" t="s">
        <v>4257</v>
      </c>
      <c r="H199" s="44" t="s">
        <v>4258</v>
      </c>
      <c r="I199" s="6" t="str">
        <f t="shared" si="2"/>
        <v>(OUFF11)</v>
      </c>
    </row>
    <row r="200">
      <c r="A200" s="6" t="str">
        <f t="shared" si="1"/>
        <v>Fundos de Renda variável | FIIs | Ourinvest JPP</v>
      </c>
      <c r="B200" s="22" t="s">
        <v>4259</v>
      </c>
      <c r="C200" s="22" t="s">
        <v>3424</v>
      </c>
      <c r="D200" s="22" t="s">
        <v>4260</v>
      </c>
      <c r="E200" s="22" t="s">
        <v>4261</v>
      </c>
      <c r="F200"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v>
      </c>
      <c r="G200" s="44" t="s">
        <v>4262</v>
      </c>
      <c r="H200" s="44" t="s">
        <v>4263</v>
      </c>
      <c r="I200" s="6" t="str">
        <f t="shared" si="2"/>
        <v>(OUJP11)</v>
      </c>
    </row>
    <row r="201">
      <c r="A201" s="6" t="str">
        <f t="shared" si="1"/>
        <v>Fundos de Renda variável | FIIs | Ourinvest Logística</v>
      </c>
      <c r="B201" s="22" t="s">
        <v>4264</v>
      </c>
      <c r="C201" s="22" t="s">
        <v>3463</v>
      </c>
      <c r="D201" s="22" t="s">
        <v>4251</v>
      </c>
      <c r="E201" s="22" t="s">
        <v>4265</v>
      </c>
      <c r="F201"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v>
      </c>
      <c r="G201" s="44" t="s">
        <v>4266</v>
      </c>
      <c r="H201" s="44" t="s">
        <v>4267</v>
      </c>
      <c r="I201" s="6" t="str">
        <f t="shared" si="2"/>
        <v>(OULG11)</v>
      </c>
    </row>
    <row r="202">
      <c r="A202" s="6" t="str">
        <f t="shared" si="1"/>
        <v>Fundos de Renda variável | FIIs | Panamby</v>
      </c>
      <c r="B202" s="22" t="s">
        <v>4268</v>
      </c>
      <c r="C202" s="22" t="s">
        <v>3457</v>
      </c>
      <c r="D202" s="22" t="s">
        <v>4269</v>
      </c>
      <c r="E202" s="22" t="s">
        <v>4270</v>
      </c>
      <c r="F202"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v>
      </c>
      <c r="G202" s="44" t="s">
        <v>4271</v>
      </c>
      <c r="H202" s="44" t="s">
        <v>4272</v>
      </c>
      <c r="I202" s="6" t="str">
        <f t="shared" si="2"/>
        <v>(PABY11)</v>
      </c>
    </row>
    <row r="203">
      <c r="A203" s="6" t="str">
        <f t="shared" si="1"/>
        <v>Fundos de Renda variável | FIIs | Pateo Bandeirantes</v>
      </c>
      <c r="B203" s="22" t="s">
        <v>4273</v>
      </c>
      <c r="C203" s="22" t="s">
        <v>3436</v>
      </c>
      <c r="D203" s="22" t="s">
        <v>3442</v>
      </c>
      <c r="E203" s="22" t="s">
        <v>4274</v>
      </c>
      <c r="F203"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v>
      </c>
      <c r="G203" s="44" t="s">
        <v>4275</v>
      </c>
      <c r="H203" s="44" t="s">
        <v>4276</v>
      </c>
      <c r="I203" s="6" t="str">
        <f t="shared" si="2"/>
        <v>(PATB11)</v>
      </c>
    </row>
    <row r="204">
      <c r="A204" s="6" t="str">
        <f t="shared" si="1"/>
        <v>Fundos de Renda variável | FIIs | Pátria Edifícios Corporativos</v>
      </c>
      <c r="B204" s="45" t="s">
        <v>4277</v>
      </c>
      <c r="C204" s="22" t="s">
        <v>3436</v>
      </c>
      <c r="D204" s="22" t="s">
        <v>3696</v>
      </c>
      <c r="E204" s="22" t="s">
        <v>4278</v>
      </c>
      <c r="F204"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v>
      </c>
      <c r="G204" s="44" t="s">
        <v>4279</v>
      </c>
      <c r="H204" s="44" t="s">
        <v>4280</v>
      </c>
      <c r="I204" s="6" t="str">
        <f t="shared" si="2"/>
        <v>(PATC11)</v>
      </c>
    </row>
    <row r="205">
      <c r="A205" s="6" t="str">
        <f t="shared" si="1"/>
        <v>Fundos de Renda variável | FIIs | Pátria Logística</v>
      </c>
      <c r="B205" s="22" t="s">
        <v>4281</v>
      </c>
      <c r="C205" s="22" t="s">
        <v>3463</v>
      </c>
      <c r="D205" s="22" t="s">
        <v>3464</v>
      </c>
      <c r="E205" s="22" t="s">
        <v>4282</v>
      </c>
      <c r="F205"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v>
      </c>
      <c r="G205" s="44" t="s">
        <v>4283</v>
      </c>
      <c r="H205" s="44" t="s">
        <v>4284</v>
      </c>
      <c r="I205" s="6" t="str">
        <f t="shared" si="2"/>
        <v>(PATL11)</v>
      </c>
    </row>
    <row r="206">
      <c r="A206" s="6" t="str">
        <f t="shared" si="1"/>
        <v>Fundos de Renda variável | FIIs | Prologis Brazil Logistics Venture</v>
      </c>
      <c r="B206" s="22" t="s">
        <v>4285</v>
      </c>
      <c r="C206" s="22" t="s">
        <v>3463</v>
      </c>
      <c r="D206" s="22" t="s">
        <v>3431</v>
      </c>
      <c r="E206" s="22" t="s">
        <v>4286</v>
      </c>
      <c r="F206"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v>
      </c>
      <c r="G206" s="44" t="s">
        <v>4287</v>
      </c>
      <c r="H206" s="44" t="s">
        <v>4288</v>
      </c>
      <c r="I206" s="6" t="str">
        <f t="shared" si="2"/>
        <v>(PBLV11)</v>
      </c>
    </row>
    <row r="207">
      <c r="A207" s="6" t="str">
        <f t="shared" si="1"/>
        <v>Fundos de Renda variável | FIIs | Panamby Renda Master</v>
      </c>
      <c r="B207" s="22" t="s">
        <v>4289</v>
      </c>
      <c r="C207" s="22" t="s">
        <v>3424</v>
      </c>
      <c r="D207" s="22" t="s">
        <v>3442</v>
      </c>
      <c r="E207" s="22" t="s">
        <v>4290</v>
      </c>
      <c r="F207"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v>
      </c>
      <c r="G207" s="44" t="s">
        <v>4291</v>
      </c>
      <c r="H207" s="44" t="s">
        <v>4292</v>
      </c>
      <c r="I207" s="6" t="str">
        <f t="shared" si="2"/>
        <v>(PBYR11)</v>
      </c>
    </row>
    <row r="208">
      <c r="A208" s="6" t="str">
        <f t="shared" si="1"/>
        <v>Fundos de Renda variável | FIIs | Plural Recebíveis Imobiliários</v>
      </c>
      <c r="B208" s="22" t="s">
        <v>4293</v>
      </c>
      <c r="C208" s="22" t="s">
        <v>3424</v>
      </c>
      <c r="D208" s="22" t="s">
        <v>4223</v>
      </c>
      <c r="E208" s="22" t="s">
        <v>4294</v>
      </c>
      <c r="F208"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v>
      </c>
      <c r="G208" s="44" t="s">
        <v>4295</v>
      </c>
      <c r="H208" s="44" t="s">
        <v>4296</v>
      </c>
      <c r="I208" s="6" t="str">
        <f t="shared" si="2"/>
        <v>(PLCR11)</v>
      </c>
    </row>
    <row r="209">
      <c r="A209" s="6" t="str">
        <f t="shared" si="1"/>
        <v>Fundos de Renda variável | FIIs | Polo</v>
      </c>
      <c r="B209" s="22" t="s">
        <v>4297</v>
      </c>
      <c r="C209" s="22" t="s">
        <v>3424</v>
      </c>
      <c r="D209" s="22" t="s">
        <v>3473</v>
      </c>
      <c r="E209" s="22" t="s">
        <v>4298</v>
      </c>
      <c r="F209"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v>
      </c>
      <c r="G209" s="44" t="s">
        <v>4299</v>
      </c>
      <c r="H209" s="44" t="s">
        <v>4299</v>
      </c>
      <c r="I209" s="6" t="str">
        <f t="shared" si="2"/>
        <v>(PLRI11)</v>
      </c>
    </row>
    <row r="210">
      <c r="A210" s="6" t="str">
        <f t="shared" si="1"/>
        <v>Fundos de Renda variável | FIIs | Panorama Desenvolvimento Logístico</v>
      </c>
      <c r="B210" s="22" t="s">
        <v>4300</v>
      </c>
      <c r="C210" s="22" t="s">
        <v>3457</v>
      </c>
      <c r="D210" s="22" t="s">
        <v>3431</v>
      </c>
      <c r="E210" s="22" t="s">
        <v>4301</v>
      </c>
      <c r="F210"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v>
      </c>
      <c r="G210" s="44" t="s">
        <v>4302</v>
      </c>
      <c r="H210" s="44" t="s">
        <v>4303</v>
      </c>
      <c r="I210" s="6" t="str">
        <f t="shared" si="2"/>
        <v>(PNDL11)</v>
      </c>
    </row>
    <row r="211">
      <c r="A211" s="6" t="str">
        <f t="shared" si="1"/>
        <v>Fundos de Renda variável | FIIs | Polo CRI II</v>
      </c>
      <c r="B211" s="22" t="s">
        <v>4304</v>
      </c>
      <c r="C211" s="22" t="s">
        <v>3424</v>
      </c>
      <c r="D211" s="22" t="s">
        <v>3473</v>
      </c>
      <c r="E211" s="22" t="s">
        <v>4305</v>
      </c>
      <c r="F211"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v>
      </c>
      <c r="G211" s="44" t="s">
        <v>4306</v>
      </c>
      <c r="H211" s="44" t="s">
        <v>4307</v>
      </c>
      <c r="I211" s="6" t="str">
        <f t="shared" si="2"/>
        <v>(PORD11)</v>
      </c>
    </row>
    <row r="212">
      <c r="A212" s="6" t="str">
        <f t="shared" si="1"/>
        <v>Fundos de Renda variável | FIIs | Parque Anhanguera</v>
      </c>
      <c r="B212" s="22" t="s">
        <v>4308</v>
      </c>
      <c r="C212" s="22" t="s">
        <v>3436</v>
      </c>
      <c r="D212" s="22" t="s">
        <v>4260</v>
      </c>
      <c r="E212" s="22" t="s">
        <v>4309</v>
      </c>
      <c r="F212"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v>
      </c>
      <c r="G212" s="44" t="s">
        <v>4310</v>
      </c>
      <c r="H212" s="44" t="s">
        <v>4311</v>
      </c>
      <c r="I212" s="6" t="str">
        <f t="shared" si="2"/>
        <v>(PQAG11)</v>
      </c>
    </row>
    <row r="213">
      <c r="A213" s="6" t="str">
        <f t="shared" si="1"/>
        <v>Fundos de Renda variável | FIIs | Parque Dom Pedro Shopping Center</v>
      </c>
      <c r="B213" s="22" t="s">
        <v>4312</v>
      </c>
      <c r="C213" s="22" t="s">
        <v>3418</v>
      </c>
      <c r="D213" s="22" t="s">
        <v>3442</v>
      </c>
      <c r="E213" s="22" t="s">
        <v>4313</v>
      </c>
      <c r="F213"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v>
      </c>
      <c r="G213" s="44" t="s">
        <v>4314</v>
      </c>
      <c r="H213" s="44" t="s">
        <v>4315</v>
      </c>
      <c r="I213" s="6" t="str">
        <f t="shared" si="2"/>
        <v>(PQDP11)</v>
      </c>
    </row>
    <row r="214">
      <c r="A214" s="6" t="str">
        <f t="shared" si="1"/>
        <v>Fundos de Renda variável | FIIs | PERSONALE I</v>
      </c>
      <c r="B214" s="45" t="s">
        <v>4316</v>
      </c>
      <c r="C214" s="22" t="s">
        <v>3603</v>
      </c>
      <c r="D214" s="22" t="s">
        <v>3473</v>
      </c>
      <c r="E214" s="22" t="s">
        <v>4317</v>
      </c>
      <c r="F214"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v>
      </c>
      <c r="G214" s="44" t="s">
        <v>4318</v>
      </c>
      <c r="H214" s="44" t="s">
        <v>4319</v>
      </c>
      <c r="I214" s="6" t="str">
        <f t="shared" si="2"/>
        <v>(PRSN11B)</v>
      </c>
    </row>
    <row r="215">
      <c r="A215" s="6" t="str">
        <f t="shared" si="1"/>
        <v>Fundos de Renda variável | FIIs | Presidente Vargas</v>
      </c>
      <c r="B215" s="45" t="s">
        <v>4320</v>
      </c>
      <c r="C215" s="22" t="s">
        <v>3436</v>
      </c>
      <c r="D215" s="22" t="s">
        <v>3484</v>
      </c>
      <c r="E215" s="22" t="s">
        <v>4321</v>
      </c>
      <c r="F215"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v>
      </c>
      <c r="G215" s="44" t="s">
        <v>4322</v>
      </c>
      <c r="H215" s="44" t="s">
        <v>4322</v>
      </c>
      <c r="I215" s="6" t="str">
        <f t="shared" si="2"/>
        <v>(PRSV11)</v>
      </c>
    </row>
    <row r="216">
      <c r="A216" s="6" t="str">
        <f t="shared" si="1"/>
        <v>Fundos de Renda variável | FIIs | Multi Properties</v>
      </c>
      <c r="B216" s="22" t="s">
        <v>4323</v>
      </c>
      <c r="C216" s="22" t="s">
        <v>3418</v>
      </c>
      <c r="D216" s="22" t="s">
        <v>3696</v>
      </c>
      <c r="E216" s="22" t="s">
        <v>4324</v>
      </c>
      <c r="F216"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v>
      </c>
      <c r="G216" s="44" t="s">
        <v>4325</v>
      </c>
      <c r="H216" s="44" t="s">
        <v>4326</v>
      </c>
      <c r="I216" s="6" t="str">
        <f t="shared" si="2"/>
        <v>(PRTS11)</v>
      </c>
    </row>
    <row r="217">
      <c r="A217" s="6" t="str">
        <f t="shared" si="1"/>
        <v>Fundos de Renda variável | FIIs | VBI Prime Properties</v>
      </c>
      <c r="B217" s="22" t="s">
        <v>4327</v>
      </c>
      <c r="C217" s="22" t="s">
        <v>3436</v>
      </c>
      <c r="D217" s="22" t="s">
        <v>3442</v>
      </c>
      <c r="E217" s="22" t="s">
        <v>4328</v>
      </c>
      <c r="F217"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v>
      </c>
      <c r="G217" s="44" t="s">
        <v>4329</v>
      </c>
      <c r="H217" s="44" t="s">
        <v>4330</v>
      </c>
      <c r="I217" s="6" t="str">
        <f t="shared" si="2"/>
        <v>(PVBI11)</v>
      </c>
    </row>
    <row r="218">
      <c r="A218" s="6" t="str">
        <f t="shared" si="1"/>
        <v>Fundos de Renda variável | FIIs | Quasar Agro</v>
      </c>
      <c r="B218" s="22" t="s">
        <v>4331</v>
      </c>
      <c r="C218" s="22" t="s">
        <v>566</v>
      </c>
      <c r="D218" s="22" t="s">
        <v>3442</v>
      </c>
      <c r="E218" s="22" t="s">
        <v>4332</v>
      </c>
      <c r="F218"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v>
      </c>
      <c r="G218" s="44" t="s">
        <v>4333</v>
      </c>
      <c r="H218" s="44" t="s">
        <v>4334</v>
      </c>
      <c r="I218" s="6" t="str">
        <f t="shared" si="2"/>
        <v>(QAGR11)</v>
      </c>
    </row>
    <row r="219">
      <c r="A219" s="6" t="str">
        <f t="shared" si="1"/>
        <v>Fundos de Renda variável | FIIs | Quatá Imob</v>
      </c>
      <c r="B219" s="22" t="s">
        <v>4335</v>
      </c>
      <c r="C219" s="22" t="s">
        <v>3430</v>
      </c>
      <c r="D219" s="22" t="s">
        <v>3431</v>
      </c>
      <c r="E219" s="22" t="s">
        <v>4336</v>
      </c>
      <c r="F219"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v>
      </c>
      <c r="G219" s="44" t="s">
        <v>4337</v>
      </c>
      <c r="H219" s="44" t="s">
        <v>4338</v>
      </c>
      <c r="I219" s="6" t="str">
        <f t="shared" si="2"/>
        <v>(QMFF11)</v>
      </c>
    </row>
    <row r="220">
      <c r="A220" s="6" t="str">
        <f t="shared" si="1"/>
        <v>Fundos de Renda variável | FIIs | Quasar Crédito Imobiliário</v>
      </c>
      <c r="B220" s="22" t="s">
        <v>4339</v>
      </c>
      <c r="C220" s="22" t="s">
        <v>3424</v>
      </c>
      <c r="D220" s="22" t="s">
        <v>4070</v>
      </c>
      <c r="E220" s="22" t="s">
        <v>4340</v>
      </c>
      <c r="F220"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v>
      </c>
      <c r="G220" s="44" t="s">
        <v>4341</v>
      </c>
      <c r="H220" s="44" t="s">
        <v>4342</v>
      </c>
      <c r="I220" s="6" t="str">
        <f t="shared" si="2"/>
        <v>(QREC11)</v>
      </c>
    </row>
    <row r="221">
      <c r="A221" s="6" t="str">
        <f t="shared" si="1"/>
        <v>Fundos de Renda variável | FIIs | RB Capital Agre</v>
      </c>
      <c r="B221" s="22" t="s">
        <v>4343</v>
      </c>
      <c r="C221" s="22" t="s">
        <v>3603</v>
      </c>
      <c r="D221" s="22" t="s">
        <v>4344</v>
      </c>
      <c r="E221" s="22" t="s">
        <v>4345</v>
      </c>
      <c r="F221"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v>
      </c>
      <c r="G221" s="44" t="s">
        <v>4346</v>
      </c>
      <c r="H221" s="44" t="s">
        <v>4347</v>
      </c>
      <c r="I221" s="6" t="str">
        <f t="shared" si="2"/>
        <v>(RBAG11)</v>
      </c>
    </row>
    <row r="222">
      <c r="A222" s="6" t="str">
        <f t="shared" si="1"/>
        <v>Fundos de Renda variável | FIIs | JHSF Rio Bravo Fazenda Boa Vista</v>
      </c>
      <c r="B222" s="45" t="s">
        <v>4348</v>
      </c>
      <c r="C222" s="22" t="s">
        <v>3457</v>
      </c>
      <c r="D222" s="22" t="s">
        <v>3671</v>
      </c>
      <c r="E222" s="22" t="s">
        <v>4349</v>
      </c>
      <c r="F222"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v>
      </c>
      <c r="G222" s="44" t="s">
        <v>4350</v>
      </c>
      <c r="H222" s="44" t="s">
        <v>4351</v>
      </c>
      <c r="I222" s="6" t="str">
        <f t="shared" si="2"/>
        <v>(RBBV11)</v>
      </c>
    </row>
    <row r="223">
      <c r="A223" s="6" t="str">
        <f t="shared" si="1"/>
        <v>Fundos de Renda variável | FIIs | Rio Bravo Crédito Imobiliário I</v>
      </c>
      <c r="B223" s="22" t="s">
        <v>4352</v>
      </c>
      <c r="C223" s="22" t="s">
        <v>3424</v>
      </c>
      <c r="D223" s="22" t="s">
        <v>3419</v>
      </c>
      <c r="E223" s="22" t="s">
        <v>4353</v>
      </c>
      <c r="F223"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v>
      </c>
      <c r="G223" s="44" t="s">
        <v>4354</v>
      </c>
      <c r="H223" s="44" t="s">
        <v>4355</v>
      </c>
      <c r="I223" s="6" t="str">
        <f t="shared" si="2"/>
        <v>(RBCB11)</v>
      </c>
    </row>
    <row r="224">
      <c r="A224" s="6" t="str">
        <f t="shared" si="1"/>
        <v>Fundos de Renda variável | FIIs | RB Capital Office Income</v>
      </c>
      <c r="B224" s="22" t="s">
        <v>4356</v>
      </c>
      <c r="C224" s="22" t="s">
        <v>3436</v>
      </c>
      <c r="D224" s="22" t="s">
        <v>3431</v>
      </c>
      <c r="E224" s="22" t="s">
        <v>4357</v>
      </c>
      <c r="F224"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v>
      </c>
      <c r="G224" s="44" t="s">
        <v>4358</v>
      </c>
      <c r="H224" s="44" t="s">
        <v>4359</v>
      </c>
      <c r="I224" s="6" t="str">
        <f t="shared" si="2"/>
        <v>(RBCO11)</v>
      </c>
    </row>
    <row r="225">
      <c r="A225" s="6" t="str">
        <f t="shared" si="1"/>
        <v>Fundos de Renda variável | FIIs | RB Capital Desenvolvimento Residencial II</v>
      </c>
      <c r="B225" s="22" t="s">
        <v>4360</v>
      </c>
      <c r="C225" s="22" t="s">
        <v>3603</v>
      </c>
      <c r="D225" s="22" t="s">
        <v>3473</v>
      </c>
      <c r="E225" s="22" t="s">
        <v>4361</v>
      </c>
      <c r="F225"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v>
      </c>
      <c r="G225" s="44" t="s">
        <v>4362</v>
      </c>
      <c r="H225" s="44" t="s">
        <v>4363</v>
      </c>
      <c r="I225" s="6" t="str">
        <f t="shared" si="2"/>
        <v>(RBDS11)</v>
      </c>
    </row>
    <row r="226">
      <c r="A226" s="6" t="str">
        <f t="shared" si="1"/>
        <v>Fundos de Renda variável | FIIs | Rio Bravo Renda Educacional</v>
      </c>
      <c r="B226" s="22" t="s">
        <v>4364</v>
      </c>
      <c r="C226" s="22" t="s">
        <v>3765</v>
      </c>
      <c r="D226" s="22" t="s">
        <v>3419</v>
      </c>
      <c r="E226" s="22" t="s">
        <v>4365</v>
      </c>
      <c r="F226"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v>
      </c>
      <c r="G226" s="44" t="s">
        <v>4366</v>
      </c>
      <c r="H226" s="44" t="s">
        <v>4367</v>
      </c>
      <c r="I226" s="6" t="str">
        <f t="shared" si="2"/>
        <v>(RBED11)</v>
      </c>
    </row>
    <row r="227">
      <c r="A227" s="6" t="str">
        <f t="shared" si="1"/>
        <v>Fundos de Renda variável | FIIs | Rio Bravo IFIX</v>
      </c>
      <c r="B227" s="22" t="s">
        <v>4368</v>
      </c>
      <c r="C227" s="22" t="s">
        <v>3430</v>
      </c>
      <c r="D227" s="22" t="s">
        <v>3431</v>
      </c>
      <c r="E227" s="22" t="s">
        <v>4369</v>
      </c>
      <c r="F227"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v>
      </c>
      <c r="G227" s="44" t="s">
        <v>4370</v>
      </c>
      <c r="H227" s="44" t="s">
        <v>4371</v>
      </c>
      <c r="I227" s="6" t="str">
        <f t="shared" si="2"/>
        <v>(RBFF11)</v>
      </c>
    </row>
    <row r="228">
      <c r="A228" s="6" t="str">
        <f t="shared" si="1"/>
        <v>Fundos de Renda variável | FIIs | RB Capital General Shopping Sulacap</v>
      </c>
      <c r="B228" s="22" t="s">
        <v>4372</v>
      </c>
      <c r="C228" s="22" t="s">
        <v>3418</v>
      </c>
      <c r="D228" s="22" t="s">
        <v>3473</v>
      </c>
      <c r="E228" s="22" t="s">
        <v>4373</v>
      </c>
      <c r="F228"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v>
      </c>
      <c r="G228" s="44" t="s">
        <v>4374</v>
      </c>
      <c r="H228" s="44" t="s">
        <v>4375</v>
      </c>
      <c r="I228" s="6" t="str">
        <f t="shared" si="2"/>
        <v>(RBGS11)</v>
      </c>
    </row>
    <row r="229">
      <c r="A229" s="6" t="str">
        <f t="shared" si="1"/>
        <v>Fundos de Renda variável | FIIs | RB Capital Desenvolvimento Residencial IV</v>
      </c>
      <c r="B229" s="22" t="s">
        <v>4376</v>
      </c>
      <c r="C229" s="22" t="s">
        <v>3603</v>
      </c>
      <c r="D229" s="22" t="s">
        <v>3473</v>
      </c>
      <c r="E229" s="22" t="s">
        <v>4377</v>
      </c>
      <c r="F229"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v>
      </c>
      <c r="G229" s="44" t="s">
        <v>4378</v>
      </c>
      <c r="H229" s="44" t="s">
        <v>4379</v>
      </c>
      <c r="I229" s="6" t="str">
        <f t="shared" si="2"/>
        <v>(RBIR11)</v>
      </c>
    </row>
    <row r="230">
      <c r="A230" s="6" t="str">
        <f t="shared" si="1"/>
        <v>Fundos de Renda variável | FIIs | Rio Bravo Crédito Imobiliário IV</v>
      </c>
      <c r="B230" s="22" t="s">
        <v>4380</v>
      </c>
      <c r="C230" s="22" t="s">
        <v>3424</v>
      </c>
      <c r="D230" s="22" t="s">
        <v>3419</v>
      </c>
      <c r="E230" s="22" t="s">
        <v>4381</v>
      </c>
      <c r="F230"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v>
      </c>
      <c r="G230" s="44" t="s">
        <v>4382</v>
      </c>
      <c r="H230" s="44" t="s">
        <v>4383</v>
      </c>
      <c r="I230" s="6" t="str">
        <f t="shared" si="2"/>
        <v>(RBIV11)</v>
      </c>
    </row>
    <row r="231">
      <c r="A231" s="6" t="str">
        <f t="shared" si="1"/>
        <v>Fundos de Renda variável | FIIs | RB Capital Logístico</v>
      </c>
      <c r="B231" s="22" t="s">
        <v>4384</v>
      </c>
      <c r="C231" s="22" t="s">
        <v>3463</v>
      </c>
      <c r="D231" s="22" t="s">
        <v>3442</v>
      </c>
      <c r="E231" s="22" t="s">
        <v>4385</v>
      </c>
      <c r="F231"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v>
      </c>
      <c r="G231" s="44" t="s">
        <v>4386</v>
      </c>
      <c r="H231" s="44" t="s">
        <v>4387</v>
      </c>
      <c r="I231" s="6" t="str">
        <f t="shared" si="2"/>
        <v>(RBLG11)</v>
      </c>
    </row>
    <row r="232">
      <c r="A232" s="6" t="str">
        <f t="shared" si="1"/>
        <v>Fundos de Renda variável | FIIs | RB Capital Prime Realty II</v>
      </c>
      <c r="B232" s="22" t="s">
        <v>4388</v>
      </c>
      <c r="C232" s="22" t="s">
        <v>3424</v>
      </c>
      <c r="D232" s="22" t="s">
        <v>4344</v>
      </c>
      <c r="E232" s="22" t="s">
        <v>4389</v>
      </c>
      <c r="F232"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v>
      </c>
      <c r="G232" s="44" t="s">
        <v>4390</v>
      </c>
      <c r="H232" s="44" t="s">
        <v>4391</v>
      </c>
      <c r="I232" s="6" t="str">
        <f t="shared" si="2"/>
        <v>(RBPD11)</v>
      </c>
    </row>
    <row r="233">
      <c r="A233" s="6" t="str">
        <f t="shared" si="1"/>
        <v>Fundos de Renda variável | FIIs | RB Capital Prime Realty I</v>
      </c>
      <c r="B233" s="22" t="s">
        <v>4392</v>
      </c>
      <c r="C233" s="22" t="s">
        <v>3603</v>
      </c>
      <c r="D233" s="22" t="s">
        <v>4344</v>
      </c>
      <c r="E233" s="22" t="s">
        <v>4393</v>
      </c>
      <c r="F233"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v>
      </c>
      <c r="G233" s="44" t="s">
        <v>4394</v>
      </c>
      <c r="H233" s="44" t="s">
        <v>4395</v>
      </c>
      <c r="I233" s="6" t="str">
        <f t="shared" si="2"/>
        <v>(RBPR11)</v>
      </c>
    </row>
    <row r="234">
      <c r="A234" s="6" t="str">
        <f t="shared" si="1"/>
        <v>Fundos de Renda variável | FIIs | RB Capital Renda II</v>
      </c>
      <c r="B234" s="22" t="s">
        <v>4396</v>
      </c>
      <c r="C234" s="22" t="s">
        <v>3436</v>
      </c>
      <c r="D234" s="22" t="s">
        <v>3503</v>
      </c>
      <c r="E234" s="22" t="s">
        <v>4397</v>
      </c>
      <c r="F234"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v>
      </c>
      <c r="G234" s="44" t="s">
        <v>4398</v>
      </c>
      <c r="H234" s="44" t="s">
        <v>4399</v>
      </c>
      <c r="I234" s="6" t="str">
        <f t="shared" si="2"/>
        <v>(RBRD11)</v>
      </c>
    </row>
    <row r="235">
      <c r="A235" s="6" t="str">
        <f t="shared" si="1"/>
        <v>Fundos de Renda variável | FIIs | RBR Alpha Multiestratégia Real Estate</v>
      </c>
      <c r="B235" s="22" t="s">
        <v>4400</v>
      </c>
      <c r="C235" s="22" t="s">
        <v>3430</v>
      </c>
      <c r="D235" s="22" t="s">
        <v>3442</v>
      </c>
      <c r="E235" s="22" t="s">
        <v>4401</v>
      </c>
      <c r="F235"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 OR RBRL11</v>
      </c>
      <c r="G235" s="44" t="s">
        <v>4402</v>
      </c>
      <c r="H235" s="44" t="s">
        <v>4403</v>
      </c>
      <c r="I235" s="6" t="str">
        <f t="shared" si="2"/>
        <v>(RBRF11)</v>
      </c>
    </row>
    <row r="236">
      <c r="A236" s="6" t="str">
        <f t="shared" si="1"/>
        <v>Fundos de Renda variável | FIIs | RBR LOG</v>
      </c>
      <c r="B236" s="22" t="s">
        <v>4404</v>
      </c>
      <c r="C236" s="22" t="s">
        <v>3463</v>
      </c>
      <c r="D236" s="22" t="s">
        <v>3431</v>
      </c>
      <c r="E236" s="22" t="s">
        <v>4405</v>
      </c>
      <c r="F236"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 OR RBRL11 OR RBRM11</v>
      </c>
      <c r="G236" s="44" t="s">
        <v>4406</v>
      </c>
      <c r="H236" s="44" t="s">
        <v>4407</v>
      </c>
      <c r="I236" s="6" t="str">
        <f t="shared" si="2"/>
        <v>(RBRL11)</v>
      </c>
    </row>
    <row r="237">
      <c r="A237" s="6" t="str">
        <f t="shared" si="1"/>
        <v>Fundos de Renda variável | FIIs | RBR Desenvolvimento</v>
      </c>
      <c r="B237" s="22" t="s">
        <v>4408</v>
      </c>
      <c r="C237" s="22" t="s">
        <v>3457</v>
      </c>
      <c r="D237" s="22" t="s">
        <v>3442</v>
      </c>
      <c r="E237" s="22" t="s">
        <v>4409</v>
      </c>
      <c r="F237"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 OR RBRL11 OR RBRM11 OR RBRP11</v>
      </c>
      <c r="G237" s="44" t="s">
        <v>4410</v>
      </c>
      <c r="H237" s="44" t="s">
        <v>4411</v>
      </c>
      <c r="I237" s="6" t="str">
        <f t="shared" si="2"/>
        <v>(RBRM11)</v>
      </c>
    </row>
    <row r="238">
      <c r="A238" s="6" t="str">
        <f t="shared" si="1"/>
        <v>Fundos de Renda variável | FIIs | RBR Properties FII</v>
      </c>
      <c r="B238" s="22" t="s">
        <v>4412</v>
      </c>
      <c r="C238" s="22" t="s">
        <v>3447</v>
      </c>
      <c r="D238" s="22" t="s">
        <v>3431</v>
      </c>
      <c r="E238" s="22" t="s">
        <v>4413</v>
      </c>
      <c r="F238"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 OR RBRL11 OR RBRM11 OR RBRP11 OR RBRR11</v>
      </c>
      <c r="G238" s="44" t="s">
        <v>4414</v>
      </c>
      <c r="H238" s="44" t="s">
        <v>4415</v>
      </c>
      <c r="I238" s="6" t="str">
        <f t="shared" si="2"/>
        <v>(RBRP11)</v>
      </c>
    </row>
    <row r="239">
      <c r="A239" s="6" t="str">
        <f t="shared" si="1"/>
        <v>Fundos de Renda variável | FIIs | RBR Rendimentos High Grade</v>
      </c>
      <c r="B239" s="22" t="s">
        <v>4416</v>
      </c>
      <c r="C239" s="22" t="s">
        <v>3424</v>
      </c>
      <c r="D239" s="22" t="s">
        <v>3442</v>
      </c>
      <c r="E239" s="22" t="s">
        <v>4417</v>
      </c>
      <c r="F239"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 OR RBRL11 OR RBRM11 OR RBRP11 OR RBRR11 OR RBRS11</v>
      </c>
      <c r="G239" s="44" t="s">
        <v>4418</v>
      </c>
      <c r="H239" s="44" t="s">
        <v>4419</v>
      </c>
      <c r="I239" s="6" t="str">
        <f t="shared" si="2"/>
        <v>(RBRR11)</v>
      </c>
    </row>
    <row r="240">
      <c r="A240" s="6" t="str">
        <f t="shared" si="1"/>
        <v>Fundos de Renda variável | FIIs | Rio Bravo Renda Residencial</v>
      </c>
      <c r="B240" s="22" t="s">
        <v>4420</v>
      </c>
      <c r="C240" s="22" t="s">
        <v>3603</v>
      </c>
      <c r="D240" s="22" t="s">
        <v>3419</v>
      </c>
      <c r="E240" s="22" t="s">
        <v>4421</v>
      </c>
      <c r="F240"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 OR RBRL11 OR RBRM11 OR RBRP11 OR RBRR11 OR RBRS11 OR RBRY11</v>
      </c>
      <c r="G240" s="44" t="s">
        <v>4422</v>
      </c>
      <c r="H240" s="44" t="s">
        <v>4423</v>
      </c>
      <c r="I240" s="6" t="str">
        <f t="shared" si="2"/>
        <v>(RBRS11)</v>
      </c>
    </row>
    <row r="241">
      <c r="A241" s="6" t="str">
        <f t="shared" si="1"/>
        <v>Fundos de Renda variável | FIIs | RBR Crédito Imobiliário High Yield</v>
      </c>
      <c r="B241" s="22" t="s">
        <v>4424</v>
      </c>
      <c r="C241" s="22" t="s">
        <v>3424</v>
      </c>
      <c r="D241" s="22" t="s">
        <v>3442</v>
      </c>
      <c r="E241" s="22" t="s">
        <v>4425</v>
      </c>
      <c r="F241"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 OR RBRL11 OR RBRM11 OR RBRP11 OR RBRR11 OR RBRS11 OR RBRY11 OR RBTS11</v>
      </c>
      <c r="G241" s="44" t="s">
        <v>4426</v>
      </c>
      <c r="H241" s="44" t="s">
        <v>4427</v>
      </c>
      <c r="I241" s="6" t="str">
        <f t="shared" si="2"/>
        <v>(RBRY11)</v>
      </c>
    </row>
    <row r="242">
      <c r="A242" s="6" t="str">
        <f t="shared" si="1"/>
        <v>Fundos de Renda variável | FIIs | RB Capital TFO Situs</v>
      </c>
      <c r="B242" s="22" t="s">
        <v>4428</v>
      </c>
      <c r="C242" s="22" t="s">
        <v>3457</v>
      </c>
      <c r="D242" s="22" t="s">
        <v>3473</v>
      </c>
      <c r="E242" s="22" t="s">
        <v>4429</v>
      </c>
      <c r="F242"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 OR RBRL11 OR RBRM11 OR RBRP11 OR RBRR11 OR RBRS11 OR RBRY11 OR RBTS11 OR RBVA11</v>
      </c>
      <c r="G242" s="44" t="s">
        <v>4430</v>
      </c>
      <c r="H242" s="44" t="s">
        <v>4431</v>
      </c>
      <c r="I242" s="6" t="str">
        <f t="shared" si="2"/>
        <v>(RBTS11)</v>
      </c>
    </row>
    <row r="243">
      <c r="A243" s="6" t="str">
        <f t="shared" si="1"/>
        <v>Fundos de Renda variável | FIIs | Rio Bravo Renda Varejo</v>
      </c>
      <c r="B243" s="22" t="s">
        <v>4432</v>
      </c>
      <c r="C243" s="22" t="s">
        <v>3447</v>
      </c>
      <c r="D243" s="22" t="s">
        <v>3419</v>
      </c>
      <c r="E243" s="22" t="s">
        <v>4433</v>
      </c>
      <c r="F243"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 OR RBRL11 OR RBRM11 OR RBRP11 OR RBRR11 OR RBRS11 OR RBRY11 OR RBTS11 OR RBVA11 OR RBVO11</v>
      </c>
      <c r="G243" s="44" t="s">
        <v>4434</v>
      </c>
      <c r="H243" s="44" t="s">
        <v>4435</v>
      </c>
      <c r="I243" s="6" t="str">
        <f t="shared" si="2"/>
        <v>(RBVA11)</v>
      </c>
    </row>
    <row r="244">
      <c r="A244" s="6" t="str">
        <f t="shared" si="1"/>
        <v>Fundos de Renda variável | FIIs | Rio Bravo Crédito Imobiliário II</v>
      </c>
      <c r="B244" s="22" t="s">
        <v>4436</v>
      </c>
      <c r="C244" s="22" t="s">
        <v>3424</v>
      </c>
      <c r="D244" s="22" t="s">
        <v>3419</v>
      </c>
      <c r="E244" s="22" t="s">
        <v>4437</v>
      </c>
      <c r="F244"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 OR RBRL11 OR RBRM11 OR RBRP11 OR RBRR11 OR RBRS11 OR RBRY11 OR RBTS11 OR RBVA11 OR RBVO11 OR RCCS11</v>
      </c>
      <c r="G244" s="44" t="s">
        <v>4438</v>
      </c>
      <c r="H244" s="44" t="s">
        <v>4439</v>
      </c>
      <c r="I244" s="6" t="str">
        <f t="shared" si="2"/>
        <v>(RBVO11)</v>
      </c>
    </row>
    <row r="245">
      <c r="A245" s="6" t="str">
        <f t="shared" si="1"/>
        <v>Fundos de Renda variável | FIIs | REP 1 CCS</v>
      </c>
      <c r="B245" s="22" t="s">
        <v>4440</v>
      </c>
      <c r="C245" s="22" t="s">
        <v>3418</v>
      </c>
      <c r="D245" s="22" t="s">
        <v>3642</v>
      </c>
      <c r="E245" s="22" t="s">
        <v>4441</v>
      </c>
      <c r="F245"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 OR RBRL11 OR RBRM11 OR RBRP11 OR RBRR11 OR RBRS11 OR RBRY11 OR RBTS11 OR RBVA11 OR RBVO11 OR RCCS11 OR RCFA11</v>
      </c>
      <c r="G245" s="44" t="s">
        <v>4442</v>
      </c>
      <c r="H245" s="44" t="s">
        <v>4443</v>
      </c>
      <c r="I245" s="6" t="str">
        <f t="shared" si="2"/>
        <v>(RCCS11)</v>
      </c>
    </row>
    <row r="246">
      <c r="A246" s="6" t="str">
        <f t="shared" si="1"/>
        <v>Fundos de Renda variável | FIIs | Grupo RCFA</v>
      </c>
      <c r="B246" s="22" t="s">
        <v>4444</v>
      </c>
      <c r="C246" s="22" t="s">
        <v>3457</v>
      </c>
      <c r="D246" s="22" t="s">
        <v>4445</v>
      </c>
      <c r="E246" s="22" t="s">
        <v>4446</v>
      </c>
      <c r="F246"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 OR RBRL11 OR RBRM11 OR RBRP11 OR RBRR11 OR RBRS11 OR RBRY11 OR RBTS11 OR RBVA11 OR RBVO11 OR RCCS11 OR RCFA11 OR RCFF11</v>
      </c>
      <c r="G246" s="44" t="s">
        <v>4447</v>
      </c>
      <c r="H246" s="44" t="s">
        <v>4448</v>
      </c>
      <c r="I246" s="6" t="str">
        <f t="shared" si="2"/>
        <v>(RCFA11)</v>
      </c>
    </row>
    <row r="247">
      <c r="A247" s="6" t="str">
        <f t="shared" si="1"/>
        <v>Fundos de Renda variável | FIIs | RBR Desenvolvimento Comercial Feeder FOF</v>
      </c>
      <c r="B247" s="22" t="s">
        <v>4449</v>
      </c>
      <c r="C247" s="22" t="s">
        <v>3430</v>
      </c>
      <c r="D247" s="22" t="s">
        <v>3431</v>
      </c>
      <c r="E247" s="22" t="s">
        <v>4450</v>
      </c>
      <c r="F247"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 OR RBRL11 OR RBRM11 OR RBRP11 OR RBRR11 OR RBRS11 OR RBRY11 OR RBTS11 OR RBVA11 OR RBVO11 OR RCCS11 OR RCFA11 OR RCFF11 OR RCRB11</v>
      </c>
      <c r="G247" s="44" t="s">
        <v>4451</v>
      </c>
      <c r="H247" s="44" t="s">
        <v>4452</v>
      </c>
      <c r="I247" s="6" t="str">
        <f t="shared" si="2"/>
        <v>(RCFF11)</v>
      </c>
    </row>
    <row r="248">
      <c r="A248" s="6" t="str">
        <f t="shared" si="1"/>
        <v>Fundos de Renda variável | FIIs | Rio Bravo Renda Corporativa</v>
      </c>
      <c r="B248" s="22" t="s">
        <v>4453</v>
      </c>
      <c r="C248" s="22" t="s">
        <v>3436</v>
      </c>
      <c r="D248" s="22" t="s">
        <v>3419</v>
      </c>
      <c r="E248" s="22" t="s">
        <v>4454</v>
      </c>
      <c r="F248"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 OR RBRL11 OR RBRM11 OR RBRP11 OR RBRR11 OR RBRS11 OR RBRY11 OR RBTS11 OR RBVA11 OR RBVO11 OR RCCS11 OR RCFA11 OR RCFF11 OR RCRB11 OR RCRI11</v>
      </c>
      <c r="G248" s="44" t="s">
        <v>4455</v>
      </c>
      <c r="H248" s="44" t="s">
        <v>4456</v>
      </c>
      <c r="I248" s="6" t="str">
        <f t="shared" si="2"/>
        <v>(RCRB11)</v>
      </c>
    </row>
    <row r="249">
      <c r="A249" s="6" t="str">
        <f t="shared" si="1"/>
        <v>Fundos de Renda variável | FIIs | RB Capital Rendimentos</v>
      </c>
      <c r="B249" s="22" t="s">
        <v>4457</v>
      </c>
      <c r="C249" s="22" t="s">
        <v>3424</v>
      </c>
      <c r="D249" s="22" t="s">
        <v>3473</v>
      </c>
      <c r="E249" s="22" t="s">
        <v>4458</v>
      </c>
      <c r="F249"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 OR RBRL11 OR RBRM11 OR RBRP11 OR RBRR11 OR RBRS11 OR RBRY11 OR RBTS11 OR RBVA11 OR RBVO11 OR RCCS11 OR RCFA11 OR RCFF11 OR RCRB11 OR RCRI11 OR RDPD11</v>
      </c>
      <c r="G249" s="44" t="s">
        <v>4459</v>
      </c>
      <c r="H249" s="44" t="s">
        <v>4460</v>
      </c>
      <c r="I249" s="6" t="str">
        <f t="shared" si="2"/>
        <v>(RCRI11)</v>
      </c>
    </row>
    <row r="250">
      <c r="A250" s="6" t="str">
        <f t="shared" si="1"/>
        <v>Fundos de Renda variável | FIIs | Fundo BB Renda de Papéis II</v>
      </c>
      <c r="B250" s="22" t="s">
        <v>4461</v>
      </c>
      <c r="C250" s="22" t="s">
        <v>3424</v>
      </c>
      <c r="D250" s="22" t="s">
        <v>3503</v>
      </c>
      <c r="E250" s="22" t="s">
        <v>4462</v>
      </c>
      <c r="F250"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 OR RBRL11 OR RBRM11 OR RBRP11 OR RBRR11 OR RBRS11 OR RBRY11 OR RBTS11 OR RBVA11 OR RBVO11 OR RCCS11 OR RCFA11 OR RCFF11 OR RCRB11 OR RCRI11 OR RDPD11 OR RECH11</v>
      </c>
      <c r="G250" s="44" t="s">
        <v>4463</v>
      </c>
      <c r="H250" s="44" t="s">
        <v>4464</v>
      </c>
      <c r="I250" s="6" t="str">
        <f t="shared" si="2"/>
        <v>(RDPD11)</v>
      </c>
    </row>
    <row r="251">
      <c r="A251" s="6" t="str">
        <f t="shared" si="1"/>
        <v>Fundos de Renda variável | FIIs | REC Hotelaria</v>
      </c>
      <c r="B251" s="22" t="s">
        <v>4465</v>
      </c>
      <c r="C251" s="22" t="s">
        <v>3478</v>
      </c>
      <c r="D251" s="22" t="s">
        <v>3442</v>
      </c>
      <c r="E251" s="22" t="s">
        <v>4466</v>
      </c>
      <c r="F251"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 OR RBRL11 OR RBRM11 OR RBRP11 OR RBRR11 OR RBRS11 OR RBRY11 OR RBTS11 OR RBVA11 OR RBVO11 OR RCCS11 OR RCFA11 OR RCFF11 OR RCRB11 OR RCRI11 OR RDPD11 OR RECH11 OR RECR11</v>
      </c>
      <c r="G251" s="44" t="s">
        <v>4467</v>
      </c>
      <c r="H251" s="44" t="s">
        <v>4468</v>
      </c>
      <c r="I251" s="6" t="str">
        <f t="shared" si="2"/>
        <v>(RECH11)</v>
      </c>
    </row>
    <row r="252">
      <c r="A252" s="6" t="str">
        <f t="shared" si="1"/>
        <v>Fundos de Renda variável | FIIs | REC Recebíveis Imobiliários</v>
      </c>
      <c r="B252" s="22" t="s">
        <v>4469</v>
      </c>
      <c r="C252" s="22" t="s">
        <v>3424</v>
      </c>
      <c r="D252" s="22" t="s">
        <v>3431</v>
      </c>
      <c r="E252" s="22" t="s">
        <v>4470</v>
      </c>
      <c r="F252"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 OR RBRL11 OR RBRM11 OR RBRP11 OR RBRR11 OR RBRS11 OR RBRY11 OR RBTS11 OR RBVA11 OR RBVO11 OR RCCS11 OR RCFA11 OR RCFF11 OR RCRB11 OR RCRI11 OR RDPD11 OR RECH11 OR RECR11 OR RECT11</v>
      </c>
      <c r="G252" s="44" t="s">
        <v>4471</v>
      </c>
      <c r="H252" s="44" t="s">
        <v>4472</v>
      </c>
      <c r="I252" s="6" t="str">
        <f t="shared" si="2"/>
        <v>(RECR11)</v>
      </c>
    </row>
    <row r="253">
      <c r="A253" s="6" t="str">
        <f t="shared" si="1"/>
        <v>Fundos de Renda variável | FIIs | REC Renda Imobiliária</v>
      </c>
      <c r="B253" s="22" t="s">
        <v>4473</v>
      </c>
      <c r="C253" s="22" t="s">
        <v>3436</v>
      </c>
      <c r="D253" s="22" t="s">
        <v>3431</v>
      </c>
      <c r="E253" s="22" t="s">
        <v>4474</v>
      </c>
      <c r="F253"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 OR RBRL11 OR RBRM11 OR RBRP11 OR RBRR11 OR RBRS11 OR RBRY11 OR RBTS11 OR RBVA11 OR RBVO11 OR RCCS11 OR RCFA11 OR RCFF11 OR RCRB11 OR RCRI11 OR RDPD11 OR RECH11 OR RECR11 OR RECT11 OR REIT11</v>
      </c>
      <c r="G253" s="44" t="s">
        <v>4475</v>
      </c>
      <c r="H253" s="44" t="s">
        <v>4476</v>
      </c>
      <c r="I253" s="6" t="str">
        <f t="shared" si="2"/>
        <v>(RECT11)</v>
      </c>
    </row>
    <row r="254">
      <c r="A254" s="6" t="str">
        <f t="shared" si="1"/>
        <v>Fundos de Renda variável | FIIs | SOCOPA FII</v>
      </c>
      <c r="B254" s="22" t="s">
        <v>4477</v>
      </c>
      <c r="C254" s="22" t="s">
        <v>3424</v>
      </c>
      <c r="D254" s="22" t="s">
        <v>3713</v>
      </c>
      <c r="E254" s="22" t="s">
        <v>4478</v>
      </c>
      <c r="F254"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 OR RBRL11 OR RBRM11 OR RBRP11 OR RBRR11 OR RBRS11 OR RBRY11 OR RBTS11 OR RBVA11 OR RBVO11 OR RCCS11 OR RCFA11 OR RCFF11 OR RCRB11 OR RCRI11 OR RDPD11 OR RECH11 OR RECR11 OR RECT11 OR REIT11 OR RELG11</v>
      </c>
      <c r="G254" s="44" t="s">
        <v>4479</v>
      </c>
      <c r="H254" s="44" t="s">
        <v>4480</v>
      </c>
      <c r="I254" s="6" t="str">
        <f t="shared" si="2"/>
        <v>(REIT11)</v>
      </c>
    </row>
    <row r="255">
      <c r="A255" s="6" t="str">
        <f t="shared" si="1"/>
        <v>Fundos de Renda variável | FIIs | REC Logística</v>
      </c>
      <c r="B255" s="22" t="s">
        <v>4481</v>
      </c>
      <c r="C255" s="22" t="s">
        <v>3463</v>
      </c>
      <c r="D255" s="22" t="s">
        <v>3431</v>
      </c>
      <c r="E255" s="22" t="s">
        <v>4482</v>
      </c>
      <c r="F255"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 OR RBRL11 OR RBRM11 OR RBRP11 OR RBRR11 OR RBRS11 OR RBRY11 OR RBTS11 OR RBVA11 OR RBVO11 OR RCCS11 OR RCFA11 OR RCFF11 OR RCRB11 OR RCRI11 OR RDPD11 OR RECH11 OR RECR11 OR RECT11 OR REIT11 OR RELG11 OR RFOF11</v>
      </c>
      <c r="G255" s="44" t="s">
        <v>4483</v>
      </c>
      <c r="H255" s="44" t="s">
        <v>4484</v>
      </c>
      <c r="I255" s="6" t="str">
        <f t="shared" si="2"/>
        <v>(RELG11)</v>
      </c>
    </row>
    <row r="256">
      <c r="A256" s="6" t="str">
        <f t="shared" si="1"/>
        <v>Fundos de Renda variável | FIIs | RB Capital I Fundo de Fundos</v>
      </c>
      <c r="B256" s="22" t="s">
        <v>4485</v>
      </c>
      <c r="C256" s="22" t="s">
        <v>3430</v>
      </c>
      <c r="D256" s="22" t="s">
        <v>3431</v>
      </c>
      <c r="E256" s="22" t="s">
        <v>4486</v>
      </c>
      <c r="F256"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 OR RBRL11 OR RBRM11 OR RBRP11 OR RBRR11 OR RBRS11 OR RBRY11 OR RBTS11 OR RBVA11 OR RBVO11 OR RCCS11 OR RCFA11 OR RCFF11 OR RCRB11 OR RCRI11 OR RDPD11 OR RECH11 OR RECR11 OR RECT11 OR REIT11 OR RELG11 OR RFOF11 OR RMAI11</v>
      </c>
      <c r="G256" s="44" t="s">
        <v>4487</v>
      </c>
      <c r="H256" s="44" t="s">
        <v>4488</v>
      </c>
      <c r="I256" s="6" t="str">
        <f t="shared" si="2"/>
        <v>(RFOF11)</v>
      </c>
    </row>
    <row r="257">
      <c r="A257" s="6" t="str">
        <f t="shared" si="1"/>
        <v>Fundos de Renda variável | FIIs | REAG Renda Imobiliária</v>
      </c>
      <c r="B257" s="22" t="s">
        <v>4489</v>
      </c>
      <c r="C257" s="22" t="s">
        <v>3436</v>
      </c>
      <c r="D257" s="22" t="s">
        <v>3731</v>
      </c>
      <c r="E257" s="22" t="s">
        <v>4490</v>
      </c>
      <c r="F257"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 OR RBRL11 OR RBRM11 OR RBRP11 OR RBRR11 OR RBRS11 OR RBRY11 OR RBTS11 OR RBVA11 OR RBVO11 OR RCCS11 OR RCFA11 OR RCFF11 OR RCRB11 OR RCRI11 OR RDPD11 OR RECH11 OR RECR11 OR RECT11 OR REIT11 OR RELG11 OR RFOF11 OR RMAI11 OR RNDP11</v>
      </c>
      <c r="G257" s="44" t="s">
        <v>4491</v>
      </c>
      <c r="H257" s="44" t="s">
        <v>4492</v>
      </c>
      <c r="I257" s="6" t="str">
        <f t="shared" si="2"/>
        <v>(RMAI11)</v>
      </c>
    </row>
    <row r="258">
      <c r="A258" s="6" t="str">
        <f t="shared" si="1"/>
        <v>Fundos de Renda variável | FIIs | Fundo BB Renda de Papéis</v>
      </c>
      <c r="B258" s="22" t="s">
        <v>4493</v>
      </c>
      <c r="C258" s="22" t="s">
        <v>3424</v>
      </c>
      <c r="D258" s="22" t="s">
        <v>3503</v>
      </c>
      <c r="E258" s="22" t="s">
        <v>4494</v>
      </c>
      <c r="F258"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 OR RBRL11 OR RBRM11 OR RBRP11 OR RBRR11 OR RBRS11 OR RBRY11 OR RBTS11 OR RBVA11 OR RBVO11 OR RCCS11 OR RCFA11 OR RCFF11 OR RCRB11 OR RCRI11 OR RDPD11 OR RECH11 OR RECR11 OR RECT11 OR REIT11 OR RELG11 OR RFOF11 OR RMAI11 OR RNDP11 OR RNGO11</v>
      </c>
      <c r="G258" s="44" t="s">
        <v>4495</v>
      </c>
      <c r="H258" s="44" t="s">
        <v>4496</v>
      </c>
      <c r="I258" s="6" t="str">
        <f t="shared" si="2"/>
        <v>(RNDP11)</v>
      </c>
    </row>
    <row r="259">
      <c r="A259" s="6" t="str">
        <f t="shared" si="1"/>
        <v>Fundos de Renda variável | FIIs | Rio Negro</v>
      </c>
      <c r="B259" s="22" t="s">
        <v>4497</v>
      </c>
      <c r="C259" s="22" t="s">
        <v>3436</v>
      </c>
      <c r="D259" s="22" t="s">
        <v>3419</v>
      </c>
      <c r="E259" s="22" t="s">
        <v>4498</v>
      </c>
      <c r="F259"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 OR RBRL11 OR RBRM11 OR RBRP11 OR RBRR11 OR RBRS11 OR RBRY11 OR RBTS11 OR RBVA11 OR RBVO11 OR RCCS11 OR RCFA11 OR RCFF11 OR RCRB11 OR RCRI11 OR RDPD11 OR RECH11 OR RECR11 OR RECT11 OR REIT11 OR RELG11 OR RFOF11 OR RMAI11 OR RNDP11 OR RNGO11 OR RRCI11</v>
      </c>
      <c r="G259" s="44" t="s">
        <v>4499</v>
      </c>
      <c r="H259" s="44" t="s">
        <v>4500</v>
      </c>
      <c r="I259" s="6" t="str">
        <f t="shared" si="2"/>
        <v>(RNGO11)</v>
      </c>
    </row>
    <row r="260">
      <c r="A260" s="6" t="str">
        <f t="shared" si="1"/>
        <v>Fundos de Renda variável | FIIs | RB Capital Recebíveis Imobiliários</v>
      </c>
      <c r="B260" s="22" t="s">
        <v>4501</v>
      </c>
      <c r="C260" s="22" t="s">
        <v>3424</v>
      </c>
      <c r="D260" s="22" t="s">
        <v>3431</v>
      </c>
      <c r="E260" s="22" t="s">
        <v>4502</v>
      </c>
      <c r="F260"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 OR RBRL11 OR RBRM11 OR RBRP11 OR RBRR11 OR RBRS11 OR RBRY11 OR RBTS11 OR RBVA11 OR RBVO11 OR RCCS11 OR RCFA11 OR RCFF11 OR RCRB11 OR RCRI11 OR RDPD11 OR RECH11 OR RECR11 OR RECT11 OR REIT11 OR RELG11 OR RFOF11 OR RMAI11 OR RNDP11 OR RNGO11 OR RRCI11 OR RSBU11B</v>
      </c>
      <c r="G260" s="44" t="s">
        <v>4503</v>
      </c>
      <c r="H260" s="44" t="s">
        <v>4504</v>
      </c>
      <c r="I260" s="6" t="str">
        <f t="shared" si="2"/>
        <v>(RRCI11)</v>
      </c>
    </row>
    <row r="261">
      <c r="A261" s="6" t="str">
        <f t="shared" si="1"/>
        <v>Fundos de Renda variável | FIIs | RSB 1</v>
      </c>
      <c r="B261" s="22" t="s">
        <v>4505</v>
      </c>
      <c r="C261" s="22" t="s">
        <v>3447</v>
      </c>
      <c r="D261" s="22" t="s">
        <v>4506</v>
      </c>
      <c r="E261" s="22" t="s">
        <v>4507</v>
      </c>
      <c r="F261"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 OR RBRL11 OR RBRM11 OR RBRP11 OR RBRR11 OR RBRS11 OR RBRY11 OR RBTS11 OR RBVA11 OR RBVO11 OR RCCS11 OR RCFA11 OR RCFF11 OR RCRB11 OR RCRI11 OR RDPD11 OR RECH11 OR RECR11 OR RECT11 OR REIT11 OR RELG11 OR RFOF11 OR RMAI11 OR RNDP11 OR RNGO11 OR RRCI11 OR RSBU11B OR RSPD11</v>
      </c>
      <c r="G261" s="44" t="s">
        <v>4508</v>
      </c>
      <c r="H261" s="44" t="s">
        <v>4509</v>
      </c>
      <c r="I261" s="6" t="str">
        <f t="shared" si="2"/>
        <v>(RSBU11B)</v>
      </c>
    </row>
    <row r="262">
      <c r="A262" s="6" t="str">
        <f t="shared" si="1"/>
        <v>Fundos de Renda variável | FIIs | RB Capital Desenvolvimento Residencial III</v>
      </c>
      <c r="B262" s="22" t="s">
        <v>4510</v>
      </c>
      <c r="C262" s="22" t="s">
        <v>3603</v>
      </c>
      <c r="D262" s="22" t="s">
        <v>3473</v>
      </c>
      <c r="E262" s="22" t="s">
        <v>4511</v>
      </c>
      <c r="F262"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 OR RBRL11 OR RBRM11 OR RBRP11 OR RBRR11 OR RBRS11 OR RBRY11 OR RBTS11 OR RBVA11 OR RBVO11 OR RCCS11 OR RCFA11 OR RCFF11 OR RCRB11 OR RCRI11 OR RDPD11 OR RECH11 OR RECR11 OR RECT11 OR REIT11 OR RELG11 OR RFOF11 OR RMAI11 OR RNDP11 OR RNGO11 OR RRCI11 OR RSBU11B OR RSPD11 OR RVBI11</v>
      </c>
      <c r="G262" s="44" t="s">
        <v>4512</v>
      </c>
      <c r="H262" s="44" t="s">
        <v>4513</v>
      </c>
      <c r="I262" s="6" t="str">
        <f t="shared" si="2"/>
        <v>(RSPD11)</v>
      </c>
    </row>
    <row r="263">
      <c r="A263" s="6" t="str">
        <f t="shared" si="1"/>
        <v>Fundos de Renda variável | FIIs | VBI REITS FOF</v>
      </c>
      <c r="B263" s="22" t="s">
        <v>4514</v>
      </c>
      <c r="C263" s="22" t="s">
        <v>3430</v>
      </c>
      <c r="D263" s="22" t="s">
        <v>3431</v>
      </c>
      <c r="E263" s="22" t="s">
        <v>4515</v>
      </c>
      <c r="F263"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 OR RBRL11 OR RBRM11 OR RBRP11 OR RBRR11 OR RBRS11 OR RBRY11 OR RBTS11 OR RBVA11 OR RBVO11 OR RCCS11 OR RCFA11 OR RCFF11 OR RCRB11 OR RCRI11 OR RDPD11 OR RECH11 OR RECR11 OR RECT11 OR REIT11 OR RELG11 OR RFOF11 OR RMAI11 OR RNDP11 OR RNGO11 OR RRCI11 OR RSBU11B OR RSPD11 OR RVBI11 OR RZAK11</v>
      </c>
      <c r="G263" s="44" t="s">
        <v>4516</v>
      </c>
      <c r="H263" s="44" t="s">
        <v>4517</v>
      </c>
      <c r="I263" s="6" t="str">
        <f t="shared" si="2"/>
        <v>(RVBI11)</v>
      </c>
    </row>
    <row r="264">
      <c r="A264" s="6" t="str">
        <f t="shared" si="1"/>
        <v>Fundos de Renda variável | FIIs | RIZA AKIN</v>
      </c>
      <c r="B264" s="22" t="s">
        <v>4518</v>
      </c>
      <c r="C264" s="22" t="s">
        <v>3424</v>
      </c>
      <c r="D264" s="22" t="s">
        <v>3442</v>
      </c>
      <c r="E264" s="22" t="s">
        <v>4519</v>
      </c>
      <c r="F264"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 OR RBRL11 OR RBRM11 OR RBRP11 OR RBRR11 OR RBRS11 OR RBRY11 OR RBTS11 OR RBVA11 OR RBVO11 OR RCCS11 OR RCFA11 OR RCFF11 OR RCRB11 OR RCRI11 OR RDPD11 OR RECH11 OR RECR11 OR RECT11 OR REIT11 OR RELG11 OR RFOF11 OR RMAI11 OR RNDP11 OR RNGO11 OR RRCI11 OR RSBU11B OR RSPD11 OR RVBI11 OR RZAK11 OR RZTR11</v>
      </c>
      <c r="G264" s="44" t="s">
        <v>4520</v>
      </c>
      <c r="H264" s="44" t="s">
        <v>4521</v>
      </c>
      <c r="I264" s="6" t="str">
        <f t="shared" si="2"/>
        <v>(RZAK11)</v>
      </c>
    </row>
    <row r="265">
      <c r="A265" s="6" t="str">
        <f t="shared" si="1"/>
        <v>Fundos de Renda variável | FIIs | Riza Terrax</v>
      </c>
      <c r="B265" s="22" t="s">
        <v>4522</v>
      </c>
      <c r="C265" s="22" t="s">
        <v>566</v>
      </c>
      <c r="D265" s="22" t="s">
        <v>4040</v>
      </c>
      <c r="E265" s="22" t="s">
        <v>4523</v>
      </c>
      <c r="F265"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 OR RBRL11 OR RBRM11 OR RBRP11 OR RBRR11 OR RBRS11 OR RBRY11 OR RBTS11 OR RBVA11 OR RBVO11 OR RCCS11 OR RCFA11 OR RCFF11 OR RCRB11 OR RCRI11 OR RDPD11 OR RECH11 OR RECR11 OR RECT11 OR REIT11 OR RELG11 OR RFOF11 OR RMAI11 OR RNDP11 OR RNGO11 OR RRCI11 OR RSBU11B OR RSPD11 OR RVBI11 OR RZAK11 OR RZTR11 OR SAAG11</v>
      </c>
      <c r="G265" s="44" t="s">
        <v>4524</v>
      </c>
      <c r="H265" s="44" t="s">
        <v>4525</v>
      </c>
      <c r="I265" s="6" t="str">
        <f t="shared" si="2"/>
        <v>(RZTR11)</v>
      </c>
    </row>
    <row r="266">
      <c r="A266" s="6" t="str">
        <f t="shared" si="1"/>
        <v>Fundos de Renda variável | FIIs | Santander Agências</v>
      </c>
      <c r="B266" s="22" t="s">
        <v>4526</v>
      </c>
      <c r="C266" s="22" t="s">
        <v>3493</v>
      </c>
      <c r="D266" s="22" t="s">
        <v>3419</v>
      </c>
      <c r="E266" s="22" t="s">
        <v>4527</v>
      </c>
      <c r="F266"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 OR RBRL11 OR RBRM11 OR RBRP11 OR RBRR11 OR RBRS11 OR RBRY11 OR RBTS11 OR RBVA11 OR RBVO11 OR RCCS11 OR RCFA11 OR RCFF11 OR RCRB11 OR RCRI11 OR RDPD11 OR RECH11 OR RECR11 OR RECT11 OR REIT11 OR RELG11 OR RFOF11 OR RMAI11 OR RNDP11 OR RNGO11 OR RRCI11 OR RSBU11B OR RSPD11 OR RVBI11 OR RZAK11 OR RZTR11 OR SAAG11 OR SADI11</v>
      </c>
      <c r="G266" s="44" t="s">
        <v>4528</v>
      </c>
      <c r="H266" s="44" t="s">
        <v>4529</v>
      </c>
      <c r="I266" s="6" t="str">
        <f t="shared" si="2"/>
        <v>(SAAG11)</v>
      </c>
    </row>
    <row r="267">
      <c r="A267" s="6" t="str">
        <f t="shared" si="1"/>
        <v>Fundos de Renda variável | FIIs | Santander Papéis Imobiliários CDI</v>
      </c>
      <c r="B267" s="22" t="s">
        <v>4530</v>
      </c>
      <c r="C267" s="22" t="s">
        <v>3424</v>
      </c>
      <c r="D267" s="22" t="s">
        <v>3994</v>
      </c>
      <c r="E267" s="22" t="s">
        <v>4531</v>
      </c>
      <c r="F267"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 OR RBRL11 OR RBRM11 OR RBRP11 OR RBRR11 OR RBRS11 OR RBRY11 OR RBTS11 OR RBVA11 OR RBVO11 OR RCCS11 OR RCFA11 OR RCFF11 OR RCRB11 OR RCRI11 OR RDPD11 OR RECH11 OR RECR11 OR RECT11 OR REIT11 OR RELG11 OR RFOF11 OR RMAI11 OR RNDP11 OR RNGO11 OR RRCI11 OR RSBU11B OR RSPD11 OR RVBI11 OR RZAK11 OR RZTR11 OR SAAG11 OR SADI11 OR SAIC11B</v>
      </c>
      <c r="G267" s="44" t="s">
        <v>4532</v>
      </c>
      <c r="H267" s="44" t="s">
        <v>4533</v>
      </c>
      <c r="I267" s="6" t="str">
        <f t="shared" si="2"/>
        <v>(SADI11)</v>
      </c>
    </row>
    <row r="268">
      <c r="A268" s="6" t="str">
        <f t="shared" si="1"/>
        <v>Fundos de Renda variável | FIIs | SIA Corporate</v>
      </c>
      <c r="B268" s="22" t="s">
        <v>4534</v>
      </c>
      <c r="C268" s="22" t="s">
        <v>3436</v>
      </c>
      <c r="D268" s="22" t="s">
        <v>4535</v>
      </c>
      <c r="E268" s="22" t="s">
        <v>4536</v>
      </c>
      <c r="F268"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 OR RBRL11 OR RBRM11 OR RBRP11 OR RBRR11 OR RBRS11 OR RBRY11 OR RBTS11 OR RBVA11 OR RBVO11 OR RCCS11 OR RCFA11 OR RCFF11 OR RCRB11 OR RCRI11 OR RDPD11 OR RECH11 OR RECR11 OR RECT11 OR REIT11 OR RELG11 OR RFOF11 OR RMAI11 OR RNDP11 OR RNGO11 OR RRCI11 OR RSBU11B OR RSPD11 OR RVBI11 OR RZAK11 OR RZTR11 OR SAAG11 OR SADI11 OR SAIC11B OR SARE11</v>
      </c>
      <c r="G268" s="44" t="s">
        <v>4537</v>
      </c>
      <c r="H268" s="44" t="s">
        <v>4538</v>
      </c>
      <c r="I268" s="6" t="str">
        <f t="shared" si="2"/>
        <v>(SAIC11B)</v>
      </c>
    </row>
    <row r="269">
      <c r="A269" s="6" t="str">
        <f t="shared" si="1"/>
        <v>Fundos de Renda variável | FIIs | Santander Renda de Aluguéis</v>
      </c>
      <c r="B269" s="22" t="s">
        <v>4539</v>
      </c>
      <c r="C269" s="22" t="s">
        <v>3436</v>
      </c>
      <c r="D269" s="22" t="s">
        <v>3994</v>
      </c>
      <c r="E269" s="22" t="s">
        <v>4540</v>
      </c>
      <c r="F269"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 OR RBRL11 OR RBRM11 OR RBRP11 OR RBRR11 OR RBRS11 OR RBRY11 OR RBTS11 OR RBVA11 OR RBVO11 OR RCCS11 OR RCFA11 OR RCFF11 OR RCRB11 OR RCRI11 OR RDPD11 OR RECH11 OR RECR11 OR RECT11 OR REIT11 OR RELG11 OR RFOF11 OR RMAI11 OR RNDP11 OR RNGO11 OR RRCI11 OR RSBU11B OR RSPD11 OR RVBI11 OR RZAK11 OR RZTR11 OR SAAG11 OR SADI11 OR SAIC11B OR SARE11 OR SCPF11</v>
      </c>
      <c r="G269" s="44" t="s">
        <v>4541</v>
      </c>
      <c r="H269" s="44" t="s">
        <v>4542</v>
      </c>
      <c r="I269" s="6" t="str">
        <f t="shared" si="2"/>
        <v>(SARE11)</v>
      </c>
    </row>
    <row r="270">
      <c r="A270" s="6" t="str">
        <f t="shared" si="1"/>
        <v>Fundos de Renda variável | FIIs | SCP</v>
      </c>
      <c r="B270" s="22" t="s">
        <v>4543</v>
      </c>
      <c r="C270" s="22" t="s">
        <v>3418</v>
      </c>
      <c r="D270" s="22" t="s">
        <v>3593</v>
      </c>
      <c r="E270" s="22" t="s">
        <v>4544</v>
      </c>
      <c r="F270"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 OR RBRL11 OR RBRM11 OR RBRP11 OR RBRR11 OR RBRS11 OR RBRY11 OR RBTS11 OR RBVA11 OR RBVO11 OR RCCS11 OR RCFA11 OR RCFF11 OR RCRB11 OR RCRI11 OR RDPD11 OR RECH11 OR RECR11 OR RECT11 OR REIT11 OR RELG11 OR RFOF11 OR RMAI11 OR RNDP11 OR RNGO11 OR RRCI11 OR RSBU11B OR RSPD11 OR RVBI11 OR RZAK11 OR RZTR11 OR SAAG11 OR SADI11 OR SAIC11B OR SARE11 OR SCPF11 OR SDIL11</v>
      </c>
      <c r="G270" s="44" t="s">
        <v>4545</v>
      </c>
      <c r="H270" s="44" t="s">
        <v>4546</v>
      </c>
      <c r="I270" s="6" t="str">
        <f t="shared" si="2"/>
        <v>(SCPF11)</v>
      </c>
    </row>
    <row r="271">
      <c r="A271" s="6" t="str">
        <f t="shared" si="1"/>
        <v>Fundos de Renda variável | FIIs | SDI Rio Bravo Renda Logística</v>
      </c>
      <c r="B271" s="22" t="s">
        <v>4547</v>
      </c>
      <c r="C271" s="22" t="s">
        <v>3463</v>
      </c>
      <c r="D271" s="22" t="s">
        <v>3419</v>
      </c>
      <c r="E271" s="22" t="s">
        <v>4548</v>
      </c>
      <c r="F271"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 OR RBRL11 OR RBRM11 OR RBRP11 OR RBRR11 OR RBRS11 OR RBRY11 OR RBTS11 OR RBVA11 OR RBVO11 OR RCCS11 OR RCFA11 OR RCFF11 OR RCRB11 OR RCRI11 OR RDPD11 OR RECH11 OR RECR11 OR RECT11 OR REIT11 OR RELG11 OR RFOF11 OR RMAI11 OR RNDP11 OR RNGO11 OR RRCI11 OR RSBU11B OR RSPD11 OR RVBI11 OR RZAK11 OR RZTR11 OR SAAG11 OR SADI11 OR SAIC11B OR SARE11 OR SCPF11 OR SDIL11 OR SFND11</v>
      </c>
      <c r="G271" s="44" t="s">
        <v>4549</v>
      </c>
      <c r="H271" s="44" t="s">
        <v>4550</v>
      </c>
      <c r="I271" s="6" t="str">
        <f t="shared" si="2"/>
        <v>(SDIL11)</v>
      </c>
    </row>
    <row r="272">
      <c r="A272" s="6" t="str">
        <f t="shared" si="1"/>
        <v>Fundos de Renda variável | FIIs | São Fernando</v>
      </c>
      <c r="B272" s="22" t="s">
        <v>4551</v>
      </c>
      <c r="C272" s="22" t="s">
        <v>3436</v>
      </c>
      <c r="D272" s="22" t="s">
        <v>3419</v>
      </c>
      <c r="E272" s="22" t="s">
        <v>4552</v>
      </c>
      <c r="F272"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 OR RBRL11 OR RBRM11 OR RBRP11 OR RBRR11 OR RBRS11 OR RBRY11 OR RBTS11 OR RBVA11 OR RBVO11 OR RCCS11 OR RCFA11 OR RCFF11 OR RCRB11 OR RCRI11 OR RDPD11 OR RECH11 OR RECR11 OR RECT11 OR REIT11 OR RELG11 OR RFOF11 OR RMAI11 OR RNDP11 OR RNGO11 OR RRCI11 OR RSBU11B OR RSPD11 OR RVBI11 OR RZAK11 OR RZTR11 OR SAAG11 OR SADI11 OR SAIC11B OR SARE11 OR SCPF11 OR SDIL11 OR SFND11 OR SHDP11B</v>
      </c>
      <c r="G272" s="44" t="s">
        <v>4553</v>
      </c>
      <c r="H272" s="44" t="s">
        <v>4554</v>
      </c>
      <c r="I272" s="6" t="str">
        <f t="shared" si="2"/>
        <v>(SFND11)</v>
      </c>
    </row>
    <row r="273">
      <c r="A273" s="6" t="str">
        <f t="shared" si="1"/>
        <v>Fundos de Renda variável | FIIs | Shopping Parque Dom Pedro</v>
      </c>
      <c r="B273" s="22" t="s">
        <v>4555</v>
      </c>
      <c r="C273" s="22" t="s">
        <v>3418</v>
      </c>
      <c r="D273" s="22" t="s">
        <v>3442</v>
      </c>
      <c r="E273" s="22" t="s">
        <v>4556</v>
      </c>
      <c r="F273"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 OR RBRL11 OR RBRM11 OR RBRP11 OR RBRR11 OR RBRS11 OR RBRY11 OR RBTS11 OR RBVA11 OR RBVO11 OR RCCS11 OR RCFA11 OR RCFF11 OR RCRB11 OR RCRI11 OR RDPD11 OR RECH11 OR RECR11 OR RECT11 OR REIT11 OR RELG11 OR RFOF11 OR RMAI11 OR RNDP11 OR RNGO11 OR RRCI11 OR RSBU11B OR RSPD11 OR RVBI11 OR RZAK11 OR RZTR11 OR SAAG11 OR SADI11 OR SAIC11B OR SARE11 OR SCPF11 OR SDIL11 OR SFND11 OR SHDP11B OR SHOP11</v>
      </c>
      <c r="G273" s="44" t="s">
        <v>4557</v>
      </c>
      <c r="H273" s="44" t="s">
        <v>4558</v>
      </c>
      <c r="I273" s="6" t="str">
        <f t="shared" si="2"/>
        <v>(SHDP11B)</v>
      </c>
    </row>
    <row r="274">
      <c r="A274" s="6" t="str">
        <f t="shared" si="1"/>
        <v>Fundos de Renda variável | FIIs | Multi Shoppings</v>
      </c>
      <c r="B274" s="22" t="s">
        <v>4559</v>
      </c>
      <c r="C274" s="22" t="s">
        <v>3418</v>
      </c>
      <c r="D274" s="22" t="s">
        <v>3437</v>
      </c>
      <c r="E274" s="22" t="s">
        <v>4560</v>
      </c>
      <c r="F274"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 OR RBRL11 OR RBRM11 OR RBRP11 OR RBRR11 OR RBRS11 OR RBRY11 OR RBTS11 OR RBVA11 OR RBVO11 OR RCCS11 OR RCFA11 OR RCFF11 OR RCRB11 OR RCRI11 OR RDPD11 OR RECH11 OR RECR11 OR RECT11 OR REIT11 OR RELG11 OR RFOF11 OR RMAI11 OR RNDP11 OR RNGO11 OR RRCI11 OR RSBU11B OR RSPD11 OR RVBI11 OR RZAK11 OR RZTR11 OR SAAG11 OR SADI11 OR SAIC11B OR SARE11 OR SCPF11 OR SDIL11 OR SFND11 OR SHDP11B OR SHOP11 OR SHPH11</v>
      </c>
      <c r="G274" s="44" t="s">
        <v>4561</v>
      </c>
      <c r="H274" s="44" t="s">
        <v>4562</v>
      </c>
      <c r="I274" s="6" t="str">
        <f t="shared" si="2"/>
        <v>(SHOP11)</v>
      </c>
    </row>
    <row r="275">
      <c r="A275" s="6" t="str">
        <f t="shared" si="1"/>
        <v>Fundos de Renda variável | FIIs | Shopping Pátio Higienópolis</v>
      </c>
      <c r="B275" s="22" t="s">
        <v>4563</v>
      </c>
      <c r="C275" s="22" t="s">
        <v>3418</v>
      </c>
      <c r="D275" s="22" t="s">
        <v>3419</v>
      </c>
      <c r="E275" s="22" t="s">
        <v>4564</v>
      </c>
      <c r="F275"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 OR RBRL11 OR RBRM11 OR RBRP11 OR RBRR11 OR RBRS11 OR RBRY11 OR RBTS11 OR RBVA11 OR RBVO11 OR RCCS11 OR RCFA11 OR RCFF11 OR RCRB11 OR RCRI11 OR RDPD11 OR RECH11 OR RECR11 OR RECT11 OR REIT11 OR RELG11 OR RFOF11 OR RMAI11 OR RNDP11 OR RNGO11 OR RRCI11 OR RSBU11B OR RSPD11 OR RVBI11 OR RZAK11 OR RZTR11 OR SAAG11 OR SADI11 OR SAIC11B OR SARE11 OR SCPF11 OR SDIL11 OR SFND11 OR SHDP11B OR SHOP11 OR SHPH11 OR SOLR11</v>
      </c>
      <c r="G275" s="44" t="s">
        <v>4565</v>
      </c>
      <c r="H275" s="44" t="s">
        <v>4566</v>
      </c>
      <c r="I275" s="6" t="str">
        <f t="shared" si="2"/>
        <v>(SHPH11)</v>
      </c>
    </row>
    <row r="276">
      <c r="A276" s="6" t="str">
        <f t="shared" si="1"/>
        <v>Fundos de Renda variável | FIIs | Solarium</v>
      </c>
      <c r="B276" s="22" t="s">
        <v>4567</v>
      </c>
      <c r="C276" s="22" t="s">
        <v>3447</v>
      </c>
      <c r="D276" s="22" t="s">
        <v>3431</v>
      </c>
      <c r="E276" s="22" t="s">
        <v>4568</v>
      </c>
      <c r="F276"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 OR RBRL11 OR RBRM11 OR RBRP11 OR RBRR11 OR RBRS11 OR RBRY11 OR RBTS11 OR RBVA11 OR RBVO11 OR RCCS11 OR RCFA11 OR RCFF11 OR RCRB11 OR RCRI11 OR RDPD11 OR RECH11 OR RECR11 OR RECT11 OR REIT11 OR RELG11 OR RFOF11 OR RMAI11 OR RNDP11 OR RNGO11 OR RRCI11 OR RSBU11B OR RSPD11 OR RVBI11 OR RZAK11 OR RZTR11 OR SAAG11 OR SADI11 OR SAIC11B OR SARE11 OR SCPF11 OR SDIL11 OR SFND11 OR SHDP11B OR SHOP11 OR SHPH11 OR SOLR11 OR SPAF11</v>
      </c>
      <c r="G276" s="44" t="s">
        <v>4569</v>
      </c>
      <c r="H276" s="44" t="s">
        <v>4570</v>
      </c>
      <c r="I276" s="6" t="str">
        <f t="shared" si="2"/>
        <v>(SOLR11)</v>
      </c>
    </row>
    <row r="277">
      <c r="A277" s="6" t="str">
        <f t="shared" si="1"/>
        <v>Fundos de Renda variável | FIIs | Spa</v>
      </c>
      <c r="B277" s="22" t="s">
        <v>4571</v>
      </c>
      <c r="C277" s="22" t="s">
        <v>3418</v>
      </c>
      <c r="D277" s="22" t="s">
        <v>4040</v>
      </c>
      <c r="E277" s="22" t="s">
        <v>4572</v>
      </c>
      <c r="F277"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 OR RBRL11 OR RBRM11 OR RBRP11 OR RBRR11 OR RBRS11 OR RBRY11 OR RBTS11 OR RBVA11 OR RBVO11 OR RCCS11 OR RCFA11 OR RCFF11 OR RCRB11 OR RCRI11 OR RDPD11 OR RECH11 OR RECR11 OR RECT11 OR REIT11 OR RELG11 OR RFOF11 OR RMAI11 OR RNDP11 OR RNGO11 OR RRCI11 OR RSBU11B OR RSPD11 OR RVBI11 OR RZAK11 OR RZTR11 OR SAAG11 OR SADI11 OR SAIC11B OR SARE11 OR SCPF11 OR SDIL11 OR SFND11 OR SHDP11B OR SHOP11 OR SHPH11 OR SOLR11 OR SPAF11 OR SPTW11</v>
      </c>
      <c r="G277" s="44" t="s">
        <v>4573</v>
      </c>
      <c r="H277" s="44" t="s">
        <v>4574</v>
      </c>
      <c r="I277" s="6" t="str">
        <f t="shared" si="2"/>
        <v>(SPAF11)</v>
      </c>
    </row>
    <row r="278">
      <c r="A278" s="6" t="str">
        <f t="shared" si="1"/>
        <v>Fundos de Renda variável | FIIs | SP Downtown</v>
      </c>
      <c r="B278" s="22" t="s">
        <v>4575</v>
      </c>
      <c r="C278" s="22" t="s">
        <v>3436</v>
      </c>
      <c r="D278" s="22" t="s">
        <v>3452</v>
      </c>
      <c r="E278" s="22" t="s">
        <v>4576</v>
      </c>
      <c r="F278"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 OR RBRL11 OR RBRM11 OR RBRP11 OR RBRR11 OR RBRS11 OR RBRY11 OR RBTS11 OR RBVA11 OR RBVO11 OR RCCS11 OR RCFA11 OR RCFF11 OR RCRB11 OR RCRI11 OR RDPD11 OR RECH11 OR RECR11 OR RECT11 OR REIT11 OR RELG11 OR RFOF11 OR RMAI11 OR RNDP11 OR RNGO11 OR RRCI11 OR RSBU11B OR RSPD11 OR RVBI11 OR RZAK11 OR RZTR11 OR SAAG11 OR SADI11 OR SAIC11B OR SARE11 OR SCPF11 OR SDIL11 OR SFND11 OR SHDP11B OR SHOP11 OR SHPH11 OR SOLR11 OR SPAF11 OR SPTW11 OR SPVJ11</v>
      </c>
      <c r="G278" s="44" t="s">
        <v>4577</v>
      </c>
      <c r="H278" s="44" t="s">
        <v>4578</v>
      </c>
      <c r="I278" s="6" t="str">
        <f t="shared" si="2"/>
        <v>(SPTW11)</v>
      </c>
    </row>
    <row r="279">
      <c r="A279" s="6" t="str">
        <f t="shared" si="1"/>
        <v>Fundos de Renda variável | FIIs | Succespar Varejo</v>
      </c>
      <c r="B279" s="22" t="s">
        <v>4579</v>
      </c>
      <c r="C279" s="22" t="s">
        <v>3418</v>
      </c>
      <c r="D279" s="22" t="s">
        <v>3464</v>
      </c>
      <c r="E279" s="22" t="s">
        <v>4580</v>
      </c>
      <c r="F279"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 OR RBRL11 OR RBRM11 OR RBRP11 OR RBRR11 OR RBRS11 OR RBRY11 OR RBTS11 OR RBVA11 OR RBVO11 OR RCCS11 OR RCFA11 OR RCFF11 OR RCRB11 OR RCRI11 OR RDPD11 OR RECH11 OR RECR11 OR RECT11 OR REIT11 OR RELG11 OR RFOF11 OR RMAI11 OR RNDP11 OR RNGO11 OR RRCI11 OR RSBU11B OR RSPD11 OR RVBI11 OR RZAK11 OR RZTR11 OR SAAG11 OR SADI11 OR SAIC11B OR SARE11 OR SCPF11 OR SDIL11 OR SFND11 OR SHDP11B OR SHOP11 OR SHPH11 OR SOLR11 OR SPAF11 OR SPTW11 OR SPVJ11 OR STFI11</v>
      </c>
      <c r="G279" s="44" t="s">
        <v>4581</v>
      </c>
      <c r="H279" s="44" t="s">
        <v>4582</v>
      </c>
      <c r="I279" s="6" t="str">
        <f t="shared" si="2"/>
        <v>(SPVJ11)</v>
      </c>
    </row>
    <row r="280">
      <c r="A280" s="6" t="str">
        <f t="shared" si="1"/>
        <v>Fundos de Renda variável | FIIs | Santander Recebíveis Imobiliários</v>
      </c>
      <c r="B280" s="22" t="s">
        <v>4583</v>
      </c>
      <c r="C280" s="22" t="s">
        <v>3424</v>
      </c>
      <c r="D280" s="22" t="s">
        <v>3994</v>
      </c>
      <c r="E280" s="22" t="s">
        <v>4584</v>
      </c>
      <c r="F280"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 OR RBRL11 OR RBRM11 OR RBRP11 OR RBRR11 OR RBRS11 OR RBRY11 OR RBTS11 OR RBVA11 OR RBVO11 OR RCCS11 OR RCFA11 OR RCFF11 OR RCRB11 OR RCRI11 OR RDPD11 OR RECH11 OR RECR11 OR RECT11 OR REIT11 OR RELG11 OR RFOF11 OR RMAI11 OR RNDP11 OR RNGO11 OR RRCI11 OR RSBU11B OR RSPD11 OR RVBI11 OR RZAK11 OR RZTR11 OR SAAG11 OR SADI11 OR SAIC11B OR SARE11 OR SCPF11 OR SDIL11 OR SFND11 OR SHDP11B OR SHOP11 OR SHPH11 OR SOLR11 OR SPAF11 OR SPTW11 OR SPVJ11 OR STFI11 OR STRX11</v>
      </c>
      <c r="G280" s="44" t="s">
        <v>4585</v>
      </c>
      <c r="H280" s="44" t="s">
        <v>4586</v>
      </c>
      <c r="I280" s="6" t="str">
        <f t="shared" si="2"/>
        <v>(STFI11)</v>
      </c>
    </row>
    <row r="281">
      <c r="A281" s="6" t="str">
        <f t="shared" si="1"/>
        <v>Fundos de Renda variável | FIIs | StarX</v>
      </c>
      <c r="B281" s="22" t="s">
        <v>4587</v>
      </c>
      <c r="C281" s="22" t="s">
        <v>3418</v>
      </c>
      <c r="D281" s="22" t="s">
        <v>3473</v>
      </c>
      <c r="E281" s="22" t="s">
        <v>4588</v>
      </c>
      <c r="F281"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 OR RBRL11 OR RBRM11 OR RBRP11 OR RBRR11 OR RBRS11 OR RBRY11 OR RBTS11 OR RBVA11 OR RBVO11 OR RCCS11 OR RCFA11 OR RCFF11 OR RCRB11 OR RCRI11 OR RDPD11 OR RECH11 OR RECR11 OR RECT11 OR REIT11 OR RELG11 OR RFOF11 OR RMAI11 OR RNDP11 OR RNGO11 OR RRCI11 OR RSBU11B OR RSPD11 OR RVBI11 OR RZAK11 OR RZTR11 OR SAAG11 OR SADI11 OR SAIC11B OR SARE11 OR SCPF11 OR SDIL11 OR SFND11 OR SHDP11B OR SHOP11 OR SHPH11 OR SOLR11 OR SPAF11 OR SPTW11 OR SPVJ11 OR STFI11 OR STRX11 OR TBOF11</v>
      </c>
      <c r="G281" s="44" t="s">
        <v>4589</v>
      </c>
      <c r="H281" s="44" t="s">
        <v>4590</v>
      </c>
      <c r="I281" s="6" t="str">
        <f t="shared" si="2"/>
        <v>(STRX11)</v>
      </c>
    </row>
    <row r="282">
      <c r="A282" s="6" t="str">
        <f t="shared" si="1"/>
        <v>Fundos de Renda variável | FIIs | TB Office</v>
      </c>
      <c r="B282" s="22" t="s">
        <v>4591</v>
      </c>
      <c r="C282" s="22" t="s">
        <v>3436</v>
      </c>
      <c r="D282" s="22" t="s">
        <v>3442</v>
      </c>
      <c r="E282" s="22" t="s">
        <v>4592</v>
      </c>
      <c r="F282"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 OR RBRL11 OR RBRM11 OR RBRP11 OR RBRR11 OR RBRS11 OR RBRY11 OR RBTS11 OR RBVA11 OR RBVO11 OR RCCS11 OR RCFA11 OR RCFF11 OR RCRB11 OR RCRI11 OR RDPD11 OR RECH11 OR RECR11 OR RECT11 OR REIT11 OR RELG11 OR RFOF11 OR RMAI11 OR RNDP11 OR RNGO11 OR RRCI11 OR RSBU11B OR RSPD11 OR RVBI11 OR RZAK11 OR RZTR11 OR SAAG11 OR SADI11 OR SAIC11B OR SARE11 OR SCPF11 OR SDIL11 OR SFND11 OR SHDP11B OR SHOP11 OR SHPH11 OR SOLR11 OR SPAF11 OR SPTW11 OR SPVJ11 OR STFI11 OR STRX11 OR TBOF11 OR TCIN11</v>
      </c>
      <c r="G282" s="44" t="s">
        <v>4593</v>
      </c>
      <c r="H282" s="44" t="s">
        <v>4594</v>
      </c>
      <c r="I282" s="6" t="str">
        <f t="shared" si="2"/>
        <v>(TBOF11)</v>
      </c>
    </row>
    <row r="283">
      <c r="A283" s="6" t="str">
        <f t="shared" si="1"/>
        <v>Fundos de Renda variável | FIIs | Tourmalet V</v>
      </c>
      <c r="B283" s="22" t="s">
        <v>4595</v>
      </c>
      <c r="C283" s="22" t="s">
        <v>3436</v>
      </c>
      <c r="D283" s="22" t="s">
        <v>4596</v>
      </c>
      <c r="E283" s="22" t="s">
        <v>4597</v>
      </c>
      <c r="F283"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 OR RBRL11 OR RBRM11 OR RBRP11 OR RBRR11 OR RBRS11 OR RBRY11 OR RBTS11 OR RBVA11 OR RBVO11 OR RCCS11 OR RCFA11 OR RCFF11 OR RCRB11 OR RCRI11 OR RDPD11 OR RECH11 OR RECR11 OR RECT11 OR REIT11 OR RELG11 OR RFOF11 OR RMAI11 OR RNDP11 OR RNGO11 OR RRCI11 OR RSBU11B OR RSPD11 OR RVBI11 OR RZAK11 OR RZTR11 OR SAAG11 OR SADI11 OR SAIC11B OR SARE11 OR SCPF11 OR SDIL11 OR SFND11 OR SHDP11B OR SHOP11 OR SHPH11 OR SOLR11 OR SPAF11 OR SPTW11 OR SPVJ11 OR STFI11 OR STRX11 OR TBOF11 OR TCIN11 OR TCIN12</v>
      </c>
      <c r="G283" s="44" t="s">
        <v>4598</v>
      </c>
      <c r="H283" s="44" t="s">
        <v>4599</v>
      </c>
      <c r="I283" s="6" t="str">
        <f t="shared" si="2"/>
        <v>(TCIN11)</v>
      </c>
    </row>
    <row r="284">
      <c r="A284" s="6" t="str">
        <f t="shared" si="1"/>
        <v>Fundos de Renda variável | FIIs | Tourmalet V (Cota Ordinária)</v>
      </c>
      <c r="B284" s="22" t="s">
        <v>4600</v>
      </c>
      <c r="C284" s="22" t="s">
        <v>3551</v>
      </c>
      <c r="D284" s="22" t="s">
        <v>4596</v>
      </c>
      <c r="E284" s="22" t="s">
        <v>4601</v>
      </c>
      <c r="F284"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 OR RBRL11 OR RBRM11 OR RBRP11 OR RBRR11 OR RBRS11 OR RBRY11 OR RBTS11 OR RBVA11 OR RBVO11 OR RCCS11 OR RCFA11 OR RCFF11 OR RCRB11 OR RCRI11 OR RDPD11 OR RECH11 OR RECR11 OR RECT11 OR REIT11 OR RELG11 OR RFOF11 OR RMAI11 OR RNDP11 OR RNGO11 OR RRCI11 OR RSBU11B OR RSPD11 OR RVBI11 OR RZAK11 OR RZTR11 OR SAAG11 OR SADI11 OR SAIC11B OR SARE11 OR SCPF11 OR SDIL11 OR SFND11 OR SHDP11B OR SHOP11 OR SHPH11 OR SOLR11 OR SPAF11 OR SPTW11 OR SPVJ11 OR STFI11 OR STRX11 OR TBOF11 OR TCIN11 OR TCIN12 OR TCPF11</v>
      </c>
      <c r="G284" s="44" t="s">
        <v>4602</v>
      </c>
      <c r="H284" s="44" t="s">
        <v>4603</v>
      </c>
      <c r="I284" s="6" t="str">
        <f t="shared" si="2"/>
        <v>(TCIN12)</v>
      </c>
    </row>
    <row r="285">
      <c r="A285" s="6" t="str">
        <f t="shared" si="1"/>
        <v>Fundos de Renda variável | FIIs | Treecorp Real Estate I</v>
      </c>
      <c r="B285" s="22" t="s">
        <v>4604</v>
      </c>
      <c r="C285" s="22" t="s">
        <v>3457</v>
      </c>
      <c r="D285" s="22" t="s">
        <v>3593</v>
      </c>
      <c r="E285" s="22" t="s">
        <v>4605</v>
      </c>
      <c r="F285"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 OR RBRL11 OR RBRM11 OR RBRP11 OR RBRR11 OR RBRS11 OR RBRY11 OR RBTS11 OR RBVA11 OR RBVO11 OR RCCS11 OR RCFA11 OR RCFF11 OR RCRB11 OR RCRI11 OR RDPD11 OR RECH11 OR RECR11 OR RECT11 OR REIT11 OR RELG11 OR RFOF11 OR RMAI11 OR RNDP11 OR RNGO11 OR RRCI11 OR RSBU11B OR RSPD11 OR RVBI11 OR RZAK11 OR RZTR11 OR SAAG11 OR SADI11 OR SAIC11B OR SARE11 OR SCPF11 OR SDIL11 OR SFND11 OR SHDP11B OR SHOP11 OR SHPH11 OR SOLR11 OR SPAF11 OR SPTW11 OR SPVJ11 OR STFI11 OR STRX11 OR TBOF11 OR TCIN11 OR TCIN12 OR TCPF11 OR TELD11</v>
      </c>
      <c r="G285" s="44" t="s">
        <v>4606</v>
      </c>
      <c r="H285" s="44" t="s">
        <v>4607</v>
      </c>
      <c r="I285" s="6" t="str">
        <f t="shared" si="2"/>
        <v>(TCPF11)</v>
      </c>
    </row>
    <row r="286">
      <c r="A286" s="6" t="str">
        <f t="shared" si="1"/>
        <v>Fundos de Renda variável | FIIs | Tellus Desenvolvimento Logístico</v>
      </c>
      <c r="B286" s="22" t="s">
        <v>4608</v>
      </c>
      <c r="C286" s="22" t="s">
        <v>3463</v>
      </c>
      <c r="D286" s="22" t="s">
        <v>3431</v>
      </c>
      <c r="E286" s="22" t="s">
        <v>4609</v>
      </c>
      <c r="F286"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 OR RBRL11 OR RBRM11 OR RBRP11 OR RBRR11 OR RBRS11 OR RBRY11 OR RBTS11 OR RBVA11 OR RBVO11 OR RCCS11 OR RCFA11 OR RCFF11 OR RCRB11 OR RCRI11 OR RDPD11 OR RECH11 OR RECR11 OR RECT11 OR REIT11 OR RELG11 OR RFOF11 OR RMAI11 OR RNDP11 OR RNGO11 OR RRCI11 OR RSBU11B OR RSPD11 OR RVBI11 OR RZAK11 OR RZTR11 OR SAAG11 OR SADI11 OR SAIC11B OR SARE11 OR SCPF11 OR SDIL11 OR SFND11 OR SHDP11B OR SHOP11 OR SHPH11 OR SOLR11 OR SPAF11 OR SPTW11 OR SPVJ11 OR STFI11 OR STRX11 OR TBOF11 OR TCIN11 OR TCIN12 OR TCPF11 OR TELD11 OR TEPP11</v>
      </c>
      <c r="G286" s="44" t="s">
        <v>4610</v>
      </c>
      <c r="H286" s="44" t="s">
        <v>4611</v>
      </c>
      <c r="I286" s="6" t="str">
        <f t="shared" si="2"/>
        <v>(TELD11)</v>
      </c>
    </row>
    <row r="287">
      <c r="A287" s="6" t="str">
        <f t="shared" si="1"/>
        <v>Fundos de Renda variável | FIIs | Tellus Properties</v>
      </c>
      <c r="B287" s="22" t="s">
        <v>4612</v>
      </c>
      <c r="C287" s="22" t="s">
        <v>3436</v>
      </c>
      <c r="D287" s="22" t="s">
        <v>3431</v>
      </c>
      <c r="E287" s="22" t="s">
        <v>4613</v>
      </c>
      <c r="F287"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 OR RBRL11 OR RBRM11 OR RBRP11 OR RBRR11 OR RBRS11 OR RBRY11 OR RBTS11 OR RBVA11 OR RBVO11 OR RCCS11 OR RCFA11 OR RCFF11 OR RCRB11 OR RCRI11 OR RDPD11 OR RECH11 OR RECR11 OR RECT11 OR REIT11 OR RELG11 OR RFOF11 OR RMAI11 OR RNDP11 OR RNGO11 OR RRCI11 OR RSBU11B OR RSPD11 OR RVBI11 OR RZAK11 OR RZTR11 OR SAAG11 OR SADI11 OR SAIC11B OR SARE11 OR SCPF11 OR SDIL11 OR SFND11 OR SHDP11B OR SHOP11 OR SHPH11 OR SOLR11 OR SPAF11 OR SPTW11 OR SPVJ11 OR STFI11 OR STRX11 OR TBOF11 OR TCIN11 OR TCIN12 OR TCPF11 OR TELD11 OR TEPP11 OR TFOF11</v>
      </c>
      <c r="G287" s="44" t="s">
        <v>4614</v>
      </c>
      <c r="H287" s="44" t="s">
        <v>4615</v>
      </c>
      <c r="I287" s="6" t="str">
        <f t="shared" si="2"/>
        <v>(TEPP11)</v>
      </c>
    </row>
    <row r="288">
      <c r="A288" s="6" t="str">
        <f t="shared" si="1"/>
        <v>Fundos de Renda variável | FIIs | Hedge TOP FOFII</v>
      </c>
      <c r="B288" s="22" t="s">
        <v>4616</v>
      </c>
      <c r="C288" s="22" t="s">
        <v>3430</v>
      </c>
      <c r="D288" s="22" t="s">
        <v>3484</v>
      </c>
      <c r="E288" s="22" t="s">
        <v>4617</v>
      </c>
      <c r="F288"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 OR RBRL11 OR RBRM11 OR RBRP11 OR RBRR11 OR RBRS11 OR RBRY11 OR RBTS11 OR RBVA11 OR RBVO11 OR RCCS11 OR RCFA11 OR RCFF11 OR RCRB11 OR RCRI11 OR RDPD11 OR RECH11 OR RECR11 OR RECT11 OR REIT11 OR RELG11 OR RFOF11 OR RMAI11 OR RNDP11 OR RNGO11 OR RRCI11 OR RSBU11B OR RSPD11 OR RVBI11 OR RZAK11 OR RZTR11 OR SAAG11 OR SADI11 OR SAIC11B OR SARE11 OR SCPF11 OR SDIL11 OR SFND11 OR SHDP11B OR SHOP11 OR SHPH11 OR SOLR11 OR SPAF11 OR SPTW11 OR SPVJ11 OR STFI11 OR STRX11 OR TBOF11 OR TCIN11 OR TCIN12 OR TCPF11 OR TELD11 OR TEPP11 OR TFOF11 OR TGAR11</v>
      </c>
      <c r="G288" s="44" t="s">
        <v>4618</v>
      </c>
      <c r="H288" s="44" t="s">
        <v>4619</v>
      </c>
      <c r="I288" s="6" t="str">
        <f t="shared" si="2"/>
        <v>(TFOF11)</v>
      </c>
    </row>
    <row r="289">
      <c r="A289" s="6" t="str">
        <f t="shared" si="1"/>
        <v>Fundos de Renda variável | FIIs | TG Ativo Real</v>
      </c>
      <c r="B289" s="22" t="s">
        <v>4620</v>
      </c>
      <c r="C289" s="22" t="s">
        <v>3457</v>
      </c>
      <c r="D289" s="22" t="s">
        <v>3464</v>
      </c>
      <c r="E289" s="22" t="s">
        <v>4621</v>
      </c>
      <c r="F289"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 OR RBRL11 OR RBRM11 OR RBRP11 OR RBRR11 OR RBRS11 OR RBRY11 OR RBTS11 OR RBVA11 OR RBVO11 OR RCCS11 OR RCFA11 OR RCFF11 OR RCRB11 OR RCRI11 OR RDPD11 OR RECH11 OR RECR11 OR RECT11 OR REIT11 OR RELG11 OR RFOF11 OR RMAI11 OR RNDP11 OR RNGO11 OR RRCI11 OR RSBU11B OR RSPD11 OR RVBI11 OR RZAK11 OR RZTR11 OR SAAG11 OR SADI11 OR SAIC11B OR SARE11 OR SCPF11 OR SDIL11 OR SFND11 OR SHDP11B OR SHOP11 OR SHPH11 OR SOLR11 OR SPAF11 OR SPTW11 OR SPVJ11 OR STFI11 OR STRX11 OR TBOF11 OR TCIN11 OR TCIN12 OR TCPF11 OR TELD11 OR TEPP11 OR TFOF11 OR TGAR11 OR THRA11</v>
      </c>
      <c r="G289" s="44" t="s">
        <v>4622</v>
      </c>
      <c r="H289" s="44" t="s">
        <v>4623</v>
      </c>
      <c r="I289" s="6" t="str">
        <f t="shared" si="2"/>
        <v>(TGAR11)</v>
      </c>
    </row>
    <row r="290">
      <c r="A290" s="6" t="str">
        <f t="shared" si="1"/>
        <v>Fundos de Renda variável | FIIs | BM Cyrela Thera Corporate</v>
      </c>
      <c r="B290" s="22" t="s">
        <v>4624</v>
      </c>
      <c r="C290" s="22" t="s">
        <v>3436</v>
      </c>
      <c r="D290" s="22" t="s">
        <v>3442</v>
      </c>
      <c r="E290" s="22" t="s">
        <v>4625</v>
      </c>
      <c r="F290"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 OR RBRL11 OR RBRM11 OR RBRP11 OR RBRR11 OR RBRS11 OR RBRY11 OR RBTS11 OR RBVA11 OR RBVO11 OR RCCS11 OR RCFA11 OR RCFF11 OR RCRB11 OR RCRI11 OR RDPD11 OR RECH11 OR RECR11 OR RECT11 OR REIT11 OR RELG11 OR RFOF11 OR RMAI11 OR RNDP11 OR RNGO11 OR RRCI11 OR RSBU11B OR RSPD11 OR RVBI11 OR RZAK11 OR RZTR11 OR SAAG11 OR SADI11 OR SAIC11B OR SARE11 OR SCPF11 OR SDIL11 OR SFND11 OR SHDP11B OR SHOP11 OR SHPH11 OR SOLR11 OR SPAF11 OR SPTW11 OR SPVJ11 OR STFI11 OR STRX11 OR TBOF11 OR TCIN11 OR TCIN12 OR TCPF11 OR TELD11 OR TEPP11 OR TFOF11 OR TGAR11 OR THRA11 OR TORD11</v>
      </c>
      <c r="G290" s="44" t="s">
        <v>4626</v>
      </c>
      <c r="H290" s="44" t="s">
        <v>4627</v>
      </c>
      <c r="I290" s="6" t="str">
        <f t="shared" si="2"/>
        <v>(THRA11)</v>
      </c>
    </row>
    <row r="291">
      <c r="A291" s="6" t="str">
        <f t="shared" si="1"/>
        <v>Fundos de Renda variável | FIIs | TORDESILHAS EI</v>
      </c>
      <c r="B291" s="22" t="s">
        <v>4628</v>
      </c>
      <c r="C291" s="22" t="s">
        <v>3447</v>
      </c>
      <c r="D291" s="22" t="s">
        <v>3464</v>
      </c>
      <c r="E291" s="22" t="s">
        <v>4629</v>
      </c>
      <c r="F291"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 OR RBRL11 OR RBRM11 OR RBRP11 OR RBRR11 OR RBRS11 OR RBRY11 OR RBTS11 OR RBVA11 OR RBVO11 OR RCCS11 OR RCFA11 OR RCFF11 OR RCRB11 OR RCRI11 OR RDPD11 OR RECH11 OR RECR11 OR RECT11 OR REIT11 OR RELG11 OR RFOF11 OR RMAI11 OR RNDP11 OR RNGO11 OR RRCI11 OR RSBU11B OR RSPD11 OR RVBI11 OR RZAK11 OR RZTR11 OR SAAG11 OR SADI11 OR SAIC11B OR SARE11 OR SCPF11 OR SDIL11 OR SFND11 OR SHDP11B OR SHOP11 OR SHPH11 OR SOLR11 OR SPAF11 OR SPTW11 OR SPVJ11 OR STFI11 OR STRX11 OR TBOF11 OR TCIN11 OR TCIN12 OR TCPF11 OR TELD11 OR TEPP11 OR TFOF11 OR TGAR11 OR THRA11 OR TORD11 OR TORM11</v>
      </c>
      <c r="G291" s="44" t="s">
        <v>4630</v>
      </c>
      <c r="H291" s="44" t="s">
        <v>4631</v>
      </c>
      <c r="I291" s="6" t="str">
        <f t="shared" si="2"/>
        <v>(TORD11)</v>
      </c>
    </row>
    <row r="292">
      <c r="A292" s="6" t="str">
        <f t="shared" si="1"/>
        <v>Fundos de Renda variável | FIIs | Tourmalet I</v>
      </c>
      <c r="B292" s="22" t="s">
        <v>4632</v>
      </c>
      <c r="C292" s="22" t="s">
        <v>3457</v>
      </c>
      <c r="D292" s="22" t="s">
        <v>3464</v>
      </c>
      <c r="E292" s="22" t="s">
        <v>4633</v>
      </c>
      <c r="F292"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 OR RBRL11 OR RBRM11 OR RBRP11 OR RBRR11 OR RBRS11 OR RBRY11 OR RBTS11 OR RBVA11 OR RBVO11 OR RCCS11 OR RCFA11 OR RCFF11 OR RCRB11 OR RCRI11 OR RDPD11 OR RECH11 OR RECR11 OR RECT11 OR REIT11 OR RELG11 OR RFOF11 OR RMAI11 OR RNDP11 OR RNGO11 OR RRCI11 OR RSBU11B OR RSPD11 OR RVBI11 OR RZAK11 OR RZTR11 OR SAAG11 OR SADI11 OR SAIC11B OR SARE11 OR SCPF11 OR SDIL11 OR SFND11 OR SHDP11B OR SHOP11 OR SHPH11 OR SOLR11 OR SPAF11 OR SPTW11 OR SPVJ11 OR STFI11 OR STRX11 OR TBOF11 OR TCIN11 OR TCIN12 OR TCPF11 OR TELD11 OR TEPP11 OR TFOF11 OR TGAR11 OR THRA11 OR TORD11 OR TORM11 OR TOUR11</v>
      </c>
      <c r="G292" s="44" t="s">
        <v>4634</v>
      </c>
      <c r="H292" s="44" t="s">
        <v>4635</v>
      </c>
      <c r="I292" s="6" t="str">
        <f t="shared" si="2"/>
        <v>(TORM11)</v>
      </c>
    </row>
    <row r="293">
      <c r="A293" s="6" t="str">
        <f t="shared" si="1"/>
        <v>Fundos de Renda variável | FIIs | Tourmalet II</v>
      </c>
      <c r="B293" s="22" t="s">
        <v>4636</v>
      </c>
      <c r="C293" s="22" t="s">
        <v>3457</v>
      </c>
      <c r="D293" s="22" t="s">
        <v>3464</v>
      </c>
      <c r="E293" s="22" t="s">
        <v>4637</v>
      </c>
      <c r="F293"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 OR RBRL11 OR RBRM11 OR RBRP11 OR RBRR11 OR RBRS11 OR RBRY11 OR RBTS11 OR RBVA11 OR RBVO11 OR RCCS11 OR RCFA11 OR RCFF11 OR RCRB11 OR RCRI11 OR RDPD11 OR RECH11 OR RECR11 OR RECT11 OR REIT11 OR RELG11 OR RFOF11 OR RMAI11 OR RNDP11 OR RNGO11 OR RRCI11 OR RSBU11B OR RSPD11 OR RVBI11 OR RZAK11 OR RZTR11 OR SAAG11 OR SADI11 OR SAIC11B OR SARE11 OR SCPF11 OR SDIL11 OR SFND11 OR SHDP11B OR SHOP11 OR SHPH11 OR SOLR11 OR SPAF11 OR SPTW11 OR SPVJ11 OR STFI11 OR STRX11 OR TBOF11 OR TCIN11 OR TCIN12 OR TCPF11 OR TELD11 OR TEPP11 OR TFOF11 OR TGAR11 OR THRA11 OR TORD11 OR TORM11 OR TOUR11 OR TRNT11</v>
      </c>
      <c r="G293" s="44" t="s">
        <v>4638</v>
      </c>
      <c r="H293" s="44" t="s">
        <v>4639</v>
      </c>
      <c r="I293" s="6" t="str">
        <f t="shared" si="2"/>
        <v>(TOUR11)</v>
      </c>
    </row>
    <row r="294">
      <c r="A294" s="6" t="str">
        <f t="shared" si="1"/>
        <v>Fundos de Renda variável | FIIs | Torre Norte</v>
      </c>
      <c r="B294" s="22" t="s">
        <v>4640</v>
      </c>
      <c r="C294" s="22" t="s">
        <v>3436</v>
      </c>
      <c r="D294" s="22" t="s">
        <v>3442</v>
      </c>
      <c r="E294" s="22" t="s">
        <v>4641</v>
      </c>
      <c r="F294"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 OR RBRL11 OR RBRM11 OR RBRP11 OR RBRR11 OR RBRS11 OR RBRY11 OR RBTS11 OR RBVA11 OR RBVO11 OR RCCS11 OR RCFA11 OR RCFF11 OR RCRB11 OR RCRI11 OR RDPD11 OR RECH11 OR RECR11 OR RECT11 OR REIT11 OR RELG11 OR RFOF11 OR RMAI11 OR RNDP11 OR RNGO11 OR RRCI11 OR RSBU11B OR RSPD11 OR RVBI11 OR RZAK11 OR RZTR11 OR SAAG11 OR SADI11 OR SAIC11B OR SARE11 OR SCPF11 OR SDIL11 OR SFND11 OR SHDP11B OR SHOP11 OR SHPH11 OR SOLR11 OR SPAF11 OR SPTW11 OR SPVJ11 OR STFI11 OR STRX11 OR TBOF11 OR TCIN11 OR TCIN12 OR TCPF11 OR TELD11 OR TEPP11 OR TFOF11 OR TGAR11 OR THRA11 OR TORD11 OR TORM11 OR TOUR11 OR TRNT11 OR TRXB11</v>
      </c>
      <c r="G294" s="44" t="s">
        <v>4642</v>
      </c>
      <c r="H294" s="44" t="s">
        <v>4643</v>
      </c>
      <c r="I294" s="6" t="str">
        <f t="shared" si="2"/>
        <v>(TRNT11)</v>
      </c>
    </row>
    <row r="295">
      <c r="A295" s="6" t="str">
        <f t="shared" si="1"/>
        <v>Fundos de Renda variável | FIIs | TRX Real Estate II</v>
      </c>
      <c r="B295" s="22" t="s">
        <v>4644</v>
      </c>
      <c r="C295" s="22" t="s">
        <v>3463</v>
      </c>
      <c r="D295" s="22" t="s">
        <v>3431</v>
      </c>
      <c r="E295" s="22" t="s">
        <v>4645</v>
      </c>
      <c r="F295"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 OR RBRL11 OR RBRM11 OR RBRP11 OR RBRR11 OR RBRS11 OR RBRY11 OR RBTS11 OR RBVA11 OR RBVO11 OR RCCS11 OR RCFA11 OR RCFF11 OR RCRB11 OR RCRI11 OR RDPD11 OR RECH11 OR RECR11 OR RECT11 OR REIT11 OR RELG11 OR RFOF11 OR RMAI11 OR RNDP11 OR RNGO11 OR RRCI11 OR RSBU11B OR RSPD11 OR RVBI11 OR RZAK11 OR RZTR11 OR SAAG11 OR SADI11 OR SAIC11B OR SARE11 OR SCPF11 OR SDIL11 OR SFND11 OR SHDP11B OR SHOP11 OR SHPH11 OR SOLR11 OR SPAF11 OR SPTW11 OR SPVJ11 OR STFI11 OR STRX11 OR TBOF11 OR TCIN11 OR TCIN12 OR TCPF11 OR TELD11 OR TEPP11 OR TFOF11 OR TGAR11 OR THRA11 OR TORD11 OR TORM11 OR TOUR11 OR TRNT11 OR TRXB11 OR TRXF11</v>
      </c>
      <c r="G295" s="44" t="s">
        <v>4646</v>
      </c>
      <c r="H295" s="44" t="s">
        <v>4647</v>
      </c>
      <c r="I295" s="6" t="str">
        <f t="shared" si="2"/>
        <v>(TRXB11)</v>
      </c>
    </row>
    <row r="296">
      <c r="A296" s="6" t="str">
        <f t="shared" si="1"/>
        <v>Fundos de Renda variável | FIIs | TRX Real Estate</v>
      </c>
      <c r="B296" s="22" t="s">
        <v>4648</v>
      </c>
      <c r="C296" s="22" t="s">
        <v>3418</v>
      </c>
      <c r="D296" s="22" t="s">
        <v>3431</v>
      </c>
      <c r="E296" s="22" t="s">
        <v>4649</v>
      </c>
      <c r="F296"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 OR RBRL11 OR RBRM11 OR RBRP11 OR RBRR11 OR RBRS11 OR RBRY11 OR RBTS11 OR RBVA11 OR RBVO11 OR RCCS11 OR RCFA11 OR RCFF11 OR RCRB11 OR RCRI11 OR RDPD11 OR RECH11 OR RECR11 OR RECT11 OR REIT11 OR RELG11 OR RFOF11 OR RMAI11 OR RNDP11 OR RNGO11 OR RRCI11 OR RSBU11B OR RSPD11 OR RVBI11 OR RZAK11 OR RZTR11 OR SAAG11 OR SADI11 OR SAIC11B OR SARE11 OR SCPF11 OR SDIL11 OR SFND11 OR SHDP11B OR SHOP11 OR SHPH11 OR SOLR11 OR SPAF11 OR SPTW11 OR SPVJ11 OR STFI11 OR STRX11 OR TBOF11 OR TCIN11 OR TCIN12 OR TCPF11 OR TELD11 OR TEPP11 OR TFOF11 OR TGAR11 OR THRA11 OR TORD11 OR TORM11 OR TOUR11 OR TRNT11 OR TRXB11 OR TRXF11 OR TSNC11</v>
      </c>
      <c r="G296" s="44" t="s">
        <v>4650</v>
      </c>
      <c r="H296" s="44" t="s">
        <v>4651</v>
      </c>
      <c r="I296" s="6" t="str">
        <f t="shared" si="2"/>
        <v>(TRXF11)</v>
      </c>
    </row>
    <row r="297">
      <c r="A297" s="6" t="str">
        <f t="shared" si="1"/>
        <v>Fundos de Renda variável | FIIs | Transinc</v>
      </c>
      <c r="B297" s="22" t="s">
        <v>4652</v>
      </c>
      <c r="C297" s="22" t="s">
        <v>3436</v>
      </c>
      <c r="D297" s="22" t="s">
        <v>4049</v>
      </c>
      <c r="E297" s="22" t="s">
        <v>4653</v>
      </c>
      <c r="F297"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 OR RBRL11 OR RBRM11 OR RBRP11 OR RBRR11 OR RBRS11 OR RBRY11 OR RBTS11 OR RBVA11 OR RBVO11 OR RCCS11 OR RCFA11 OR RCFF11 OR RCRB11 OR RCRI11 OR RDPD11 OR RECH11 OR RECR11 OR RECT11 OR REIT11 OR RELG11 OR RFOF11 OR RMAI11 OR RNDP11 OR RNGO11 OR RRCI11 OR RSBU11B OR RSPD11 OR RVBI11 OR RZAK11 OR RZTR11 OR SAAG11 OR SADI11 OR SAIC11B OR SARE11 OR SCPF11 OR SDIL11 OR SFND11 OR SHDP11B OR SHOP11 OR SHPH11 OR SOLR11 OR SPAF11 OR SPTW11 OR SPVJ11 OR STFI11 OR STRX11 OR TBOF11 OR TCIN11 OR TCIN12 OR TCPF11 OR TELD11 OR TEPP11 OR TFOF11 OR TGAR11 OR THRA11 OR TORD11 OR TORM11 OR TOUR11 OR TRNT11 OR TRXB11 OR TRXF11 OR TSNC11 OR URBN11</v>
      </c>
      <c r="G297" s="44" t="s">
        <v>4654</v>
      </c>
      <c r="H297" s="44" t="s">
        <v>4655</v>
      </c>
      <c r="I297" s="6" t="str">
        <f t="shared" si="2"/>
        <v>(TSNC11)</v>
      </c>
    </row>
    <row r="298">
      <c r="A298" s="6" t="str">
        <f t="shared" si="1"/>
        <v>Fundos de Renda variável | FIIs | Urbaniza</v>
      </c>
      <c r="B298" s="22" t="s">
        <v>4656</v>
      </c>
      <c r="C298" s="22" t="s">
        <v>3457</v>
      </c>
      <c r="D298" s="22" t="s">
        <v>3811</v>
      </c>
      <c r="E298" s="22" t="s">
        <v>4657</v>
      </c>
      <c r="F298"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 OR RBRL11 OR RBRM11 OR RBRP11 OR RBRR11 OR RBRS11 OR RBRY11 OR RBTS11 OR RBVA11 OR RBVO11 OR RCCS11 OR RCFA11 OR RCFF11 OR RCRB11 OR RCRI11 OR RDPD11 OR RECH11 OR RECR11 OR RECT11 OR REIT11 OR RELG11 OR RFOF11 OR RMAI11 OR RNDP11 OR RNGO11 OR RRCI11 OR RSBU11B OR RSPD11 OR RVBI11 OR RZAK11 OR RZTR11 OR SAAG11 OR SADI11 OR SAIC11B OR SARE11 OR SCPF11 OR SDIL11 OR SFND11 OR SHDP11B OR SHOP11 OR SHPH11 OR SOLR11 OR SPAF11 OR SPTW11 OR SPVJ11 OR STFI11 OR STRX11 OR TBOF11 OR TCIN11 OR TCIN12 OR TCPF11 OR TELD11 OR TEPP11 OR TFOF11 OR TGAR11 OR THRA11 OR TORD11 OR TORM11 OR TOUR11 OR TRNT11 OR TRXB11 OR TRXF11 OR TSNC11 OR URBN11 OR URPR11</v>
      </c>
      <c r="G298" s="44" t="s">
        <v>4658</v>
      </c>
      <c r="H298" s="44" t="s">
        <v>4659</v>
      </c>
      <c r="I298" s="6" t="str">
        <f t="shared" si="2"/>
        <v>(URBN11)</v>
      </c>
    </row>
    <row r="299">
      <c r="A299" s="6" t="str">
        <f t="shared" si="1"/>
        <v>Fundos de Renda variável | FIIs | Urca Prime Renda</v>
      </c>
      <c r="B299" s="22" t="s">
        <v>4660</v>
      </c>
      <c r="C299" s="22" t="s">
        <v>3424</v>
      </c>
      <c r="D299" s="22" t="s">
        <v>3464</v>
      </c>
      <c r="E299" s="22" t="s">
        <v>4661</v>
      </c>
      <c r="F299"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 OR RBRL11 OR RBRM11 OR RBRP11 OR RBRR11 OR RBRS11 OR RBRY11 OR RBTS11 OR RBVA11 OR RBVO11 OR RCCS11 OR RCFA11 OR RCFF11 OR RCRB11 OR RCRI11 OR RDPD11 OR RECH11 OR RECR11 OR RECT11 OR REIT11 OR RELG11 OR RFOF11 OR RMAI11 OR RNDP11 OR RNGO11 OR RRCI11 OR RSBU11B OR RSPD11 OR RVBI11 OR RZAK11 OR RZTR11 OR SAAG11 OR SADI11 OR SAIC11B OR SARE11 OR SCPF11 OR SDIL11 OR SFND11 OR SHDP11B OR SHOP11 OR SHPH11 OR SOLR11 OR SPAF11 OR SPTW11 OR SPVJ11 OR STFI11 OR STRX11 OR TBOF11 OR TCIN11 OR TCIN12 OR TCPF11 OR TELD11 OR TEPP11 OR TFOF11 OR TGAR11 OR THRA11 OR TORD11 OR TORM11 OR TOUR11 OR TRNT11 OR TRXB11 OR TRXF11 OR TSNC11 OR URBN11 OR URPR11 OR VCJR11</v>
      </c>
      <c r="G299" s="44" t="s">
        <v>4662</v>
      </c>
      <c r="H299" s="44" t="s">
        <v>4663</v>
      </c>
      <c r="I299" s="6" t="str">
        <f t="shared" si="2"/>
        <v>(URPR11)</v>
      </c>
    </row>
    <row r="300">
      <c r="A300" s="6" t="str">
        <f t="shared" si="1"/>
        <v>Fundos de Renda variável | FIIs | Vectis Juros Real</v>
      </c>
      <c r="B300" s="22" t="s">
        <v>4664</v>
      </c>
      <c r="C300" s="22" t="s">
        <v>3424</v>
      </c>
      <c r="D300" s="22" t="s">
        <v>4070</v>
      </c>
      <c r="E300" s="22" t="s">
        <v>4665</v>
      </c>
      <c r="F300"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 OR RBRL11 OR RBRM11 OR RBRP11 OR RBRR11 OR RBRS11 OR RBRY11 OR RBTS11 OR RBVA11 OR RBVO11 OR RCCS11 OR RCFA11 OR RCFF11 OR RCRB11 OR RCRI11 OR RDPD11 OR RECH11 OR RECR11 OR RECT11 OR REIT11 OR RELG11 OR RFOF11 OR RMAI11 OR RNDP11 OR RNGO11 OR RRCI11 OR RSBU11B OR RSPD11 OR RVBI11 OR RZAK11 OR RZTR11 OR SAAG11 OR SADI11 OR SAIC11B OR SARE11 OR SCPF11 OR SDIL11 OR SFND11 OR SHDP11B OR SHOP11 OR SHPH11 OR SOLR11 OR SPAF11 OR SPTW11 OR SPVJ11 OR STFI11 OR STRX11 OR TBOF11 OR TCIN11 OR TCIN12 OR TCPF11 OR TELD11 OR TEPP11 OR TFOF11 OR TGAR11 OR THRA11 OR TORD11 OR TORM11 OR TOUR11 OR TRNT11 OR TRXB11 OR TRXF11 OR TSNC11 OR URBN11 OR URPR11 OR VCJR11 OR VERE11</v>
      </c>
      <c r="G300" s="44" t="s">
        <v>4666</v>
      </c>
      <c r="H300" s="44" t="s">
        <v>4667</v>
      </c>
      <c r="I300" s="6" t="str">
        <f t="shared" si="2"/>
        <v>(VCJR11)</v>
      </c>
    </row>
    <row r="301">
      <c r="A301" s="6" t="str">
        <f t="shared" si="1"/>
        <v>Fundos de Renda variável | FIIs | VEREDA</v>
      </c>
      <c r="B301" s="22" t="s">
        <v>4668</v>
      </c>
      <c r="C301" s="22" t="s">
        <v>3436</v>
      </c>
      <c r="D301" s="22" t="s">
        <v>3419</v>
      </c>
      <c r="E301" s="22" t="s">
        <v>4669</v>
      </c>
      <c r="F301"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 OR RBRL11 OR RBRM11 OR RBRP11 OR RBRR11 OR RBRS11 OR RBRY11 OR RBTS11 OR RBVA11 OR RBVO11 OR RCCS11 OR RCFA11 OR RCFF11 OR RCRB11 OR RCRI11 OR RDPD11 OR RECH11 OR RECR11 OR RECT11 OR REIT11 OR RELG11 OR RFOF11 OR RMAI11 OR RNDP11 OR RNGO11 OR RRCI11 OR RSBU11B OR RSPD11 OR RVBI11 OR RZAK11 OR RZTR11 OR SAAG11 OR SADI11 OR SAIC11B OR SARE11 OR SCPF11 OR SDIL11 OR SFND11 OR SHDP11B OR SHOP11 OR SHPH11 OR SOLR11 OR SPAF11 OR SPTW11 OR SPVJ11 OR STFI11 OR STRX11 OR TBOF11 OR TCIN11 OR TCIN12 OR TCPF11 OR TELD11 OR TEPP11 OR TFOF11 OR TGAR11 OR THRA11 OR TORD11 OR TORM11 OR TOUR11 OR TRNT11 OR TRXB11 OR TRXF11 OR TSNC11 OR URBN11 OR URPR11 OR VCJR11 OR VERE11 OR VGIP11</v>
      </c>
      <c r="G301" s="44" t="s">
        <v>4670</v>
      </c>
      <c r="H301" s="44" t="s">
        <v>4671</v>
      </c>
      <c r="I301" s="6" t="str">
        <f t="shared" si="2"/>
        <v>(VERE11)</v>
      </c>
    </row>
    <row r="302">
      <c r="A302" s="6" t="str">
        <f t="shared" si="1"/>
        <v>Fundos de Renda variável | FIIs | Valora CRI Índice de Preço</v>
      </c>
      <c r="B302" s="22" t="s">
        <v>4672</v>
      </c>
      <c r="C302" s="22" t="s">
        <v>3424</v>
      </c>
      <c r="D302" s="22" t="s">
        <v>3442</v>
      </c>
      <c r="E302" s="22" t="s">
        <v>4673</v>
      </c>
      <c r="F302"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 OR RBRL11 OR RBRM11 OR RBRP11 OR RBRR11 OR RBRS11 OR RBRY11 OR RBTS11 OR RBVA11 OR RBVO11 OR RCCS11 OR RCFA11 OR RCFF11 OR RCRB11 OR RCRI11 OR RDPD11 OR RECH11 OR RECR11 OR RECT11 OR REIT11 OR RELG11 OR RFOF11 OR RMAI11 OR RNDP11 OR RNGO11 OR RRCI11 OR RSBU11B OR RSPD11 OR RVBI11 OR RZAK11 OR RZTR11 OR SAAG11 OR SADI11 OR SAIC11B OR SARE11 OR SCPF11 OR SDIL11 OR SFND11 OR SHDP11B OR SHOP11 OR SHPH11 OR SOLR11 OR SPAF11 OR SPTW11 OR SPVJ11 OR STFI11 OR STRX11 OR TBOF11 OR TCIN11 OR TCIN12 OR TCPF11 OR TELD11 OR TEPP11 OR TFOF11 OR TGAR11 OR THRA11 OR TORD11 OR TORM11 OR TOUR11 OR TRNT11 OR TRXB11 OR TRXF11 OR TSNC11 OR URBN11 OR URPR11 OR VCJR11 OR VERE11 OR VGIP11 OR VGIR11</v>
      </c>
      <c r="G302" s="44" t="s">
        <v>4674</v>
      </c>
      <c r="H302" s="44" t="s">
        <v>4675</v>
      </c>
      <c r="I302" s="6" t="str">
        <f t="shared" si="2"/>
        <v>(VGIP11)</v>
      </c>
    </row>
    <row r="303">
      <c r="A303" s="6" t="str">
        <f t="shared" si="1"/>
        <v>Fundos de Renda variável | FIIs | VALORA RE III</v>
      </c>
      <c r="B303" s="22" t="s">
        <v>4676</v>
      </c>
      <c r="C303" s="22" t="s">
        <v>3424</v>
      </c>
      <c r="D303" s="22" t="s">
        <v>3442</v>
      </c>
      <c r="E303" s="22" t="s">
        <v>4677</v>
      </c>
      <c r="F303"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 OR RBRL11 OR RBRM11 OR RBRP11 OR RBRR11 OR RBRS11 OR RBRY11 OR RBTS11 OR RBVA11 OR RBVO11 OR RCCS11 OR RCFA11 OR RCFF11 OR RCRB11 OR RCRI11 OR RDPD11 OR RECH11 OR RECR11 OR RECT11 OR REIT11 OR RELG11 OR RFOF11 OR RMAI11 OR RNDP11 OR RNGO11 OR RRCI11 OR RSBU11B OR RSPD11 OR RVBI11 OR RZAK11 OR RZTR11 OR SAAG11 OR SADI11 OR SAIC11B OR SARE11 OR SCPF11 OR SDIL11 OR SFND11 OR SHDP11B OR SHOP11 OR SHPH11 OR SOLR11 OR SPAF11 OR SPTW11 OR SPVJ11 OR STFI11 OR STRX11 OR TBOF11 OR TCIN11 OR TCIN12 OR TCPF11 OR TELD11 OR TEPP11 OR TFOF11 OR TGAR11 OR THRA11 OR TORD11 OR TORM11 OR TOUR11 OR TRNT11 OR TRXB11 OR TRXF11 OR TSNC11 OR URBN11 OR URPR11 OR VCJR11 OR VERE11 OR VGIP11 OR VGIR11 OR VIDS11</v>
      </c>
      <c r="G303" s="44" t="s">
        <v>4678</v>
      </c>
      <c r="H303" s="44" t="s">
        <v>4679</v>
      </c>
      <c r="I303" s="6" t="str">
        <f t="shared" si="2"/>
        <v>(VGIR11)</v>
      </c>
    </row>
    <row r="304">
      <c r="A304" s="6" t="str">
        <f t="shared" si="1"/>
        <v>Fundos de Renda variável | FIIs | Vic Desenvolvimento - Vintage 20/21</v>
      </c>
      <c r="B304" s="45" t="s">
        <v>4680</v>
      </c>
      <c r="C304" s="22" t="s">
        <v>3457</v>
      </c>
      <c r="D304" s="22" t="s">
        <v>4223</v>
      </c>
      <c r="E304" s="22" t="s">
        <v>4681</v>
      </c>
      <c r="F304"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 OR RBRL11 OR RBRM11 OR RBRP11 OR RBRR11 OR RBRS11 OR RBRY11 OR RBTS11 OR RBVA11 OR RBVO11 OR RCCS11 OR RCFA11 OR RCFF11 OR RCRB11 OR RCRI11 OR RDPD11 OR RECH11 OR RECR11 OR RECT11 OR REIT11 OR RELG11 OR RFOF11 OR RMAI11 OR RNDP11 OR RNGO11 OR RRCI11 OR RSBU11B OR RSPD11 OR RVBI11 OR RZAK11 OR RZTR11 OR SAAG11 OR SADI11 OR SAIC11B OR SARE11 OR SCPF11 OR SDIL11 OR SFND11 OR SHDP11B OR SHOP11 OR SHPH11 OR SOLR11 OR SPAF11 OR SPTW11 OR SPVJ11 OR STFI11 OR STRX11 OR TBOF11 OR TCIN11 OR TCIN12 OR TCPF11 OR TELD11 OR TEPP11 OR TFOF11 OR TGAR11 OR THRA11 OR TORD11 OR TORM11 OR TOUR11 OR TRNT11 OR TRXB11 OR TRXF11 OR TSNC11 OR URBN11 OR URPR11 OR VCJR11 OR VERE11 OR VGIP11 OR VGIR11 OR VIDS11 OR VIFI11</v>
      </c>
      <c r="G304" s="44" t="s">
        <v>4682</v>
      </c>
      <c r="H304" s="44" t="s">
        <v>4683</v>
      </c>
      <c r="I304" s="6" t="str">
        <f t="shared" si="2"/>
        <v>(VIDS11)</v>
      </c>
    </row>
    <row r="305">
      <c r="A305" s="6" t="str">
        <f t="shared" si="1"/>
        <v>Fundos de Renda variável | FIIs | Vinci Instrumentos Financeiros</v>
      </c>
      <c r="B305" s="22" t="s">
        <v>4684</v>
      </c>
      <c r="C305" s="22" t="s">
        <v>3430</v>
      </c>
      <c r="D305" s="22" t="s">
        <v>3431</v>
      </c>
      <c r="E305" s="22" t="s">
        <v>4685</v>
      </c>
      <c r="F305"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 OR RBRL11 OR RBRM11 OR RBRP11 OR RBRR11 OR RBRS11 OR RBRY11 OR RBTS11 OR RBVA11 OR RBVO11 OR RCCS11 OR RCFA11 OR RCFF11 OR RCRB11 OR RCRI11 OR RDPD11 OR RECH11 OR RECR11 OR RECT11 OR REIT11 OR RELG11 OR RFOF11 OR RMAI11 OR RNDP11 OR RNGO11 OR RRCI11 OR RSBU11B OR RSPD11 OR RVBI11 OR RZAK11 OR RZTR11 OR SAAG11 OR SADI11 OR SAIC11B OR SARE11 OR SCPF11 OR SDIL11 OR SFND11 OR SHDP11B OR SHOP11 OR SHPH11 OR SOLR11 OR SPAF11 OR SPTW11 OR SPVJ11 OR STFI11 OR STRX11 OR TBOF11 OR TCIN11 OR TCIN12 OR TCPF11 OR TELD11 OR TEPP11 OR TFOF11 OR TGAR11 OR THRA11 OR TORD11 OR TORM11 OR TOUR11 OR TRNT11 OR TRXB11 OR TRXF11 OR TSNC11 OR URBN11 OR URPR11 OR VCJR11 OR VERE11 OR VGIP11 OR VGIR11 OR VIDS11 OR VIFI11 OR VILG11</v>
      </c>
      <c r="G305" s="44" t="s">
        <v>4686</v>
      </c>
      <c r="H305" s="44" t="s">
        <v>4687</v>
      </c>
      <c r="I305" s="6" t="str">
        <f t="shared" si="2"/>
        <v>(VIFI11)</v>
      </c>
    </row>
    <row r="306">
      <c r="A306" s="6" t="str">
        <f t="shared" si="1"/>
        <v>Fundos de Renda variável | FIIs | Vinci Logística</v>
      </c>
      <c r="B306" s="22" t="s">
        <v>4688</v>
      </c>
      <c r="C306" s="22" t="s">
        <v>3463</v>
      </c>
      <c r="D306" s="22" t="s">
        <v>3431</v>
      </c>
      <c r="E306" s="22" t="s">
        <v>4689</v>
      </c>
      <c r="F306"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 OR RBRL11 OR RBRM11 OR RBRP11 OR RBRR11 OR RBRS11 OR RBRY11 OR RBTS11 OR RBVA11 OR RBVO11 OR RCCS11 OR RCFA11 OR RCFF11 OR RCRB11 OR RCRI11 OR RDPD11 OR RECH11 OR RECR11 OR RECT11 OR REIT11 OR RELG11 OR RFOF11 OR RMAI11 OR RNDP11 OR RNGO11 OR RRCI11 OR RSBU11B OR RSPD11 OR RVBI11 OR RZAK11 OR RZTR11 OR SAAG11 OR SADI11 OR SAIC11B OR SARE11 OR SCPF11 OR SDIL11 OR SFND11 OR SHDP11B OR SHOP11 OR SHPH11 OR SOLR11 OR SPAF11 OR SPTW11 OR SPVJ11 OR STFI11 OR STRX11 OR TBOF11 OR TCIN11 OR TCIN12 OR TCPF11 OR TELD11 OR TEPP11 OR TFOF11 OR TGAR11 OR THRA11 OR TORD11 OR TORM11 OR TOUR11 OR TRNT11 OR TRXB11 OR TRXF11 OR TSNC11 OR URBN11 OR URPR11 OR VCJR11 OR VERE11 OR VGIP11 OR VGIR11 OR VIDS11 OR VIFI11 OR VILG11 OR VINO11</v>
      </c>
      <c r="G306" s="44" t="s">
        <v>4690</v>
      </c>
      <c r="H306" s="44" t="s">
        <v>4691</v>
      </c>
      <c r="I306" s="6" t="str">
        <f t="shared" si="2"/>
        <v>(VILG11)</v>
      </c>
    </row>
    <row r="307">
      <c r="A307" s="6" t="str">
        <f t="shared" si="1"/>
        <v>Fundos de Renda variável | FIIs | Vinci Offices</v>
      </c>
      <c r="B307" s="22" t="s">
        <v>4692</v>
      </c>
      <c r="C307" s="22" t="s">
        <v>3436</v>
      </c>
      <c r="D307" s="22" t="s">
        <v>3431</v>
      </c>
      <c r="E307" s="22" t="s">
        <v>4693</v>
      </c>
      <c r="F307"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 OR RBRL11 OR RBRM11 OR RBRP11 OR RBRR11 OR RBRS11 OR RBRY11 OR RBTS11 OR RBVA11 OR RBVO11 OR RCCS11 OR RCFA11 OR RCFF11 OR RCRB11 OR RCRI11 OR RDPD11 OR RECH11 OR RECR11 OR RECT11 OR REIT11 OR RELG11 OR RFOF11 OR RMAI11 OR RNDP11 OR RNGO11 OR RRCI11 OR RSBU11B OR RSPD11 OR RVBI11 OR RZAK11 OR RZTR11 OR SAAG11 OR SADI11 OR SAIC11B OR SARE11 OR SCPF11 OR SDIL11 OR SFND11 OR SHDP11B OR SHOP11 OR SHPH11 OR SOLR11 OR SPAF11 OR SPTW11 OR SPVJ11 OR STFI11 OR STRX11 OR TBOF11 OR TCIN11 OR TCIN12 OR TCPF11 OR TELD11 OR TEPP11 OR TFOF11 OR TGAR11 OR THRA11 OR TORD11 OR TORM11 OR TOUR11 OR TRNT11 OR TRXB11 OR TRXF11 OR TSNC11 OR URBN11 OR URPR11 OR VCJR11 OR VERE11 OR VGIP11 OR VGIR11 OR VIDS11 OR VIFI11 OR VILG11 OR VINO11 OR VISC11</v>
      </c>
      <c r="G307" s="44" t="s">
        <v>4694</v>
      </c>
      <c r="H307" s="44" t="s">
        <v>4695</v>
      </c>
      <c r="I307" s="6" t="str">
        <f t="shared" si="2"/>
        <v>(VINO11)</v>
      </c>
    </row>
    <row r="308">
      <c r="A308" s="6" t="str">
        <f t="shared" si="1"/>
        <v>Fundos de Renda variável | FIIs | Vinci Shopping Centers</v>
      </c>
      <c r="B308" s="22" t="s">
        <v>4696</v>
      </c>
      <c r="C308" s="22" t="s">
        <v>3418</v>
      </c>
      <c r="D308" s="22" t="s">
        <v>3431</v>
      </c>
      <c r="E308" s="22" t="s">
        <v>4697</v>
      </c>
      <c r="F308"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 OR RBRL11 OR RBRM11 OR RBRP11 OR RBRR11 OR RBRS11 OR RBRY11 OR RBTS11 OR RBVA11 OR RBVO11 OR RCCS11 OR RCFA11 OR RCFF11 OR RCRB11 OR RCRI11 OR RDPD11 OR RECH11 OR RECR11 OR RECT11 OR REIT11 OR RELG11 OR RFOF11 OR RMAI11 OR RNDP11 OR RNGO11 OR RRCI11 OR RSBU11B OR RSPD11 OR RVBI11 OR RZAK11 OR RZTR11 OR SAAG11 OR SADI11 OR SAIC11B OR SARE11 OR SCPF11 OR SDIL11 OR SFND11 OR SHDP11B OR SHOP11 OR SHPH11 OR SOLR11 OR SPAF11 OR SPTW11 OR SPVJ11 OR STFI11 OR STRX11 OR TBOF11 OR TCIN11 OR TCIN12 OR TCPF11 OR TELD11 OR TEPP11 OR TFOF11 OR TGAR11 OR THRA11 OR TORD11 OR TORM11 OR TOUR11 OR TRNT11 OR TRXB11 OR TRXF11 OR TSNC11 OR URBN11 OR URPR11 OR VCJR11 OR VERE11 OR VGIP11 OR VGIR11 OR VIDS11 OR VIFI11 OR VILG11 OR VINO11 OR VISC11 OR VLJS11</v>
      </c>
      <c r="G308" s="44" t="s">
        <v>4698</v>
      </c>
      <c r="H308" s="44" t="s">
        <v>4699</v>
      </c>
      <c r="I308" s="6" t="str">
        <f t="shared" si="2"/>
        <v>(VISC11)</v>
      </c>
    </row>
    <row r="309">
      <c r="A309" s="6" t="str">
        <f t="shared" si="1"/>
        <v>Fundos de Renda variável | FIIs | Vector Queluz Lajes Corporativas</v>
      </c>
      <c r="B309" s="22" t="s">
        <v>4700</v>
      </c>
      <c r="C309" s="22" t="s">
        <v>3436</v>
      </c>
      <c r="D309" s="22" t="s">
        <v>3637</v>
      </c>
      <c r="E309" s="22" t="s">
        <v>4701</v>
      </c>
      <c r="F309"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 OR RBRL11 OR RBRM11 OR RBRP11 OR RBRR11 OR RBRS11 OR RBRY11 OR RBTS11 OR RBVA11 OR RBVO11 OR RCCS11 OR RCFA11 OR RCFF11 OR RCRB11 OR RCRI11 OR RDPD11 OR RECH11 OR RECR11 OR RECT11 OR REIT11 OR RELG11 OR RFOF11 OR RMAI11 OR RNDP11 OR RNGO11 OR RRCI11 OR RSBU11B OR RSPD11 OR RVBI11 OR RZAK11 OR RZTR11 OR SAAG11 OR SADI11 OR SAIC11B OR SARE11 OR SCPF11 OR SDIL11 OR SFND11 OR SHDP11B OR SHOP11 OR SHPH11 OR SOLR11 OR SPAF11 OR SPTW11 OR SPVJ11 OR STFI11 OR STRX11 OR TBOF11 OR TCIN11 OR TCIN12 OR TCPF11 OR TELD11 OR TEPP11 OR TFOF11 OR TGAR11 OR THRA11 OR TORD11 OR TORM11 OR TOUR11 OR TRNT11 OR TRXB11 OR TRXF11 OR TSNC11 OR URBN11 OR URPR11 OR VCJR11 OR VERE11 OR VGIP11 OR VGIR11 OR VIDS11 OR VIFI11 OR VILG11 OR VINO11 OR VISC11 OR VLJS11 OR VLOL11</v>
      </c>
      <c r="G309" s="44" t="s">
        <v>4702</v>
      </c>
      <c r="H309" s="44" t="s">
        <v>4703</v>
      </c>
      <c r="I309" s="6" t="str">
        <f t="shared" si="2"/>
        <v>(VLJS11)</v>
      </c>
    </row>
    <row r="310">
      <c r="A310" s="6" t="str">
        <f t="shared" si="1"/>
        <v>Fundos de Renda variável | FIIs | Vila Olímpia Corporate</v>
      </c>
      <c r="B310" s="22" t="s">
        <v>4704</v>
      </c>
      <c r="C310" s="22" t="s">
        <v>3436</v>
      </c>
      <c r="D310" s="22" t="s">
        <v>3473</v>
      </c>
      <c r="E310" s="22" t="s">
        <v>4705</v>
      </c>
      <c r="F310"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 OR RBRL11 OR RBRM11 OR RBRP11 OR RBRR11 OR RBRS11 OR RBRY11 OR RBTS11 OR RBVA11 OR RBVO11 OR RCCS11 OR RCFA11 OR RCFF11 OR RCRB11 OR RCRI11 OR RDPD11 OR RECH11 OR RECR11 OR RECT11 OR REIT11 OR RELG11 OR RFOF11 OR RMAI11 OR RNDP11 OR RNGO11 OR RRCI11 OR RSBU11B OR RSPD11 OR RVBI11 OR RZAK11 OR RZTR11 OR SAAG11 OR SADI11 OR SAIC11B OR SARE11 OR SCPF11 OR SDIL11 OR SFND11 OR SHDP11B OR SHOP11 OR SHPH11 OR SOLR11 OR SPAF11 OR SPTW11 OR SPVJ11 OR STFI11 OR STRX11 OR TBOF11 OR TCIN11 OR TCIN12 OR TCPF11 OR TELD11 OR TEPP11 OR TFOF11 OR TGAR11 OR THRA11 OR TORD11 OR TORM11 OR TOUR11 OR TRNT11 OR TRXB11 OR TRXF11 OR TSNC11 OR URBN11 OR URPR11 OR VCJR11 OR VERE11 OR VGIP11 OR VGIR11 OR VIDS11 OR VIFI11 OR VILG11 OR VINO11 OR VISC11 OR VLJS11 OR VLOL11 OR VOTS11</v>
      </c>
      <c r="G310" s="44" t="s">
        <v>4706</v>
      </c>
      <c r="H310" s="44" t="s">
        <v>4707</v>
      </c>
      <c r="I310" s="6" t="str">
        <f t="shared" si="2"/>
        <v>(VLOL11)</v>
      </c>
    </row>
    <row r="311">
      <c r="A311" s="6" t="str">
        <f t="shared" si="1"/>
        <v>Fundos de Renda variável | FIIs | Votorantim Securities Master</v>
      </c>
      <c r="B311" s="22" t="s">
        <v>4708</v>
      </c>
      <c r="C311" s="22" t="s">
        <v>3424</v>
      </c>
      <c r="D311" s="22" t="s">
        <v>3503</v>
      </c>
      <c r="E311" s="22" t="s">
        <v>4709</v>
      </c>
      <c r="F311"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 OR RBRL11 OR RBRM11 OR RBRP11 OR RBRR11 OR RBRS11 OR RBRY11 OR RBTS11 OR RBVA11 OR RBVO11 OR RCCS11 OR RCFA11 OR RCFF11 OR RCRB11 OR RCRI11 OR RDPD11 OR RECH11 OR RECR11 OR RECT11 OR REIT11 OR RELG11 OR RFOF11 OR RMAI11 OR RNDP11 OR RNGO11 OR RRCI11 OR RSBU11B OR RSPD11 OR RVBI11 OR RZAK11 OR RZTR11 OR SAAG11 OR SADI11 OR SAIC11B OR SARE11 OR SCPF11 OR SDIL11 OR SFND11 OR SHDP11B OR SHOP11 OR SHPH11 OR SOLR11 OR SPAF11 OR SPTW11 OR SPVJ11 OR STFI11 OR STRX11 OR TBOF11 OR TCIN11 OR TCIN12 OR TCPF11 OR TELD11 OR TEPP11 OR TFOF11 OR TGAR11 OR THRA11 OR TORD11 OR TORM11 OR TOUR11 OR TRNT11 OR TRXB11 OR TRXF11 OR TSNC11 OR URBN11 OR URPR11 OR VCJR11 OR VERE11 OR VGIP11 OR VGIR11 OR VIDS11 OR VIFI11 OR VILG11 OR VINO11 OR VISC11 OR VLJS11 OR VLOL11 OR VOTS11 OR VPSI11</v>
      </c>
      <c r="G311" s="44" t="s">
        <v>4710</v>
      </c>
      <c r="H311" s="44" t="s">
        <v>4711</v>
      </c>
      <c r="I311" s="6" t="str">
        <f t="shared" si="2"/>
        <v>(VOTS11)</v>
      </c>
    </row>
    <row r="312">
      <c r="A312" s="6" t="str">
        <f t="shared" si="1"/>
        <v>Fundos de Renda variável | FIIs | Polo Shopping Indaiatuba</v>
      </c>
      <c r="B312" s="22" t="s">
        <v>4712</v>
      </c>
      <c r="C312" s="22" t="s">
        <v>3418</v>
      </c>
      <c r="D312" s="22" t="s">
        <v>3503</v>
      </c>
      <c r="E312" s="22" t="s">
        <v>4713</v>
      </c>
      <c r="F312"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 OR RBRL11 OR RBRM11 OR RBRP11 OR RBRR11 OR RBRS11 OR RBRY11 OR RBTS11 OR RBVA11 OR RBVO11 OR RCCS11 OR RCFA11 OR RCFF11 OR RCRB11 OR RCRI11 OR RDPD11 OR RECH11 OR RECR11 OR RECT11 OR REIT11 OR RELG11 OR RFOF11 OR RMAI11 OR RNDP11 OR RNGO11 OR RRCI11 OR RSBU11B OR RSPD11 OR RVBI11 OR RZAK11 OR RZTR11 OR SAAG11 OR SADI11 OR SAIC11B OR SARE11 OR SCPF11 OR SDIL11 OR SFND11 OR SHDP11B OR SHOP11 OR SHPH11 OR SOLR11 OR SPAF11 OR SPTW11 OR SPVJ11 OR STFI11 OR STRX11 OR TBOF11 OR TCIN11 OR TCIN12 OR TCPF11 OR TELD11 OR TEPP11 OR TFOF11 OR TGAR11 OR THRA11 OR TORD11 OR TORM11 OR TOUR11 OR TRNT11 OR TRXB11 OR TRXF11 OR TSNC11 OR URBN11 OR URPR11 OR VCJR11 OR VERE11 OR VGIP11 OR VGIR11 OR VIDS11 OR VIFI11 OR VILG11 OR VINO11 OR VISC11 OR VLJS11 OR VLOL11 OR VOTS11 OR VPSI11 OR VRTA11</v>
      </c>
      <c r="G312" s="44" t="s">
        <v>4714</v>
      </c>
      <c r="H312" s="44" t="s">
        <v>4715</v>
      </c>
      <c r="I312" s="6" t="str">
        <f t="shared" si="2"/>
        <v>(VPSI11)</v>
      </c>
    </row>
    <row r="313">
      <c r="A313" s="6" t="str">
        <f t="shared" si="1"/>
        <v>Fundos de Renda variável | FIIs | Fator Verità</v>
      </c>
      <c r="B313" s="22" t="s">
        <v>4716</v>
      </c>
      <c r="C313" s="22" t="s">
        <v>3424</v>
      </c>
      <c r="D313" s="22" t="s">
        <v>4717</v>
      </c>
      <c r="E313" s="22" t="s">
        <v>4718</v>
      </c>
      <c r="F313"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 OR RBRL11 OR RBRM11 OR RBRP11 OR RBRR11 OR RBRS11 OR RBRY11 OR RBTS11 OR RBVA11 OR RBVO11 OR RCCS11 OR RCFA11 OR RCFF11 OR RCRB11 OR RCRI11 OR RDPD11 OR RECH11 OR RECR11 OR RECT11 OR REIT11 OR RELG11 OR RFOF11 OR RMAI11 OR RNDP11 OR RNGO11 OR RRCI11 OR RSBU11B OR RSPD11 OR RVBI11 OR RZAK11 OR RZTR11 OR SAAG11 OR SADI11 OR SAIC11B OR SARE11 OR SCPF11 OR SDIL11 OR SFND11 OR SHDP11B OR SHOP11 OR SHPH11 OR SOLR11 OR SPAF11 OR SPTW11 OR SPVJ11 OR STFI11 OR STRX11 OR TBOF11 OR TCIN11 OR TCIN12 OR TCPF11 OR TELD11 OR TEPP11 OR TFOF11 OR TGAR11 OR THRA11 OR TORD11 OR TORM11 OR TOUR11 OR TRNT11 OR TRXB11 OR TRXF11 OR TSNC11 OR URBN11 OR URPR11 OR VCJR11 OR VERE11 OR VGIP11 OR VGIR11 OR VIDS11 OR VIFI11 OR VILG11 OR VINO11 OR VISC11 OR VLJS11 OR VLOL11 OR VOTS11 OR VPSI11 OR VRTA11 OR VSEC11</v>
      </c>
      <c r="G313" s="44" t="s">
        <v>4719</v>
      </c>
      <c r="H313" s="44" t="s">
        <v>4720</v>
      </c>
      <c r="I313" s="6" t="str">
        <f t="shared" si="2"/>
        <v>(VRTA11)</v>
      </c>
    </row>
    <row r="314">
      <c r="A314" s="6" t="str">
        <f t="shared" si="1"/>
        <v>Fundos de Renda variável | FIIs | Votorantim Securities</v>
      </c>
      <c r="B314" s="22" t="s">
        <v>4721</v>
      </c>
      <c r="C314" s="22" t="s">
        <v>3424</v>
      </c>
      <c r="D314" s="22" t="s">
        <v>3503</v>
      </c>
      <c r="E314" s="22" t="s">
        <v>4722</v>
      </c>
      <c r="F314"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 OR RBRL11 OR RBRM11 OR RBRP11 OR RBRR11 OR RBRS11 OR RBRY11 OR RBTS11 OR RBVA11 OR RBVO11 OR RCCS11 OR RCFA11 OR RCFF11 OR RCRB11 OR RCRI11 OR RDPD11 OR RECH11 OR RECR11 OR RECT11 OR REIT11 OR RELG11 OR RFOF11 OR RMAI11 OR RNDP11 OR RNGO11 OR RRCI11 OR RSBU11B OR RSPD11 OR RVBI11 OR RZAK11 OR RZTR11 OR SAAG11 OR SADI11 OR SAIC11B OR SARE11 OR SCPF11 OR SDIL11 OR SFND11 OR SHDP11B OR SHOP11 OR SHPH11 OR SOLR11 OR SPAF11 OR SPTW11 OR SPVJ11 OR STFI11 OR STRX11 OR TBOF11 OR TCIN11 OR TCIN12 OR TCPF11 OR TELD11 OR TEPP11 OR TFOF11 OR TGAR11 OR THRA11 OR TORD11 OR TORM11 OR TOUR11 OR TRNT11 OR TRXB11 OR TRXF11 OR TSNC11 OR URBN11 OR URPR11 OR VCJR11 OR VERE11 OR VGIP11 OR VGIR11 OR VIDS11 OR VIFI11 OR VILG11 OR VINO11 OR VISC11 OR VLJS11 OR VLOL11 OR VOTS11 OR VPSI11 OR VRTA11 OR VSEC11 OR VSHO11</v>
      </c>
      <c r="G314" s="44" t="s">
        <v>4723</v>
      </c>
      <c r="H314" s="44" t="s">
        <v>4724</v>
      </c>
      <c r="I314" s="6" t="str">
        <f t="shared" si="2"/>
        <v>(VSEC11)</v>
      </c>
    </row>
    <row r="315">
      <c r="A315" s="6" t="str">
        <f t="shared" si="1"/>
        <v>Fundos de Renda variável | FIIs | Votorantim Shopping</v>
      </c>
      <c r="B315" s="22" t="s">
        <v>4725</v>
      </c>
      <c r="C315" s="22" t="s">
        <v>3418</v>
      </c>
      <c r="D315" s="22" t="s">
        <v>3503</v>
      </c>
      <c r="E315" s="22" t="s">
        <v>4726</v>
      </c>
      <c r="F315"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 OR RBRL11 OR RBRM11 OR RBRP11 OR RBRR11 OR RBRS11 OR RBRY11 OR RBTS11 OR RBVA11 OR RBVO11 OR RCCS11 OR RCFA11 OR RCFF11 OR RCRB11 OR RCRI11 OR RDPD11 OR RECH11 OR RECR11 OR RECT11 OR REIT11 OR RELG11 OR RFOF11 OR RMAI11 OR RNDP11 OR RNGO11 OR RRCI11 OR RSBU11B OR RSPD11 OR RVBI11 OR RZAK11 OR RZTR11 OR SAAG11 OR SADI11 OR SAIC11B OR SARE11 OR SCPF11 OR SDIL11 OR SFND11 OR SHDP11B OR SHOP11 OR SHPH11 OR SOLR11 OR SPAF11 OR SPTW11 OR SPVJ11 OR STFI11 OR STRX11 OR TBOF11 OR TCIN11 OR TCIN12 OR TCPF11 OR TELD11 OR TEPP11 OR TFOF11 OR TGAR11 OR THRA11 OR TORD11 OR TORM11 OR TOUR11 OR TRNT11 OR TRXB11 OR TRXF11 OR TSNC11 OR URBN11 OR URPR11 OR VCJR11 OR VERE11 OR VGIP11 OR VGIR11 OR VIDS11 OR VIFI11 OR VILG11 OR VINO11 OR VISC11 OR VLJS11 OR VLOL11 OR VOTS11 OR VPSI11 OR VRTA11 OR VSEC11 OR VSHO11 OR VTLT11</v>
      </c>
      <c r="G315" s="44" t="s">
        <v>4727</v>
      </c>
      <c r="H315" s="44" t="s">
        <v>4728</v>
      </c>
      <c r="I315" s="6" t="str">
        <f t="shared" si="2"/>
        <v>(VSHO11)</v>
      </c>
    </row>
    <row r="316">
      <c r="A316" s="6" t="str">
        <f t="shared" si="1"/>
        <v>Fundos de Renda variável | FIIs | Votorantim Logística</v>
      </c>
      <c r="B316" s="22" t="s">
        <v>4729</v>
      </c>
      <c r="C316" s="22" t="s">
        <v>3463</v>
      </c>
      <c r="D316" s="22" t="s">
        <v>3503</v>
      </c>
      <c r="E316" s="22" t="s">
        <v>4730</v>
      </c>
      <c r="F316"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 OR RBRL11 OR RBRM11 OR RBRP11 OR RBRR11 OR RBRS11 OR RBRY11 OR RBTS11 OR RBVA11 OR RBVO11 OR RCCS11 OR RCFA11 OR RCFF11 OR RCRB11 OR RCRI11 OR RDPD11 OR RECH11 OR RECR11 OR RECT11 OR REIT11 OR RELG11 OR RFOF11 OR RMAI11 OR RNDP11 OR RNGO11 OR RRCI11 OR RSBU11B OR RSPD11 OR RVBI11 OR RZAK11 OR RZTR11 OR SAAG11 OR SADI11 OR SAIC11B OR SARE11 OR SCPF11 OR SDIL11 OR SFND11 OR SHDP11B OR SHOP11 OR SHPH11 OR SOLR11 OR SPAF11 OR SPTW11 OR SPVJ11 OR STFI11 OR STRX11 OR TBOF11 OR TCIN11 OR TCIN12 OR TCPF11 OR TELD11 OR TEPP11 OR TFOF11 OR TGAR11 OR THRA11 OR TORD11 OR TORM11 OR TOUR11 OR TRNT11 OR TRXB11 OR TRXF11 OR TSNC11 OR URBN11 OR URPR11 OR VCJR11 OR VERE11 OR VGIP11 OR VGIR11 OR VIDS11 OR VIFI11 OR VILG11 OR VINO11 OR VISC11 OR VLJS11 OR VLOL11 OR VOTS11 OR VPSI11 OR VRTA11 OR VSEC11 OR VSHO11 OR VTLT11 OR VTPA11</v>
      </c>
      <c r="G316" s="44" t="s">
        <v>4731</v>
      </c>
      <c r="H316" s="44" t="s">
        <v>4732</v>
      </c>
      <c r="I316" s="6" t="str">
        <f t="shared" si="2"/>
        <v>(VTLT11)</v>
      </c>
    </row>
    <row r="317">
      <c r="A317" s="6" t="str">
        <f t="shared" si="1"/>
        <v>Fundos de Renda variável | FIIs | Votorantim Patrimonial V</v>
      </c>
      <c r="B317" s="22" t="s">
        <v>4733</v>
      </c>
      <c r="C317" s="22" t="s">
        <v>3436</v>
      </c>
      <c r="D317" s="22" t="s">
        <v>3503</v>
      </c>
      <c r="E317" s="22" t="s">
        <v>4734</v>
      </c>
      <c r="F317"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 OR RBRL11 OR RBRM11 OR RBRP11 OR RBRR11 OR RBRS11 OR RBRY11 OR RBTS11 OR RBVA11 OR RBVO11 OR RCCS11 OR RCFA11 OR RCFF11 OR RCRB11 OR RCRI11 OR RDPD11 OR RECH11 OR RECR11 OR RECT11 OR REIT11 OR RELG11 OR RFOF11 OR RMAI11 OR RNDP11 OR RNGO11 OR RRCI11 OR RSBU11B OR RSPD11 OR RVBI11 OR RZAK11 OR RZTR11 OR SAAG11 OR SADI11 OR SAIC11B OR SARE11 OR SCPF11 OR SDIL11 OR SFND11 OR SHDP11B OR SHOP11 OR SHPH11 OR SOLR11 OR SPAF11 OR SPTW11 OR SPVJ11 OR STFI11 OR STRX11 OR TBOF11 OR TCIN11 OR TCIN12 OR TCPF11 OR TELD11 OR TEPP11 OR TFOF11 OR TGAR11 OR THRA11 OR TORD11 OR TORM11 OR TOUR11 OR TRNT11 OR TRXB11 OR TRXF11 OR TSNC11 OR URBN11 OR URPR11 OR VCJR11 OR VERE11 OR VGIP11 OR VGIR11 OR VIDS11 OR VIFI11 OR VILG11 OR VINO11 OR VISC11 OR VLJS11 OR VLOL11 OR VOTS11 OR VPSI11 OR VRTA11 OR VSEC11 OR VSHO11 OR VTLT11 OR VTPA11 OR VTPL11</v>
      </c>
      <c r="G317" s="44" t="s">
        <v>4735</v>
      </c>
      <c r="H317" s="44" t="s">
        <v>4736</v>
      </c>
      <c r="I317" s="6" t="str">
        <f t="shared" si="2"/>
        <v>(VTPA11)</v>
      </c>
    </row>
    <row r="318">
      <c r="A318" s="6" t="str">
        <f t="shared" si="1"/>
        <v>Fundos de Renda variável | FIIs | FII PLUS</v>
      </c>
      <c r="B318" s="22" t="s">
        <v>4737</v>
      </c>
      <c r="C318" s="22" t="s">
        <v>3463</v>
      </c>
      <c r="D318" s="22" t="s">
        <v>3442</v>
      </c>
      <c r="E318" s="22" t="s">
        <v>4738</v>
      </c>
      <c r="F318"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 OR RBRL11 OR RBRM11 OR RBRP11 OR RBRR11 OR RBRS11 OR RBRY11 OR RBTS11 OR RBVA11 OR RBVO11 OR RCCS11 OR RCFA11 OR RCFF11 OR RCRB11 OR RCRI11 OR RDPD11 OR RECH11 OR RECR11 OR RECT11 OR REIT11 OR RELG11 OR RFOF11 OR RMAI11 OR RNDP11 OR RNGO11 OR RRCI11 OR RSBU11B OR RSPD11 OR RVBI11 OR RZAK11 OR RZTR11 OR SAAG11 OR SADI11 OR SAIC11B OR SARE11 OR SCPF11 OR SDIL11 OR SFND11 OR SHDP11B OR SHOP11 OR SHPH11 OR SOLR11 OR SPAF11 OR SPTW11 OR SPVJ11 OR STFI11 OR STRX11 OR TBOF11 OR TCIN11 OR TCIN12 OR TCPF11 OR TELD11 OR TEPP11 OR TFOF11 OR TGAR11 OR THRA11 OR TORD11 OR TORM11 OR TOUR11 OR TRNT11 OR TRXB11 OR TRXF11 OR TSNC11 OR URBN11 OR URPR11 OR VCJR11 OR VERE11 OR VGIP11 OR VGIR11 OR VIDS11 OR VIFI11 OR VILG11 OR VINO11 OR VISC11 OR VLJS11 OR VLOL11 OR VOTS11 OR VPSI11 OR VRTA11 OR VSEC11 OR VSHO11 OR VTLT11 OR VTPA11 OR VTPL11 OR VTVI11</v>
      </c>
      <c r="G318" s="44" t="s">
        <v>4739</v>
      </c>
      <c r="H318" s="44" t="s">
        <v>4740</v>
      </c>
      <c r="I318" s="6" t="str">
        <f t="shared" si="2"/>
        <v>(VTPL11)</v>
      </c>
    </row>
    <row r="319">
      <c r="A319" s="6" t="str">
        <f t="shared" si="1"/>
        <v>Fundos de Renda variável | FIIs | Parking Partners</v>
      </c>
      <c r="B319" s="22" t="s">
        <v>4741</v>
      </c>
      <c r="C319" s="22" t="s">
        <v>3418</v>
      </c>
      <c r="D319" s="22" t="s">
        <v>3503</v>
      </c>
      <c r="E319" s="22" t="s">
        <v>4742</v>
      </c>
      <c r="F319"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 OR RBRL11 OR RBRM11 OR RBRP11 OR RBRR11 OR RBRS11 OR RBRY11 OR RBTS11 OR RBVA11 OR RBVO11 OR RCCS11 OR RCFA11 OR RCFF11 OR RCRB11 OR RCRI11 OR RDPD11 OR RECH11 OR RECR11 OR RECT11 OR REIT11 OR RELG11 OR RFOF11 OR RMAI11 OR RNDP11 OR RNGO11 OR RRCI11 OR RSBU11B OR RSPD11 OR RVBI11 OR RZAK11 OR RZTR11 OR SAAG11 OR SADI11 OR SAIC11B OR SARE11 OR SCPF11 OR SDIL11 OR SFND11 OR SHDP11B OR SHOP11 OR SHPH11 OR SOLR11 OR SPAF11 OR SPTW11 OR SPVJ11 OR STFI11 OR STRX11 OR TBOF11 OR TCIN11 OR TCIN12 OR TCPF11 OR TELD11 OR TEPP11 OR TFOF11 OR TGAR11 OR THRA11 OR TORD11 OR TORM11 OR TOUR11 OR TRNT11 OR TRXB11 OR TRXF11 OR TSNC11 OR URBN11 OR URPR11 OR VCJR11 OR VERE11 OR VGIP11 OR VGIR11 OR VIDS11 OR VIFI11 OR VILG11 OR VINO11 OR VISC11 OR VLJS11 OR VLOL11 OR VOTS11 OR VPSI11 OR VRTA11 OR VSEC11 OR VSHO11 OR VTLT11 OR VTPA11 OR VTPL11 OR VTVI11 OR VTXI11</v>
      </c>
      <c r="G319" s="44" t="s">
        <v>4743</v>
      </c>
      <c r="H319" s="44" t="s">
        <v>4744</v>
      </c>
      <c r="I319" s="6" t="str">
        <f t="shared" si="2"/>
        <v>(VTVI11)</v>
      </c>
    </row>
    <row r="320">
      <c r="A320" s="6" t="str">
        <f t="shared" si="1"/>
        <v>Fundos de Renda variável | FIIs | Votorantim Patrimonial XII</v>
      </c>
      <c r="B320" s="22" t="s">
        <v>4745</v>
      </c>
      <c r="C320" s="22" t="s">
        <v>3457</v>
      </c>
      <c r="D320" s="22" t="s">
        <v>3503</v>
      </c>
      <c r="E320" s="22" t="s">
        <v>4746</v>
      </c>
      <c r="F320"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 OR RBRL11 OR RBRM11 OR RBRP11 OR RBRR11 OR RBRS11 OR RBRY11 OR RBTS11 OR RBVA11 OR RBVO11 OR RCCS11 OR RCFA11 OR RCFF11 OR RCRB11 OR RCRI11 OR RDPD11 OR RECH11 OR RECR11 OR RECT11 OR REIT11 OR RELG11 OR RFOF11 OR RMAI11 OR RNDP11 OR RNGO11 OR RRCI11 OR RSBU11B OR RSPD11 OR RVBI11 OR RZAK11 OR RZTR11 OR SAAG11 OR SADI11 OR SAIC11B OR SARE11 OR SCPF11 OR SDIL11 OR SFND11 OR SHDP11B OR SHOP11 OR SHPH11 OR SOLR11 OR SPAF11 OR SPTW11 OR SPVJ11 OR STFI11 OR STRX11 OR TBOF11 OR TCIN11 OR TCIN12 OR TCPF11 OR TELD11 OR TEPP11 OR TFOF11 OR TGAR11 OR THRA11 OR TORD11 OR TORM11 OR TOUR11 OR TRNT11 OR TRXB11 OR TRXF11 OR TSNC11 OR URBN11 OR URPR11 OR VCJR11 OR VERE11 OR VGIP11 OR VGIR11 OR VIDS11 OR VIFI11 OR VILG11 OR VINO11 OR VISC11 OR VLJS11 OR VLOL11 OR VOTS11 OR VPSI11 OR VRTA11 OR VSEC11 OR VSHO11 OR VTLT11 OR VTPA11 OR VTPL11 OR VTVI11 OR VTXI11 OR VVPR11</v>
      </c>
      <c r="G320" s="44" t="s">
        <v>4747</v>
      </c>
      <c r="H320" s="44" t="s">
        <v>4748</v>
      </c>
      <c r="I320" s="6" t="str">
        <f t="shared" si="2"/>
        <v>(VTXI11)</v>
      </c>
    </row>
    <row r="321">
      <c r="A321" s="6" t="str">
        <f t="shared" si="1"/>
        <v>Fundos de Renda variável | FIIs | V2 Properties</v>
      </c>
      <c r="B321" s="22" t="s">
        <v>4749</v>
      </c>
      <c r="C321" s="22" t="s">
        <v>3463</v>
      </c>
      <c r="D321" s="22" t="s">
        <v>3442</v>
      </c>
      <c r="E321" s="22" t="s">
        <v>4750</v>
      </c>
      <c r="F321"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 OR RBRL11 OR RBRM11 OR RBRP11 OR RBRR11 OR RBRS11 OR RBRY11 OR RBTS11 OR RBVA11 OR RBVO11 OR RCCS11 OR RCFA11 OR RCFF11 OR RCRB11 OR RCRI11 OR RDPD11 OR RECH11 OR RECR11 OR RECT11 OR REIT11 OR RELG11 OR RFOF11 OR RMAI11 OR RNDP11 OR RNGO11 OR RRCI11 OR RSBU11B OR RSPD11 OR RVBI11 OR RZAK11 OR RZTR11 OR SAAG11 OR SADI11 OR SAIC11B OR SARE11 OR SCPF11 OR SDIL11 OR SFND11 OR SHDP11B OR SHOP11 OR SHPH11 OR SOLR11 OR SPAF11 OR SPTW11 OR SPVJ11 OR STFI11 OR STRX11 OR TBOF11 OR TCIN11 OR TCIN12 OR TCPF11 OR TELD11 OR TEPP11 OR TFOF11 OR TGAR11 OR THRA11 OR TORD11 OR TORM11 OR TOUR11 OR TRNT11 OR TRXB11 OR TRXF11 OR TSNC11 OR URBN11 OR URPR11 OR VCJR11 OR VERE11 OR VGIP11 OR VGIR11 OR VIDS11 OR VIFI11 OR VILG11 OR VINO11 OR VISC11 OR VLJS11 OR VLOL11 OR VOTS11 OR VPSI11 OR VRTA11 OR VSEC11 OR VSHO11 OR VTLT11 OR VTPA11 OR VTPL11 OR VTVI11 OR VTXI11 OR VVPR11 OR VXXV11</v>
      </c>
      <c r="G321" s="44" t="s">
        <v>4751</v>
      </c>
      <c r="H321" s="44" t="s">
        <v>4752</v>
      </c>
      <c r="I321" s="6" t="str">
        <f t="shared" si="2"/>
        <v>(VVPR11)</v>
      </c>
    </row>
    <row r="322">
      <c r="A322" s="6" t="str">
        <f t="shared" si="1"/>
        <v>Fundos de Renda variável | FIIs | VX XVI</v>
      </c>
      <c r="B322" s="22" t="s">
        <v>4753</v>
      </c>
      <c r="C322" s="22" t="s">
        <v>3457</v>
      </c>
      <c r="D322" s="22" t="s">
        <v>3464</v>
      </c>
      <c r="E322" s="22" t="s">
        <v>4754</v>
      </c>
      <c r="F322"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 OR RBRL11 OR RBRM11 OR RBRP11 OR RBRR11 OR RBRS11 OR RBRY11 OR RBTS11 OR RBVA11 OR RBVO11 OR RCCS11 OR RCFA11 OR RCFF11 OR RCRB11 OR RCRI11 OR RDPD11 OR RECH11 OR RECR11 OR RECT11 OR REIT11 OR RELG11 OR RFOF11 OR RMAI11 OR RNDP11 OR RNGO11 OR RRCI11 OR RSBU11B OR RSPD11 OR RVBI11 OR RZAK11 OR RZTR11 OR SAAG11 OR SADI11 OR SAIC11B OR SARE11 OR SCPF11 OR SDIL11 OR SFND11 OR SHDP11B OR SHOP11 OR SHPH11 OR SOLR11 OR SPAF11 OR SPTW11 OR SPVJ11 OR STFI11 OR STRX11 OR TBOF11 OR TCIN11 OR TCIN12 OR TCPF11 OR TELD11 OR TEPP11 OR TFOF11 OR TGAR11 OR THRA11 OR TORD11 OR TORM11 OR TOUR11 OR TRNT11 OR TRXB11 OR TRXF11 OR TSNC11 OR URBN11 OR URPR11 OR VCJR11 OR VERE11 OR VGIP11 OR VGIR11 OR VIDS11 OR VIFI11 OR VILG11 OR VINO11 OR VISC11 OR VLJS11 OR VLOL11 OR VOTS11 OR VPSI11 OR VRTA11 OR VSEC11 OR VSHO11 OR VTLT11 OR VTPA11 OR VTPL11 OR VTVI11 OR VTXI11 OR VVPR11 OR VXXV11 OR WMRB11B</v>
      </c>
      <c r="G322" s="44" t="s">
        <v>4755</v>
      </c>
      <c r="H322" s="44" t="s">
        <v>4756</v>
      </c>
      <c r="I322" s="6" t="str">
        <f t="shared" si="2"/>
        <v>(VXXV11)</v>
      </c>
    </row>
    <row r="323">
      <c r="A323" s="6" t="str">
        <f t="shared" si="1"/>
        <v>Fundos de Renda variável | FIIs | WM RB Capital</v>
      </c>
      <c r="B323" s="22" t="s">
        <v>4757</v>
      </c>
      <c r="C323" s="22" t="s">
        <v>3424</v>
      </c>
      <c r="D323" s="22" t="s">
        <v>4344</v>
      </c>
      <c r="E323" s="22" t="s">
        <v>4758</v>
      </c>
      <c r="F323"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 OR RBRL11 OR RBRM11 OR RBRP11 OR RBRR11 OR RBRS11 OR RBRY11 OR RBTS11 OR RBVA11 OR RBVO11 OR RCCS11 OR RCFA11 OR RCFF11 OR RCRB11 OR RCRI11 OR RDPD11 OR RECH11 OR RECR11 OR RECT11 OR REIT11 OR RELG11 OR RFOF11 OR RMAI11 OR RNDP11 OR RNGO11 OR RRCI11 OR RSBU11B OR RSPD11 OR RVBI11 OR RZAK11 OR RZTR11 OR SAAG11 OR SADI11 OR SAIC11B OR SARE11 OR SCPF11 OR SDIL11 OR SFND11 OR SHDP11B OR SHOP11 OR SHPH11 OR SOLR11 OR SPAF11 OR SPTW11 OR SPVJ11 OR STFI11 OR STRX11 OR TBOF11 OR TCIN11 OR TCIN12 OR TCPF11 OR TELD11 OR TEPP11 OR TFOF11 OR TGAR11 OR THRA11 OR TORD11 OR TORM11 OR TOUR11 OR TRNT11 OR TRXB11 OR TRXF11 OR TSNC11 OR URBN11 OR URPR11 OR VCJR11 OR VERE11 OR VGIP11 OR VGIR11 OR VIDS11 OR VIFI11 OR VILG11 OR VINO11 OR VISC11 OR VLJS11 OR VLOL11 OR VOTS11 OR VPSI11 OR VRTA11 OR VSEC11 OR VSHO11 OR VTLT11 OR VTPA11 OR VTPL11 OR VTVI11 OR VTXI11 OR VVPR11 OR VXXV11 OR WMRB11B OR WPLZ11</v>
      </c>
      <c r="G323" s="44" t="s">
        <v>4759</v>
      </c>
      <c r="H323" s="44" t="s">
        <v>4760</v>
      </c>
      <c r="I323" s="6" t="str">
        <f t="shared" si="2"/>
        <v>(WMRB11B)</v>
      </c>
    </row>
    <row r="324">
      <c r="A324" s="6" t="str">
        <f t="shared" si="1"/>
        <v>Fundos de Renda variável | FIIs | West Plaza</v>
      </c>
      <c r="B324" s="22" t="s">
        <v>4761</v>
      </c>
      <c r="C324" s="22" t="s">
        <v>3418</v>
      </c>
      <c r="D324" s="22" t="s">
        <v>3484</v>
      </c>
      <c r="E324" s="22" t="s">
        <v>4762</v>
      </c>
      <c r="F324"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 OR RBRL11 OR RBRM11 OR RBRP11 OR RBRR11 OR RBRS11 OR RBRY11 OR RBTS11 OR RBVA11 OR RBVO11 OR RCCS11 OR RCFA11 OR RCFF11 OR RCRB11 OR RCRI11 OR RDPD11 OR RECH11 OR RECR11 OR RECT11 OR REIT11 OR RELG11 OR RFOF11 OR RMAI11 OR RNDP11 OR RNGO11 OR RRCI11 OR RSBU11B OR RSPD11 OR RVBI11 OR RZAK11 OR RZTR11 OR SAAG11 OR SADI11 OR SAIC11B OR SARE11 OR SCPF11 OR SDIL11 OR SFND11 OR SHDP11B OR SHOP11 OR SHPH11 OR SOLR11 OR SPAF11 OR SPTW11 OR SPVJ11 OR STFI11 OR STRX11 OR TBOF11 OR TCIN11 OR TCIN12 OR TCPF11 OR TELD11 OR TEPP11 OR TFOF11 OR TGAR11 OR THRA11 OR TORD11 OR TORM11 OR TOUR11 OR TRNT11 OR TRXB11 OR TRXF11 OR TSNC11 OR URBN11 OR URPR11 OR VCJR11 OR VERE11 OR VGIP11 OR VGIR11 OR VIDS11 OR VIFI11 OR VILG11 OR VINO11 OR VISC11 OR VLJS11 OR VLOL11 OR VOTS11 OR VPSI11 OR VRTA11 OR VSEC11 OR VSHO11 OR VTLT11 OR VTPA11 OR VTPL11 OR VTVI11 OR VTXI11 OR VVPR11 OR VXXV11 OR WMRB11B OR WPLZ11 OR WTSP11B</v>
      </c>
      <c r="G324" s="44" t="s">
        <v>4763</v>
      </c>
      <c r="H324" s="44" t="s">
        <v>4764</v>
      </c>
      <c r="I324" s="6" t="str">
        <f t="shared" si="2"/>
        <v>(WPLZ11)</v>
      </c>
    </row>
    <row r="325">
      <c r="A325" s="6" t="str">
        <f t="shared" si="1"/>
        <v>Fundos de Renda variável | FIIs | Ourinvest RE I</v>
      </c>
      <c r="B325" s="22" t="s">
        <v>4765</v>
      </c>
      <c r="C325" s="22" t="s">
        <v>3436</v>
      </c>
      <c r="D325" s="22" t="s">
        <v>4251</v>
      </c>
      <c r="E325" s="22" t="s">
        <v>4766</v>
      </c>
      <c r="F325"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 OR RBRL11 OR RBRM11 OR RBRP11 OR RBRR11 OR RBRS11 OR RBRY11 OR RBTS11 OR RBVA11 OR RBVO11 OR RCCS11 OR RCFA11 OR RCFF11 OR RCRB11 OR RCRI11 OR RDPD11 OR RECH11 OR RECR11 OR RECT11 OR REIT11 OR RELG11 OR RFOF11 OR RMAI11 OR RNDP11 OR RNGO11 OR RRCI11 OR RSBU11B OR RSPD11 OR RVBI11 OR RZAK11 OR RZTR11 OR SAAG11 OR SADI11 OR SAIC11B OR SARE11 OR SCPF11 OR SDIL11 OR SFND11 OR SHDP11B OR SHOP11 OR SHPH11 OR SOLR11 OR SPAF11 OR SPTW11 OR SPVJ11 OR STFI11 OR STRX11 OR TBOF11 OR TCIN11 OR TCIN12 OR TCPF11 OR TELD11 OR TEPP11 OR TFOF11 OR TGAR11 OR THRA11 OR TORD11 OR TORM11 OR TOUR11 OR TRNT11 OR TRXB11 OR TRXF11 OR TSNC11 OR URBN11 OR URPR11 OR VCJR11 OR VERE11 OR VGIP11 OR VGIR11 OR VIDS11 OR VIFI11 OR VILG11 OR VINO11 OR VISC11 OR VLJS11 OR VLOL11 OR VOTS11 OR VPSI11 OR VRTA11 OR VSEC11 OR VSHO11 OR VTLT11 OR VTPA11 OR VTPL11 OR VTVI11 OR VTXI11 OR VVPR11 OR VXXV11 OR WMRB11B OR WPLZ11 OR WTSP11B OR XPCI11</v>
      </c>
      <c r="G325" s="44" t="s">
        <v>4767</v>
      </c>
      <c r="H325" s="44" t="s">
        <v>4768</v>
      </c>
      <c r="I325" s="6" t="str">
        <f t="shared" si="2"/>
        <v>(WTSP11B)</v>
      </c>
    </row>
    <row r="326">
      <c r="A326" s="6" t="str">
        <f t="shared" si="1"/>
        <v>Fundos de Renda variável | FIIs | XP Crédito</v>
      </c>
      <c r="B326" s="22" t="s">
        <v>4769</v>
      </c>
      <c r="C326" s="22" t="s">
        <v>3424</v>
      </c>
      <c r="D326" s="22" t="s">
        <v>3464</v>
      </c>
      <c r="E326" s="22" t="s">
        <v>4770</v>
      </c>
      <c r="F326"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 OR RBRL11 OR RBRM11 OR RBRP11 OR RBRR11 OR RBRS11 OR RBRY11 OR RBTS11 OR RBVA11 OR RBVO11 OR RCCS11 OR RCFA11 OR RCFF11 OR RCRB11 OR RCRI11 OR RDPD11 OR RECH11 OR RECR11 OR RECT11 OR REIT11 OR RELG11 OR RFOF11 OR RMAI11 OR RNDP11 OR RNGO11 OR RRCI11 OR RSBU11B OR RSPD11 OR RVBI11 OR RZAK11 OR RZTR11 OR SAAG11 OR SADI11 OR SAIC11B OR SARE11 OR SCPF11 OR SDIL11 OR SFND11 OR SHDP11B OR SHOP11 OR SHPH11 OR SOLR11 OR SPAF11 OR SPTW11 OR SPVJ11 OR STFI11 OR STRX11 OR TBOF11 OR TCIN11 OR TCIN12 OR TCPF11 OR TELD11 OR TEPP11 OR TFOF11 OR TGAR11 OR THRA11 OR TORD11 OR TORM11 OR TOUR11 OR TRNT11 OR TRXB11 OR TRXF11 OR TSNC11 OR URBN11 OR URPR11 OR VCJR11 OR VERE11 OR VGIP11 OR VGIR11 OR VIDS11 OR VIFI11 OR VILG11 OR VINO11 OR VISC11 OR VLJS11 OR VLOL11 OR VOTS11 OR VPSI11 OR VRTA11 OR VSEC11 OR VSHO11 OR VTLT11 OR VTPA11 OR VTPL11 OR VTVI11 OR VTXI11 OR VVPR11 OR VXXV11 OR WMRB11B OR WPLZ11 OR WTSP11B OR XPCI11 OR XPCM11</v>
      </c>
      <c r="G326" s="44" t="s">
        <v>4771</v>
      </c>
      <c r="H326" s="44" t="s">
        <v>4772</v>
      </c>
      <c r="I326" s="6" t="str">
        <f t="shared" si="2"/>
        <v>(XPCI11)</v>
      </c>
    </row>
    <row r="327">
      <c r="A327" s="6" t="str">
        <f t="shared" si="1"/>
        <v>Fundos de Renda variável | FIIs | XP Corporate Macaé</v>
      </c>
      <c r="B327" s="22" t="s">
        <v>4773</v>
      </c>
      <c r="C327" s="22" t="s">
        <v>3436</v>
      </c>
      <c r="D327" s="22" t="s">
        <v>3419</v>
      </c>
      <c r="E327" s="22" t="s">
        <v>4774</v>
      </c>
      <c r="F327"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 OR RBRL11 OR RBRM11 OR RBRP11 OR RBRR11 OR RBRS11 OR RBRY11 OR RBTS11 OR RBVA11 OR RBVO11 OR RCCS11 OR RCFA11 OR RCFF11 OR RCRB11 OR RCRI11 OR RDPD11 OR RECH11 OR RECR11 OR RECT11 OR REIT11 OR RELG11 OR RFOF11 OR RMAI11 OR RNDP11 OR RNGO11 OR RRCI11 OR RSBU11B OR RSPD11 OR RVBI11 OR RZAK11 OR RZTR11 OR SAAG11 OR SADI11 OR SAIC11B OR SARE11 OR SCPF11 OR SDIL11 OR SFND11 OR SHDP11B OR SHOP11 OR SHPH11 OR SOLR11 OR SPAF11 OR SPTW11 OR SPVJ11 OR STFI11 OR STRX11 OR TBOF11 OR TCIN11 OR TCIN12 OR TCPF11 OR TELD11 OR TEPP11 OR TFOF11 OR TGAR11 OR THRA11 OR TORD11 OR TORM11 OR TOUR11 OR TRNT11 OR TRXB11 OR TRXF11 OR TSNC11 OR URBN11 OR URPR11 OR VCJR11 OR VERE11 OR VGIP11 OR VGIR11 OR VIDS11 OR VIFI11 OR VILG11 OR VINO11 OR VISC11 OR VLJS11 OR VLOL11 OR VOTS11 OR VPSI11 OR VRTA11 OR VSEC11 OR VSHO11 OR VTLT11 OR VTPA11 OR VTPL11 OR VTVI11 OR VTXI11 OR VVPR11 OR VXXV11 OR WMRB11B OR WPLZ11 OR WTSP11B OR XPCI11 OR XPCM11 OR XPGA11</v>
      </c>
      <c r="G327" s="44" t="s">
        <v>4775</v>
      </c>
      <c r="H327" s="44" t="s">
        <v>4776</v>
      </c>
      <c r="I327" s="6" t="str">
        <f t="shared" si="2"/>
        <v>(XPCM11)</v>
      </c>
    </row>
    <row r="328">
      <c r="A328" s="6" t="str">
        <f t="shared" si="1"/>
        <v>Fundos de Renda variável | FIIs | XP Recebíveis</v>
      </c>
      <c r="B328" s="22" t="s">
        <v>4777</v>
      </c>
      <c r="C328" s="22" t="s">
        <v>3424</v>
      </c>
      <c r="D328" s="22" t="s">
        <v>4344</v>
      </c>
      <c r="E328" s="22" t="s">
        <v>4778</v>
      </c>
      <c r="F328"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 OR RBRL11 OR RBRM11 OR RBRP11 OR RBRR11 OR RBRS11 OR RBRY11 OR RBTS11 OR RBVA11 OR RBVO11 OR RCCS11 OR RCFA11 OR RCFF11 OR RCRB11 OR RCRI11 OR RDPD11 OR RECH11 OR RECR11 OR RECT11 OR REIT11 OR RELG11 OR RFOF11 OR RMAI11 OR RNDP11 OR RNGO11 OR RRCI11 OR RSBU11B OR RSPD11 OR RVBI11 OR RZAK11 OR RZTR11 OR SAAG11 OR SADI11 OR SAIC11B OR SARE11 OR SCPF11 OR SDIL11 OR SFND11 OR SHDP11B OR SHOP11 OR SHPH11 OR SOLR11 OR SPAF11 OR SPTW11 OR SPVJ11 OR STFI11 OR STRX11 OR TBOF11 OR TCIN11 OR TCIN12 OR TCPF11 OR TELD11 OR TEPP11 OR TFOF11 OR TGAR11 OR THRA11 OR TORD11 OR TORM11 OR TOUR11 OR TRNT11 OR TRXB11 OR TRXF11 OR TSNC11 OR URBN11 OR URPR11 OR VCJR11 OR VERE11 OR VGIP11 OR VGIR11 OR VIDS11 OR VIFI11 OR VILG11 OR VINO11 OR VISC11 OR VLJS11 OR VLOL11 OR VOTS11 OR VPSI11 OR VRTA11 OR VSEC11 OR VSHO11 OR VTLT11 OR VTPA11 OR VTPL11 OR VTVI11 OR VTXI11 OR VVPR11 OR VXXV11 OR WMRB11B OR WPLZ11 OR WTSP11B OR XPCI11 OR XPCM11 OR XPGA11 OR XPHT11</v>
      </c>
      <c r="G328" s="44" t="s">
        <v>4779</v>
      </c>
      <c r="H328" s="44" t="s">
        <v>4780</v>
      </c>
      <c r="I328" s="6" t="str">
        <f t="shared" si="2"/>
        <v>(XPGA11)</v>
      </c>
    </row>
    <row r="329">
      <c r="A329" s="6" t="str">
        <f t="shared" si="1"/>
        <v>Fundos de Renda variável | FIIs | XP Hotéis (Cota Sênior)</v>
      </c>
      <c r="B329" s="22" t="s">
        <v>4781</v>
      </c>
      <c r="C329" s="22" t="s">
        <v>3478</v>
      </c>
      <c r="D329" s="22" t="s">
        <v>3568</v>
      </c>
      <c r="E329" s="22" t="s">
        <v>4782</v>
      </c>
      <c r="F329"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 OR RBRL11 OR RBRM11 OR RBRP11 OR RBRR11 OR RBRS11 OR RBRY11 OR RBTS11 OR RBVA11 OR RBVO11 OR RCCS11 OR RCFA11 OR RCFF11 OR RCRB11 OR RCRI11 OR RDPD11 OR RECH11 OR RECR11 OR RECT11 OR REIT11 OR RELG11 OR RFOF11 OR RMAI11 OR RNDP11 OR RNGO11 OR RRCI11 OR RSBU11B OR RSPD11 OR RVBI11 OR RZAK11 OR RZTR11 OR SAAG11 OR SADI11 OR SAIC11B OR SARE11 OR SCPF11 OR SDIL11 OR SFND11 OR SHDP11B OR SHOP11 OR SHPH11 OR SOLR11 OR SPAF11 OR SPTW11 OR SPVJ11 OR STFI11 OR STRX11 OR TBOF11 OR TCIN11 OR TCIN12 OR TCPF11 OR TELD11 OR TEPP11 OR TFOF11 OR TGAR11 OR THRA11 OR TORD11 OR TORM11 OR TOUR11 OR TRNT11 OR TRXB11 OR TRXF11 OR TSNC11 OR URBN11 OR URPR11 OR VCJR11 OR VERE11 OR VGIP11 OR VGIR11 OR VIDS11 OR VIFI11 OR VILG11 OR VINO11 OR VISC11 OR VLJS11 OR VLOL11 OR VOTS11 OR VPSI11 OR VRTA11 OR VSEC11 OR VSHO11 OR VTLT11 OR VTPA11 OR VTPL11 OR VTVI11 OR VTXI11 OR VVPR11 OR VXXV11 OR WMRB11B OR WPLZ11 OR WTSP11B OR XPCI11 OR XPCM11 OR XPGA11 OR XPHT11 OR XPHT12</v>
      </c>
      <c r="G329" s="44" t="s">
        <v>4783</v>
      </c>
      <c r="H329" s="44" t="s">
        <v>4784</v>
      </c>
      <c r="I329" s="6" t="str">
        <f t="shared" si="2"/>
        <v>(XPHT11)</v>
      </c>
    </row>
    <row r="330">
      <c r="A330" s="6" t="str">
        <f t="shared" si="1"/>
        <v>Fundos de Renda variável | FIIs | XP Hotéis (Cota Ordinária)</v>
      </c>
      <c r="B330" s="22" t="s">
        <v>4785</v>
      </c>
      <c r="C330" s="22" t="s">
        <v>3478</v>
      </c>
      <c r="D330" s="22" t="s">
        <v>3568</v>
      </c>
      <c r="E330" s="22" t="s">
        <v>4786</v>
      </c>
      <c r="F330"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 OR RBRL11 OR RBRM11 OR RBRP11 OR RBRR11 OR RBRS11 OR RBRY11 OR RBTS11 OR RBVA11 OR RBVO11 OR RCCS11 OR RCFA11 OR RCFF11 OR RCRB11 OR RCRI11 OR RDPD11 OR RECH11 OR RECR11 OR RECT11 OR REIT11 OR RELG11 OR RFOF11 OR RMAI11 OR RNDP11 OR RNGO11 OR RRCI11 OR RSBU11B OR RSPD11 OR RVBI11 OR RZAK11 OR RZTR11 OR SAAG11 OR SADI11 OR SAIC11B OR SARE11 OR SCPF11 OR SDIL11 OR SFND11 OR SHDP11B OR SHOP11 OR SHPH11 OR SOLR11 OR SPAF11 OR SPTW11 OR SPVJ11 OR STFI11 OR STRX11 OR TBOF11 OR TCIN11 OR TCIN12 OR TCPF11 OR TELD11 OR TEPP11 OR TFOF11 OR TGAR11 OR THRA11 OR TORD11 OR TORM11 OR TOUR11 OR TRNT11 OR TRXB11 OR TRXF11 OR TSNC11 OR URBN11 OR URPR11 OR VCJR11 OR VERE11 OR VGIP11 OR VGIR11 OR VIDS11 OR VIFI11 OR VILG11 OR VINO11 OR VISC11 OR VLJS11 OR VLOL11 OR VOTS11 OR VPSI11 OR VRTA11 OR VSEC11 OR VSHO11 OR VTLT11 OR VTPA11 OR VTPL11 OR VTVI11 OR VTXI11 OR VVPR11 OR VXXV11 OR WMRB11B OR WPLZ11 OR WTSP11B OR XPCI11 OR XPCM11 OR XPGA11 OR XPHT11 OR XPHT12 OR XPIN11</v>
      </c>
      <c r="G330" s="44" t="s">
        <v>4787</v>
      </c>
      <c r="H330" s="44" t="s">
        <v>4788</v>
      </c>
      <c r="I330" s="6" t="str">
        <f t="shared" si="2"/>
        <v>(XPHT12)</v>
      </c>
    </row>
    <row r="331">
      <c r="A331" s="6" t="str">
        <f t="shared" si="1"/>
        <v>Fundos de Renda variável | FIIs | XP Industrial</v>
      </c>
      <c r="B331" s="22" t="s">
        <v>4789</v>
      </c>
      <c r="C331" s="22" t="s">
        <v>3463</v>
      </c>
      <c r="D331" s="22" t="s">
        <v>3464</v>
      </c>
      <c r="E331" s="22" t="s">
        <v>4790</v>
      </c>
      <c r="F331"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 OR RBRL11 OR RBRM11 OR RBRP11 OR RBRR11 OR RBRS11 OR RBRY11 OR RBTS11 OR RBVA11 OR RBVO11 OR RCCS11 OR RCFA11 OR RCFF11 OR RCRB11 OR RCRI11 OR RDPD11 OR RECH11 OR RECR11 OR RECT11 OR REIT11 OR RELG11 OR RFOF11 OR RMAI11 OR RNDP11 OR RNGO11 OR RRCI11 OR RSBU11B OR RSPD11 OR RVBI11 OR RZAK11 OR RZTR11 OR SAAG11 OR SADI11 OR SAIC11B OR SARE11 OR SCPF11 OR SDIL11 OR SFND11 OR SHDP11B OR SHOP11 OR SHPH11 OR SOLR11 OR SPAF11 OR SPTW11 OR SPVJ11 OR STFI11 OR STRX11 OR TBOF11 OR TCIN11 OR TCIN12 OR TCPF11 OR TELD11 OR TEPP11 OR TFOF11 OR TGAR11 OR THRA11 OR TORD11 OR TORM11 OR TOUR11 OR TRNT11 OR TRXB11 OR TRXF11 OR TSNC11 OR URBN11 OR URPR11 OR VCJR11 OR VERE11 OR VGIP11 OR VGIR11 OR VIDS11 OR VIFI11 OR VILG11 OR VINO11 OR VISC11 OR VLJS11 OR VLOL11 OR VOTS11 OR VPSI11 OR VRTA11 OR VSEC11 OR VSHO11 OR VTLT11 OR VTPA11 OR VTPL11 OR VTVI11 OR VTXI11 OR VVPR11 OR VXXV11 OR WMRB11B OR WPLZ11 OR WTSP11B OR XPCI11 OR XPCM11 OR XPGA11 OR XPHT11 OR XPHT12 OR XPIN11 OR XPLG11</v>
      </c>
      <c r="G331" s="44" t="s">
        <v>4791</v>
      </c>
      <c r="H331" s="44" t="s">
        <v>4792</v>
      </c>
      <c r="I331" s="6" t="str">
        <f t="shared" si="2"/>
        <v>(XPIN11)</v>
      </c>
    </row>
    <row r="332">
      <c r="A332" s="6" t="str">
        <f t="shared" si="1"/>
        <v>Fundos de Renda variável | FIIs | XP LOG</v>
      </c>
      <c r="B332" s="22" t="s">
        <v>4793</v>
      </c>
      <c r="C332" s="22" t="s">
        <v>3463</v>
      </c>
      <c r="D332" s="22" t="s">
        <v>3464</v>
      </c>
      <c r="E332" s="22" t="s">
        <v>4794</v>
      </c>
      <c r="F332"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 OR RBRL11 OR RBRM11 OR RBRP11 OR RBRR11 OR RBRS11 OR RBRY11 OR RBTS11 OR RBVA11 OR RBVO11 OR RCCS11 OR RCFA11 OR RCFF11 OR RCRB11 OR RCRI11 OR RDPD11 OR RECH11 OR RECR11 OR RECT11 OR REIT11 OR RELG11 OR RFOF11 OR RMAI11 OR RNDP11 OR RNGO11 OR RRCI11 OR RSBU11B OR RSPD11 OR RVBI11 OR RZAK11 OR RZTR11 OR SAAG11 OR SADI11 OR SAIC11B OR SARE11 OR SCPF11 OR SDIL11 OR SFND11 OR SHDP11B OR SHOP11 OR SHPH11 OR SOLR11 OR SPAF11 OR SPTW11 OR SPVJ11 OR STFI11 OR STRX11 OR TBOF11 OR TCIN11 OR TCIN12 OR TCPF11 OR TELD11 OR TEPP11 OR TFOF11 OR TGAR11 OR THRA11 OR TORD11 OR TORM11 OR TOUR11 OR TRNT11 OR TRXB11 OR TRXF11 OR TSNC11 OR URBN11 OR URPR11 OR VCJR11 OR VERE11 OR VGIP11 OR VGIR11 OR VIDS11 OR VIFI11 OR VILG11 OR VINO11 OR VISC11 OR VLJS11 OR VLOL11 OR VOTS11 OR VPSI11 OR VRTA11 OR VSEC11 OR VSHO11 OR VTLT11 OR VTPA11 OR VTPL11 OR VTVI11 OR VTXI11 OR VVPR11 OR VXXV11 OR WMRB11B OR WPLZ11 OR WTSP11B OR XPCI11 OR XPCM11 OR XPGA11 OR XPHT11 OR XPHT12 OR XPIN11 OR XPLG11 OR XPML11</v>
      </c>
      <c r="G332" s="44" t="s">
        <v>4795</v>
      </c>
      <c r="H332" s="44" t="s">
        <v>4796</v>
      </c>
      <c r="I332" s="6" t="str">
        <f t="shared" si="2"/>
        <v>(XPLG11)</v>
      </c>
    </row>
    <row r="333">
      <c r="A333" s="6" t="str">
        <f t="shared" si="1"/>
        <v>Fundos de Renda variável | FIIs | XP Malls</v>
      </c>
      <c r="B333" s="22" t="s">
        <v>4797</v>
      </c>
      <c r="C333" s="22" t="s">
        <v>3418</v>
      </c>
      <c r="D333" s="22" t="s">
        <v>3442</v>
      </c>
      <c r="E333" s="22" t="s">
        <v>4798</v>
      </c>
      <c r="F333"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 OR RBRL11 OR RBRM11 OR RBRP11 OR RBRR11 OR RBRS11 OR RBRY11 OR RBTS11 OR RBVA11 OR RBVO11 OR RCCS11 OR RCFA11 OR RCFF11 OR RCRB11 OR RCRI11 OR RDPD11 OR RECH11 OR RECR11 OR RECT11 OR REIT11 OR RELG11 OR RFOF11 OR RMAI11 OR RNDP11 OR RNGO11 OR RRCI11 OR RSBU11B OR RSPD11 OR RVBI11 OR RZAK11 OR RZTR11 OR SAAG11 OR SADI11 OR SAIC11B OR SARE11 OR SCPF11 OR SDIL11 OR SFND11 OR SHDP11B OR SHOP11 OR SHPH11 OR SOLR11 OR SPAF11 OR SPTW11 OR SPVJ11 OR STFI11 OR STRX11 OR TBOF11 OR TCIN11 OR TCIN12 OR TCPF11 OR TELD11 OR TEPP11 OR TFOF11 OR TGAR11 OR THRA11 OR TORD11 OR TORM11 OR TOUR11 OR TRNT11 OR TRXB11 OR TRXF11 OR TSNC11 OR URBN11 OR URPR11 OR VCJR11 OR VERE11 OR VGIP11 OR VGIR11 OR VIDS11 OR VIFI11 OR VILG11 OR VINO11 OR VISC11 OR VLJS11 OR VLOL11 OR VOTS11 OR VPSI11 OR VRTA11 OR VSEC11 OR VSHO11 OR VTLT11 OR VTPA11 OR VTPL11 OR VTVI11 OR VTXI11 OR VVPR11 OR VXXV11 OR WMRB11B OR WPLZ11 OR WTSP11B OR XPCI11 OR XPCM11 OR XPGA11 OR XPHT11 OR XPHT12 OR XPIN11 OR XPLG11 OR XPML11 OR XPPR11</v>
      </c>
      <c r="G333" s="44" t="s">
        <v>4799</v>
      </c>
      <c r="H333" s="44" t="s">
        <v>4800</v>
      </c>
      <c r="I333" s="6" t="str">
        <f t="shared" si="2"/>
        <v>(XPML11)</v>
      </c>
    </row>
    <row r="334">
      <c r="A334" s="6" t="str">
        <f t="shared" si="1"/>
        <v>Fundos de Renda variável | FIIs | XP Properties</v>
      </c>
      <c r="B334" s="22" t="s">
        <v>4801</v>
      </c>
      <c r="C334" s="22" t="s">
        <v>3436</v>
      </c>
      <c r="D334" s="22" t="s">
        <v>3464</v>
      </c>
      <c r="E334" s="22" t="s">
        <v>4802</v>
      </c>
      <c r="F334"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 OR RBRL11 OR RBRM11 OR RBRP11 OR RBRR11 OR RBRS11 OR RBRY11 OR RBTS11 OR RBVA11 OR RBVO11 OR RCCS11 OR RCFA11 OR RCFF11 OR RCRB11 OR RCRI11 OR RDPD11 OR RECH11 OR RECR11 OR RECT11 OR REIT11 OR RELG11 OR RFOF11 OR RMAI11 OR RNDP11 OR RNGO11 OR RRCI11 OR RSBU11B OR RSPD11 OR RVBI11 OR RZAK11 OR RZTR11 OR SAAG11 OR SADI11 OR SAIC11B OR SARE11 OR SCPF11 OR SDIL11 OR SFND11 OR SHDP11B OR SHOP11 OR SHPH11 OR SOLR11 OR SPAF11 OR SPTW11 OR SPVJ11 OR STFI11 OR STRX11 OR TBOF11 OR TCIN11 OR TCIN12 OR TCPF11 OR TELD11 OR TEPP11 OR TFOF11 OR TGAR11 OR THRA11 OR TORD11 OR TORM11 OR TOUR11 OR TRNT11 OR TRXB11 OR TRXF11 OR TSNC11 OR URBN11 OR URPR11 OR VCJR11 OR VERE11 OR VGIP11 OR VGIR11 OR VIDS11 OR VIFI11 OR VILG11 OR VINO11 OR VISC11 OR VLJS11 OR VLOL11 OR VOTS11 OR VPSI11 OR VRTA11 OR VSEC11 OR VSHO11 OR VTLT11 OR VTPA11 OR VTPL11 OR VTVI11 OR VTXI11 OR VVPR11 OR VXXV11 OR WMRB11B OR WPLZ11 OR WTSP11B OR XPCI11 OR XPCM11 OR XPGA11 OR XPHT11 OR XPHT12 OR XPIN11 OR XPLG11 OR XPML11 OR XPPR11 OR XPSF11</v>
      </c>
      <c r="G334" s="44" t="s">
        <v>4803</v>
      </c>
      <c r="H334" s="44" t="s">
        <v>4804</v>
      </c>
      <c r="I334" s="6" t="str">
        <f t="shared" si="2"/>
        <v>(XPPR11)</v>
      </c>
    </row>
    <row r="335">
      <c r="A335" s="6" t="str">
        <f t="shared" si="1"/>
        <v>Fundos de Renda variável | FIIs | XP Selection</v>
      </c>
      <c r="B335" s="22" t="s">
        <v>4805</v>
      </c>
      <c r="C335" s="22" t="s">
        <v>3430</v>
      </c>
      <c r="D335" s="22" t="s">
        <v>3464</v>
      </c>
      <c r="E335" s="22" t="s">
        <v>4806</v>
      </c>
      <c r="F335"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 OR RBRL11 OR RBRM11 OR RBRP11 OR RBRR11 OR RBRS11 OR RBRY11 OR RBTS11 OR RBVA11 OR RBVO11 OR RCCS11 OR RCFA11 OR RCFF11 OR RCRB11 OR RCRI11 OR RDPD11 OR RECH11 OR RECR11 OR RECT11 OR REIT11 OR RELG11 OR RFOF11 OR RMAI11 OR RNDP11 OR RNGO11 OR RRCI11 OR RSBU11B OR RSPD11 OR RVBI11 OR RZAK11 OR RZTR11 OR SAAG11 OR SADI11 OR SAIC11B OR SARE11 OR SCPF11 OR SDIL11 OR SFND11 OR SHDP11B OR SHOP11 OR SHPH11 OR SOLR11 OR SPAF11 OR SPTW11 OR SPVJ11 OR STFI11 OR STRX11 OR TBOF11 OR TCIN11 OR TCIN12 OR TCPF11 OR TELD11 OR TEPP11 OR TFOF11 OR TGAR11 OR THRA11 OR TORD11 OR TORM11 OR TOUR11 OR TRNT11 OR TRXB11 OR TRXF11 OR TSNC11 OR URBN11 OR URPR11 OR VCJR11 OR VERE11 OR VGIP11 OR VGIR11 OR VIDS11 OR VIFI11 OR VILG11 OR VINO11 OR VISC11 OR VLJS11 OR VLOL11 OR VOTS11 OR VPSI11 OR VRTA11 OR VSEC11 OR VSHO11 OR VTLT11 OR VTPA11 OR VTPL11 OR VTVI11 OR VTXI11 OR VVPR11 OR VXXV11 OR WMRB11B OR WPLZ11 OR WTSP11B OR XPCI11 OR XPCM11 OR XPGA11 OR XPHT11 OR XPHT12 OR XPIN11 OR XPLG11 OR XPML11 OR XPPR11 OR XPSF11 OR XTED11</v>
      </c>
      <c r="G335" s="44" t="s">
        <v>4807</v>
      </c>
      <c r="H335" s="44" t="s">
        <v>4808</v>
      </c>
      <c r="I335" s="6" t="str">
        <f t="shared" si="2"/>
        <v>(XPSF11)</v>
      </c>
    </row>
    <row r="336">
      <c r="A336" s="6" t="str">
        <f t="shared" si="1"/>
        <v>Fundos de Renda variável | FIIs | TRX Edifícios Corporativos</v>
      </c>
      <c r="B336" s="22" t="s">
        <v>4809</v>
      </c>
      <c r="C336" s="22" t="s">
        <v>3436</v>
      </c>
      <c r="D336" s="22" t="s">
        <v>3442</v>
      </c>
      <c r="E336" s="22" t="s">
        <v>4810</v>
      </c>
      <c r="F336" s="6" t="str">
        <f t="shared" si="3"/>
        <v>ABCP11 OR AFCR11 OR AFOF11 OR AIEC11 OR ALMI11 OR ALZR11 OR ANCR11B OR AQLL11 OR ARCT11 OR ARFI11B OR ARRI11 OR ATCR11 OR ATSA11 OR BARI11 OR BBFI11B OR BBIM11 OR BBPO11 OR BBRC11 OR BBVJ11 OR BCFF11 OR BCIA11 OR BCRI11 OR BICR11 OR BJRC11 OR BLCP11 OR BLMG11 OR BLMO11 OR BLMR11 OR BMII11 OR BMLC11B OR BNFS11 OR BPFF11 OR BPMA11 OR BPML11 OR BPRP11 OR BRCO11 OR BRCR11 OR BREV11 OR BRHT11B OR BRIM11 OR BRIP11 OR BRLA11 OR BTCR11 OR BTLG11 OR BTSG11 OR BVAR11 OR BZLI11 OR CARE11 OR CBOP11 OR CEOC11 OR CFHI11 OR CJFI11 OR CNES11 OR CPFF11 OR CPTS11 OR CRFF11 OR CTXT11 OR CVBI11 OR CXCE11B OR CXRI11 OR CXTL11 OR DAMT11B OR DEVA11 OR DLMT11 OR DMAC11 OR DOVL11B OR DRIT11B OR EDFO11B OR EDGA11 OR EGYR11 OR ELDO11B OR ERCR11 OR ERPA11 OR ESTQ11 OR EURO11 OR EVBI11 OR EVHF11 OR FAED11 OR FAMB11B OR FATN11 OR FCAS11 OR FCFL11 OR FEXC11 OR FIGS11 OR FIIB11 OR FIIP11B OR FINF11 OR FISC11 OR FISD11 OR FIVN11 OR FLCR11 OR FLMA11 OR FLRP11 OR FMOF11 OR FOFT11 OR FPAB11 OR FPNG11 OR FTCE11B OR FTMJ11 OR FVBI11 OR FVPQ11 OR GALG11 OR GCFF11 OR GESE11B OR GGRC11 OR GRLV11 OR GSFI11 OR GTWR11 OR GWIC11 OR HAAA11 OR HABT11 OR HBRH11 OR HBTT11 OR HCRI11 OR HCST11 OR HCTR11 OR HDOF11 OR HFOF11 OR HGBS11 OR HGCR11 OR HGFF11 OR HGLG11 OR HGPO11 OR HGRE11 OR HGRU11 OR HLOG11 OR HMOC11 OR HOSI11 OR HPDP11 OR HRDF11 OR HREC11 OR HSAF11 OR HSLG11 OR HSML11 OR HSRE11 OR HTMX11 OR HUSC11 OR HUSI11 OR IBFF11 OR IFID11 OR IFIE11 OR IFIX OR IRDM11 OR JBFO11 OR JFLL11 OR JPPA11 OR JPPC11 OR JRDM11 OR JSIM11 OR JSRE11 OR JTPR11 OR KEVE11 OR KFOF11 OR KINP11 OR KISU11 OR KNCR11 OR KNHY11 OR KNIP11 OR KNRE11 OR KNRI11 OR KNSC11 OR LASC11 OR LATR11B OR LFTT11 OR LGCP11 OR LOFT11B OR LOFT13B OR LUGG11 OR LVBI11 OR MALL11 OR MAXR11 OR MBRF11 OR MCCI11 OR MCFF11 OR MFAI11 OR MFII11 OR MGCR11 OR MGFF11 OR MGHT11 OR MINT11 OR MOFF11 OR MORE11 OR MSHP11 OR MTOF11 OR MTRS11 OR MVFI11 OR MXRF11 OR NCHB11 OR NEWL11 OR NEWU11 OR NPAR11 OR NSLU11 OR NVHO11 OR NVIF11B OR ONEF11 OR ORPD11 OR OUCY11 OR OUFF11 OR OUJP11 OR OULG11 OR PABY11 OR PATB11 OR PATC11 OR PATL11 OR PBLV11 OR PBYR11 OR PLCR11 OR PLRI11 OR PNDL11 OR PORD11 OR PQAG11 OR PQDP11 OR PRSN11B OR PRSV11 OR PRTS11 OR PVBI11 OR QAGR11 OR QMFF11 OR QREC11 OR RBAG11 OR RBBV11 OR RBCB11 OR RBCO11 OR RBDS11 OR RBED11 OR RBFF11 OR RBGS11 OR RBIR11 OR RBIV11 OR RBLG11 OR RBPD11 OR RBPR11 OR RBRD11 OR RBRF11 OR RBRL11 OR RBRM11 OR RBRP11 OR RBRR11 OR RBRS11 OR RBRY11 OR RBTS11 OR RBVA11 OR RBVO11 OR RCCS11 OR RCFA11 OR RCFF11 OR RCRB11 OR RCRI11 OR RDPD11 OR RECH11 OR RECR11 OR RECT11 OR REIT11 OR RELG11 OR RFOF11 OR RMAI11 OR RNDP11 OR RNGO11 OR RRCI11 OR RSBU11B OR RSPD11 OR RVBI11 OR RZAK11 OR RZTR11 OR SAAG11 OR SADI11 OR SAIC11B OR SARE11 OR SCPF11 OR SDIL11 OR SFND11 OR SHDP11B OR SHOP11 OR SHPH11 OR SOLR11 OR SPAF11 OR SPTW11 OR SPVJ11 OR STFI11 OR STRX11 OR TBOF11 OR TCIN11 OR TCIN12 OR TCPF11 OR TELD11 OR TEPP11 OR TFOF11 OR TGAR11 OR THRA11 OR TORD11 OR TORM11 OR TOUR11 OR TRNT11 OR TRXB11 OR TRXF11 OR TSNC11 OR URBN11 OR URPR11 OR VCJR11 OR VERE11 OR VGIP11 OR VGIR11 OR VIDS11 OR VIFI11 OR VILG11 OR VINO11 OR VISC11 OR VLJS11 OR VLOL11 OR VOTS11 OR VPSI11 OR VRTA11 OR VSEC11 OR VSHO11 OR VTLT11 OR VTPA11 OR VTPL11 OR VTVI11 OR VTXI11 OR VVPR11 OR VXXV11 OR WMRB11B OR WPLZ11 OR WTSP11B OR XPCI11 OR XPCM11 OR XPGA11 OR XPHT11 OR XPHT12 OR XPIN11 OR XPLG11 OR XPML11 OR XPPR11 OR XPSF11 OR XTED11 OR </v>
      </c>
      <c r="G336" s="44" t="s">
        <v>4811</v>
      </c>
      <c r="H336" s="44" t="s">
        <v>4812</v>
      </c>
      <c r="I336" s="6" t="str">
        <f t="shared" si="2"/>
        <v>(XTED11)</v>
      </c>
    </row>
    <row r="337">
      <c r="G337" s="2"/>
    </row>
    <row r="338">
      <c r="G338" s="2"/>
    </row>
    <row r="339">
      <c r="G339" s="2"/>
    </row>
    <row r="340">
      <c r="G340" s="2"/>
    </row>
    <row r="341">
      <c r="G341" s="2"/>
    </row>
    <row r="342">
      <c r="G342" s="2"/>
    </row>
    <row r="343">
      <c r="G343" s="2"/>
    </row>
    <row r="344">
      <c r="G344" s="2"/>
    </row>
    <row r="345">
      <c r="G345" s="2"/>
    </row>
    <row r="346">
      <c r="G346" s="2"/>
    </row>
    <row r="347">
      <c r="G347" s="2"/>
    </row>
    <row r="348">
      <c r="G348" s="2"/>
    </row>
    <row r="349">
      <c r="G349" s="2"/>
    </row>
    <row r="350">
      <c r="G350" s="2"/>
    </row>
    <row r="351">
      <c r="G351" s="2"/>
    </row>
    <row r="352">
      <c r="G352" s="2"/>
    </row>
    <row r="353">
      <c r="G353" s="2"/>
    </row>
    <row r="354">
      <c r="G354" s="2"/>
    </row>
    <row r="355">
      <c r="G355" s="2"/>
    </row>
    <row r="356">
      <c r="G356" s="2"/>
    </row>
    <row r="357">
      <c r="G357" s="2"/>
    </row>
    <row r="358">
      <c r="G358" s="2"/>
    </row>
    <row r="359">
      <c r="G359" s="2"/>
    </row>
    <row r="360">
      <c r="G360" s="2"/>
    </row>
  </sheetData>
  <hyperlinks>
    <hyperlink r:id="rId1" ref="B2"/>
    <hyperlink r:id="rId2" ref="C2"/>
    <hyperlink r:id="rId3" ref="D2"/>
    <hyperlink r:id="rId4" ref="E2"/>
    <hyperlink r:id="rId5" ref="B3"/>
    <hyperlink r:id="rId6" ref="C3"/>
    <hyperlink r:id="rId7" ref="D3"/>
    <hyperlink r:id="rId8" ref="E3"/>
    <hyperlink r:id="rId9" ref="B4"/>
    <hyperlink r:id="rId10" ref="C4"/>
    <hyperlink r:id="rId11" ref="D4"/>
    <hyperlink r:id="rId12" ref="E4"/>
    <hyperlink r:id="rId13" ref="B5"/>
    <hyperlink r:id="rId14" ref="C5"/>
    <hyperlink r:id="rId15" ref="D5"/>
    <hyperlink r:id="rId16" ref="E5"/>
    <hyperlink r:id="rId17" ref="B6"/>
    <hyperlink r:id="rId18" ref="C6"/>
    <hyperlink r:id="rId19" ref="D6"/>
    <hyperlink r:id="rId20" ref="E6"/>
    <hyperlink r:id="rId21" ref="B7"/>
    <hyperlink r:id="rId22" ref="C7"/>
    <hyperlink r:id="rId23" ref="D7"/>
    <hyperlink r:id="rId24" ref="E7"/>
    <hyperlink r:id="rId25" ref="B8"/>
    <hyperlink r:id="rId26" ref="C8"/>
    <hyperlink r:id="rId27" ref="D8"/>
    <hyperlink r:id="rId28" ref="E8"/>
    <hyperlink r:id="rId29" ref="B9"/>
    <hyperlink r:id="rId30" ref="C9"/>
    <hyperlink r:id="rId31" ref="D9"/>
    <hyperlink r:id="rId32" ref="E9"/>
    <hyperlink r:id="rId33" ref="B10"/>
    <hyperlink r:id="rId34" ref="C10"/>
    <hyperlink r:id="rId35" ref="D10"/>
    <hyperlink r:id="rId36" ref="E10"/>
    <hyperlink r:id="rId37" ref="B11"/>
    <hyperlink r:id="rId38" ref="C11"/>
    <hyperlink r:id="rId39" ref="D11"/>
    <hyperlink r:id="rId40" ref="E11"/>
    <hyperlink r:id="rId41" ref="B12"/>
    <hyperlink r:id="rId42" ref="C12"/>
    <hyperlink r:id="rId43" ref="D12"/>
    <hyperlink r:id="rId44" ref="E12"/>
    <hyperlink r:id="rId45" ref="B13"/>
    <hyperlink r:id="rId46" ref="C13"/>
    <hyperlink r:id="rId47" ref="D13"/>
    <hyperlink r:id="rId48" ref="E13"/>
    <hyperlink r:id="rId49" ref="B14"/>
    <hyperlink r:id="rId50" ref="C14"/>
    <hyperlink r:id="rId51" ref="D14"/>
    <hyperlink r:id="rId52" ref="E14"/>
    <hyperlink r:id="rId53" ref="B15"/>
    <hyperlink r:id="rId54" ref="C15"/>
    <hyperlink r:id="rId55" ref="D15"/>
    <hyperlink r:id="rId56" ref="E15"/>
    <hyperlink r:id="rId57" ref="B16"/>
    <hyperlink r:id="rId58" ref="C16"/>
    <hyperlink r:id="rId59" ref="D16"/>
    <hyperlink r:id="rId60" ref="E16"/>
    <hyperlink r:id="rId61" ref="B17"/>
    <hyperlink r:id="rId62" ref="C17"/>
    <hyperlink r:id="rId63" ref="D17"/>
    <hyperlink r:id="rId64" ref="E17"/>
    <hyperlink r:id="rId65" ref="B18"/>
    <hyperlink r:id="rId66" ref="C18"/>
    <hyperlink r:id="rId67" ref="D18"/>
    <hyperlink r:id="rId68" ref="E18"/>
    <hyperlink r:id="rId69" ref="B19"/>
    <hyperlink r:id="rId70" ref="C19"/>
    <hyperlink r:id="rId71" ref="D19"/>
    <hyperlink r:id="rId72" ref="E19"/>
    <hyperlink r:id="rId73" ref="B20"/>
    <hyperlink r:id="rId74" ref="C20"/>
    <hyperlink r:id="rId75" ref="D20"/>
    <hyperlink r:id="rId76" ref="E20"/>
    <hyperlink r:id="rId77" ref="B21"/>
    <hyperlink r:id="rId78" ref="C21"/>
    <hyperlink r:id="rId79" ref="D21"/>
    <hyperlink r:id="rId80" ref="E21"/>
    <hyperlink r:id="rId81" ref="B22"/>
    <hyperlink r:id="rId82" ref="C22"/>
    <hyperlink r:id="rId83" ref="D22"/>
    <hyperlink r:id="rId84" ref="E22"/>
    <hyperlink r:id="rId85" ref="B23"/>
    <hyperlink r:id="rId86" ref="C23"/>
    <hyperlink r:id="rId87" ref="D23"/>
    <hyperlink r:id="rId88" ref="E23"/>
    <hyperlink r:id="rId89" ref="B24"/>
    <hyperlink r:id="rId90" ref="C24"/>
    <hyperlink r:id="rId91" ref="D24"/>
    <hyperlink r:id="rId92" ref="E24"/>
    <hyperlink r:id="rId93" ref="B25"/>
    <hyperlink r:id="rId94" ref="C25"/>
    <hyperlink r:id="rId95" ref="D25"/>
    <hyperlink r:id="rId96" ref="E25"/>
    <hyperlink r:id="rId97" ref="B26"/>
    <hyperlink r:id="rId98" ref="C26"/>
    <hyperlink r:id="rId99" ref="D26"/>
    <hyperlink r:id="rId100" ref="E26"/>
    <hyperlink r:id="rId101" ref="B27"/>
    <hyperlink r:id="rId102" ref="C27"/>
    <hyperlink r:id="rId103" ref="D27"/>
    <hyperlink r:id="rId104" ref="E27"/>
    <hyperlink r:id="rId105" ref="B28"/>
    <hyperlink r:id="rId106" ref="C28"/>
    <hyperlink r:id="rId107" ref="D28"/>
    <hyperlink r:id="rId108" ref="E28"/>
    <hyperlink r:id="rId109" ref="B29"/>
    <hyperlink r:id="rId110" ref="C29"/>
    <hyperlink r:id="rId111" ref="D29"/>
    <hyperlink r:id="rId112" ref="E29"/>
    <hyperlink r:id="rId113" ref="B30"/>
    <hyperlink r:id="rId114" ref="C30"/>
    <hyperlink r:id="rId115" ref="D30"/>
    <hyperlink r:id="rId116" ref="E30"/>
    <hyperlink r:id="rId117" ref="B31"/>
    <hyperlink r:id="rId118" ref="C31"/>
    <hyperlink r:id="rId119" ref="D31"/>
    <hyperlink r:id="rId120" ref="E31"/>
    <hyperlink r:id="rId121" ref="B32"/>
    <hyperlink r:id="rId122" ref="C32"/>
    <hyperlink r:id="rId123" ref="D32"/>
    <hyperlink r:id="rId124" ref="E32"/>
    <hyperlink r:id="rId125" ref="B33"/>
    <hyperlink r:id="rId126" ref="C33"/>
    <hyperlink r:id="rId127" ref="D33"/>
    <hyperlink r:id="rId128" ref="E33"/>
    <hyperlink r:id="rId129" ref="B34"/>
    <hyperlink r:id="rId130" ref="C34"/>
    <hyperlink r:id="rId131" ref="D34"/>
    <hyperlink r:id="rId132" ref="E34"/>
    <hyperlink r:id="rId133" ref="B35"/>
    <hyperlink r:id="rId134" ref="C35"/>
    <hyperlink r:id="rId135" ref="D35"/>
    <hyperlink r:id="rId136" ref="E35"/>
    <hyperlink r:id="rId137" ref="B36"/>
    <hyperlink r:id="rId138" ref="C36"/>
    <hyperlink r:id="rId139" ref="D36"/>
    <hyperlink r:id="rId140" ref="E36"/>
    <hyperlink r:id="rId141" ref="B37"/>
    <hyperlink r:id="rId142" ref="C37"/>
    <hyperlink r:id="rId143" ref="D37"/>
    <hyperlink r:id="rId144" ref="E37"/>
    <hyperlink r:id="rId145" ref="B38"/>
    <hyperlink r:id="rId146" ref="C38"/>
    <hyperlink r:id="rId147" ref="D38"/>
    <hyperlink r:id="rId148" ref="E38"/>
    <hyperlink r:id="rId149" ref="B39"/>
    <hyperlink r:id="rId150" ref="C39"/>
    <hyperlink r:id="rId151" ref="D39"/>
    <hyperlink r:id="rId152" ref="E39"/>
    <hyperlink r:id="rId153" ref="B40"/>
    <hyperlink r:id="rId154" ref="C40"/>
    <hyperlink r:id="rId155" ref="D40"/>
    <hyperlink r:id="rId156" ref="E40"/>
    <hyperlink r:id="rId157" ref="B41"/>
    <hyperlink r:id="rId158" ref="C41"/>
    <hyperlink r:id="rId159" ref="D41"/>
    <hyperlink r:id="rId160" ref="E41"/>
    <hyperlink r:id="rId161" ref="B42"/>
    <hyperlink r:id="rId162" ref="C42"/>
    <hyperlink r:id="rId163" ref="D42"/>
    <hyperlink r:id="rId164" ref="E42"/>
    <hyperlink r:id="rId165" ref="B43"/>
    <hyperlink r:id="rId166" ref="C43"/>
    <hyperlink r:id="rId167" ref="D43"/>
    <hyperlink r:id="rId168" ref="E43"/>
    <hyperlink r:id="rId169" ref="B44"/>
    <hyperlink r:id="rId170" ref="C44"/>
    <hyperlink r:id="rId171" ref="D44"/>
    <hyperlink r:id="rId172" ref="E44"/>
    <hyperlink r:id="rId173" ref="B45"/>
    <hyperlink r:id="rId174" ref="C45"/>
    <hyperlink r:id="rId175" ref="D45"/>
    <hyperlink r:id="rId176" ref="E45"/>
    <hyperlink r:id="rId177" ref="B46"/>
    <hyperlink r:id="rId178" ref="C46"/>
    <hyperlink r:id="rId179" ref="D46"/>
    <hyperlink r:id="rId180" ref="E46"/>
    <hyperlink r:id="rId181" ref="B47"/>
    <hyperlink r:id="rId182" ref="C47"/>
    <hyperlink r:id="rId183" ref="D47"/>
    <hyperlink r:id="rId184" ref="E47"/>
    <hyperlink r:id="rId185" ref="B48"/>
    <hyperlink r:id="rId186" ref="C48"/>
    <hyperlink r:id="rId187" ref="D48"/>
    <hyperlink r:id="rId188" ref="E48"/>
    <hyperlink r:id="rId189" ref="B49"/>
    <hyperlink r:id="rId190" ref="C49"/>
    <hyperlink r:id="rId191" ref="D49"/>
    <hyperlink r:id="rId192" ref="E49"/>
    <hyperlink r:id="rId193" ref="B50"/>
    <hyperlink r:id="rId194" ref="C50"/>
    <hyperlink r:id="rId195" ref="D50"/>
    <hyperlink r:id="rId196" ref="E50"/>
    <hyperlink r:id="rId197" ref="B51"/>
    <hyperlink r:id="rId198" ref="C51"/>
    <hyperlink r:id="rId199" ref="D51"/>
    <hyperlink r:id="rId200" ref="E51"/>
    <hyperlink r:id="rId201" ref="B52"/>
    <hyperlink r:id="rId202" ref="C52"/>
    <hyperlink r:id="rId203" ref="D52"/>
    <hyperlink r:id="rId204" ref="E52"/>
    <hyperlink r:id="rId205" ref="B53"/>
    <hyperlink r:id="rId206" ref="C53"/>
    <hyperlink r:id="rId207" ref="D53"/>
    <hyperlink r:id="rId208" ref="E53"/>
    <hyperlink r:id="rId209" ref="B54"/>
    <hyperlink r:id="rId210" ref="C54"/>
    <hyperlink r:id="rId211" ref="D54"/>
    <hyperlink r:id="rId212" ref="E54"/>
    <hyperlink r:id="rId213" ref="B55"/>
    <hyperlink r:id="rId214" ref="C55"/>
    <hyperlink r:id="rId215" ref="D55"/>
    <hyperlink r:id="rId216" ref="E55"/>
    <hyperlink r:id="rId217" ref="B56"/>
    <hyperlink r:id="rId218" ref="C56"/>
    <hyperlink r:id="rId219" ref="D56"/>
    <hyperlink r:id="rId220" ref="E56"/>
    <hyperlink r:id="rId221" ref="B57"/>
    <hyperlink r:id="rId222" ref="C57"/>
    <hyperlink r:id="rId223" ref="D57"/>
    <hyperlink r:id="rId224" ref="E57"/>
    <hyperlink r:id="rId225" ref="B58"/>
    <hyperlink r:id="rId226" ref="C58"/>
    <hyperlink r:id="rId227" ref="D58"/>
    <hyperlink r:id="rId228" ref="E58"/>
    <hyperlink r:id="rId229" ref="B59"/>
    <hyperlink r:id="rId230" ref="C59"/>
    <hyperlink r:id="rId231" ref="D59"/>
    <hyperlink r:id="rId232" ref="E59"/>
    <hyperlink r:id="rId233" ref="B60"/>
    <hyperlink r:id="rId234" ref="C60"/>
    <hyperlink r:id="rId235" ref="D60"/>
    <hyperlink r:id="rId236" ref="E60"/>
    <hyperlink r:id="rId237" ref="B61"/>
    <hyperlink r:id="rId238" ref="C61"/>
    <hyperlink r:id="rId239" ref="D61"/>
    <hyperlink r:id="rId240" ref="E61"/>
    <hyperlink r:id="rId241" ref="B62"/>
    <hyperlink r:id="rId242" ref="C62"/>
    <hyperlink r:id="rId243" ref="D62"/>
    <hyperlink r:id="rId244" ref="E62"/>
    <hyperlink r:id="rId245" ref="B63"/>
    <hyperlink r:id="rId246" ref="C63"/>
    <hyperlink r:id="rId247" ref="D63"/>
    <hyperlink r:id="rId248" ref="E63"/>
    <hyperlink r:id="rId249" ref="B64"/>
    <hyperlink r:id="rId250" ref="C64"/>
    <hyperlink r:id="rId251" ref="D64"/>
    <hyperlink r:id="rId252" ref="E64"/>
    <hyperlink r:id="rId253" ref="B65"/>
    <hyperlink r:id="rId254" ref="C65"/>
    <hyperlink r:id="rId255" ref="D65"/>
    <hyperlink r:id="rId256" ref="E65"/>
    <hyperlink r:id="rId257" ref="B66"/>
    <hyperlink r:id="rId258" ref="C66"/>
    <hyperlink r:id="rId259" ref="D66"/>
    <hyperlink r:id="rId260" ref="E66"/>
    <hyperlink r:id="rId261" ref="B67"/>
    <hyperlink r:id="rId262" ref="C67"/>
    <hyperlink r:id="rId263" ref="D67"/>
    <hyperlink r:id="rId264" ref="E67"/>
    <hyperlink r:id="rId265" ref="B68"/>
    <hyperlink r:id="rId266" ref="C68"/>
    <hyperlink r:id="rId267" ref="D68"/>
    <hyperlink r:id="rId268" ref="E68"/>
    <hyperlink r:id="rId269" ref="B69"/>
    <hyperlink r:id="rId270" ref="C69"/>
    <hyperlink r:id="rId271" ref="D69"/>
    <hyperlink r:id="rId272" ref="E69"/>
    <hyperlink r:id="rId273" ref="B70"/>
    <hyperlink r:id="rId274" ref="C70"/>
    <hyperlink r:id="rId275" ref="D70"/>
    <hyperlink r:id="rId276" ref="E70"/>
    <hyperlink r:id="rId277" ref="B71"/>
    <hyperlink r:id="rId278" ref="C71"/>
    <hyperlink r:id="rId279" ref="D71"/>
    <hyperlink r:id="rId280" ref="E71"/>
    <hyperlink r:id="rId281" ref="B72"/>
    <hyperlink r:id="rId282" ref="C72"/>
    <hyperlink r:id="rId283" ref="D72"/>
    <hyperlink r:id="rId284" ref="E72"/>
    <hyperlink r:id="rId285" ref="B73"/>
    <hyperlink r:id="rId286" ref="C73"/>
    <hyperlink r:id="rId287" ref="D73"/>
    <hyperlink r:id="rId288" ref="E73"/>
    <hyperlink r:id="rId289" ref="B74"/>
    <hyperlink r:id="rId290" ref="C74"/>
    <hyperlink r:id="rId291" ref="D74"/>
    <hyperlink r:id="rId292" ref="E74"/>
    <hyperlink r:id="rId293" ref="B75"/>
    <hyperlink r:id="rId294" ref="C75"/>
    <hyperlink r:id="rId295" ref="D75"/>
    <hyperlink r:id="rId296" ref="E75"/>
    <hyperlink r:id="rId297" ref="B76"/>
    <hyperlink r:id="rId298" ref="C76"/>
    <hyperlink r:id="rId299" ref="D76"/>
    <hyperlink r:id="rId300" ref="E76"/>
    <hyperlink r:id="rId301" ref="B77"/>
    <hyperlink r:id="rId302" ref="C77"/>
    <hyperlink r:id="rId303" ref="D77"/>
    <hyperlink r:id="rId304" ref="E77"/>
    <hyperlink r:id="rId305" ref="B78"/>
    <hyperlink r:id="rId306" ref="C78"/>
    <hyperlink r:id="rId307" ref="D78"/>
    <hyperlink r:id="rId308" ref="E78"/>
    <hyperlink r:id="rId309" ref="B79"/>
    <hyperlink r:id="rId310" ref="C79"/>
    <hyperlink r:id="rId311" ref="D79"/>
    <hyperlink r:id="rId312" ref="E79"/>
    <hyperlink r:id="rId313" ref="B80"/>
    <hyperlink r:id="rId314" ref="C80"/>
    <hyperlink r:id="rId315" ref="D80"/>
    <hyperlink r:id="rId316" ref="E80"/>
    <hyperlink r:id="rId317" ref="B81"/>
    <hyperlink r:id="rId318" ref="C81"/>
    <hyperlink r:id="rId319" ref="D81"/>
    <hyperlink r:id="rId320" ref="E81"/>
    <hyperlink r:id="rId321" ref="B82"/>
    <hyperlink r:id="rId322" ref="C82"/>
    <hyperlink r:id="rId323" ref="D82"/>
    <hyperlink r:id="rId324" ref="E82"/>
    <hyperlink r:id="rId325" ref="B83"/>
    <hyperlink r:id="rId326" ref="C83"/>
    <hyperlink r:id="rId327" ref="D83"/>
    <hyperlink r:id="rId328" ref="E83"/>
    <hyperlink r:id="rId329" ref="B84"/>
    <hyperlink r:id="rId330" ref="C84"/>
    <hyperlink r:id="rId331" ref="D84"/>
    <hyperlink r:id="rId332" ref="E84"/>
    <hyperlink r:id="rId333" ref="B85"/>
    <hyperlink r:id="rId334" ref="C85"/>
    <hyperlink r:id="rId335" ref="D85"/>
    <hyperlink r:id="rId336" ref="E85"/>
    <hyperlink r:id="rId337" ref="B86"/>
    <hyperlink r:id="rId338" ref="C86"/>
    <hyperlink r:id="rId339" ref="D86"/>
    <hyperlink r:id="rId340" ref="E86"/>
    <hyperlink r:id="rId341" ref="B87"/>
    <hyperlink r:id="rId342" ref="C87"/>
    <hyperlink r:id="rId343" ref="D87"/>
    <hyperlink r:id="rId344" ref="E87"/>
    <hyperlink r:id="rId345" ref="B88"/>
    <hyperlink r:id="rId346" ref="C88"/>
    <hyperlink r:id="rId347" ref="D88"/>
    <hyperlink r:id="rId348" ref="E88"/>
    <hyperlink r:id="rId349" ref="B89"/>
    <hyperlink r:id="rId350" ref="C89"/>
    <hyperlink r:id="rId351" ref="D89"/>
    <hyperlink r:id="rId352" ref="E89"/>
    <hyperlink r:id="rId353" ref="B90"/>
    <hyperlink r:id="rId354" ref="C90"/>
    <hyperlink r:id="rId355" ref="D90"/>
    <hyperlink r:id="rId356" ref="E90"/>
    <hyperlink r:id="rId357" ref="B91"/>
    <hyperlink r:id="rId358" ref="C91"/>
    <hyperlink r:id="rId359" ref="D91"/>
    <hyperlink r:id="rId360" ref="E91"/>
    <hyperlink r:id="rId361" ref="B92"/>
    <hyperlink r:id="rId362" ref="C92"/>
    <hyperlink r:id="rId363" ref="D92"/>
    <hyperlink r:id="rId364" ref="E92"/>
    <hyperlink r:id="rId365" ref="B93"/>
    <hyperlink r:id="rId366" ref="C93"/>
    <hyperlink r:id="rId367" ref="D93"/>
    <hyperlink r:id="rId368" ref="E93"/>
    <hyperlink r:id="rId369" ref="B94"/>
    <hyperlink r:id="rId370" ref="C94"/>
    <hyperlink r:id="rId371" ref="D94"/>
    <hyperlink r:id="rId372" ref="E94"/>
    <hyperlink r:id="rId373" ref="B95"/>
    <hyperlink r:id="rId374" ref="C95"/>
    <hyperlink r:id="rId375" ref="D95"/>
    <hyperlink r:id="rId376" ref="E95"/>
    <hyperlink r:id="rId377" ref="B96"/>
    <hyperlink r:id="rId378" ref="C96"/>
    <hyperlink r:id="rId379" ref="D96"/>
    <hyperlink r:id="rId380" ref="E96"/>
    <hyperlink r:id="rId381" ref="B97"/>
    <hyperlink r:id="rId382" ref="C97"/>
    <hyperlink r:id="rId383" ref="D97"/>
    <hyperlink r:id="rId384" ref="E97"/>
    <hyperlink r:id="rId385" ref="B98"/>
    <hyperlink r:id="rId386" ref="C98"/>
    <hyperlink r:id="rId387" ref="D98"/>
    <hyperlink r:id="rId388" ref="E98"/>
    <hyperlink r:id="rId389" ref="B99"/>
    <hyperlink r:id="rId390" ref="C99"/>
    <hyperlink r:id="rId391" ref="D99"/>
    <hyperlink r:id="rId392" ref="E99"/>
    <hyperlink r:id="rId393" ref="B100"/>
    <hyperlink r:id="rId394" ref="C100"/>
    <hyperlink r:id="rId395" ref="D100"/>
    <hyperlink r:id="rId396" ref="E100"/>
    <hyperlink r:id="rId397" ref="B101"/>
    <hyperlink r:id="rId398" ref="C101"/>
    <hyperlink r:id="rId399" ref="D101"/>
    <hyperlink r:id="rId400" ref="E101"/>
    <hyperlink r:id="rId401" ref="B102"/>
    <hyperlink r:id="rId402" ref="C102"/>
    <hyperlink r:id="rId403" ref="D102"/>
    <hyperlink r:id="rId404" ref="E102"/>
    <hyperlink r:id="rId405" ref="B103"/>
    <hyperlink r:id="rId406" ref="C103"/>
    <hyperlink r:id="rId407" ref="D103"/>
    <hyperlink r:id="rId408" ref="E103"/>
    <hyperlink r:id="rId409" ref="B104"/>
    <hyperlink r:id="rId410" ref="C104"/>
    <hyperlink r:id="rId411" ref="D104"/>
    <hyperlink r:id="rId412" ref="E104"/>
    <hyperlink r:id="rId413" ref="B105"/>
    <hyperlink r:id="rId414" ref="C105"/>
    <hyperlink r:id="rId415" ref="D105"/>
    <hyperlink r:id="rId416" ref="E105"/>
    <hyperlink r:id="rId417" ref="B106"/>
    <hyperlink r:id="rId418" ref="C106"/>
    <hyperlink r:id="rId419" ref="D106"/>
    <hyperlink r:id="rId420" ref="E106"/>
    <hyperlink r:id="rId421" ref="B107"/>
    <hyperlink r:id="rId422" ref="C107"/>
    <hyperlink r:id="rId423" ref="D107"/>
    <hyperlink r:id="rId424" ref="E107"/>
    <hyperlink r:id="rId425" ref="B108"/>
    <hyperlink r:id="rId426" ref="C108"/>
    <hyperlink r:id="rId427" ref="D108"/>
    <hyperlink r:id="rId428" ref="E108"/>
    <hyperlink r:id="rId429" ref="B109"/>
    <hyperlink r:id="rId430" ref="C109"/>
    <hyperlink r:id="rId431" ref="D109"/>
    <hyperlink r:id="rId432" ref="E109"/>
    <hyperlink r:id="rId433" ref="B110"/>
    <hyperlink r:id="rId434" ref="C110"/>
    <hyperlink r:id="rId435" ref="D110"/>
    <hyperlink r:id="rId436" ref="E110"/>
    <hyperlink r:id="rId437" ref="B111"/>
    <hyperlink r:id="rId438" ref="C111"/>
    <hyperlink r:id="rId439" ref="D111"/>
    <hyperlink r:id="rId440" ref="E111"/>
    <hyperlink r:id="rId441" ref="B112"/>
    <hyperlink r:id="rId442" ref="C112"/>
    <hyperlink r:id="rId443" ref="D112"/>
    <hyperlink r:id="rId444" ref="E112"/>
    <hyperlink r:id="rId445" ref="B113"/>
    <hyperlink r:id="rId446" ref="C113"/>
    <hyperlink r:id="rId447" ref="D113"/>
    <hyperlink r:id="rId448" ref="E113"/>
    <hyperlink r:id="rId449" ref="B114"/>
    <hyperlink r:id="rId450" ref="C114"/>
    <hyperlink r:id="rId451" ref="D114"/>
    <hyperlink r:id="rId452" ref="E114"/>
    <hyperlink r:id="rId453" ref="B115"/>
    <hyperlink r:id="rId454" ref="C115"/>
    <hyperlink r:id="rId455" ref="D115"/>
    <hyperlink r:id="rId456" ref="E115"/>
    <hyperlink r:id="rId457" ref="B116"/>
    <hyperlink r:id="rId458" ref="C116"/>
    <hyperlink r:id="rId459" ref="D116"/>
    <hyperlink r:id="rId460" ref="E116"/>
    <hyperlink r:id="rId461" ref="B117"/>
    <hyperlink r:id="rId462" ref="C117"/>
    <hyperlink r:id="rId463" ref="D117"/>
    <hyperlink r:id="rId464" ref="E117"/>
    <hyperlink r:id="rId465" ref="B118"/>
    <hyperlink r:id="rId466" ref="C118"/>
    <hyperlink r:id="rId467" ref="D118"/>
    <hyperlink r:id="rId468" ref="E118"/>
    <hyperlink r:id="rId469" ref="B119"/>
    <hyperlink r:id="rId470" ref="C119"/>
    <hyperlink r:id="rId471" ref="D119"/>
    <hyperlink r:id="rId472" ref="E119"/>
    <hyperlink r:id="rId473" ref="B120"/>
    <hyperlink r:id="rId474" ref="C120"/>
    <hyperlink r:id="rId475" ref="D120"/>
    <hyperlink r:id="rId476" ref="E120"/>
    <hyperlink r:id="rId477" ref="B121"/>
    <hyperlink r:id="rId478" ref="C121"/>
    <hyperlink r:id="rId479" ref="D121"/>
    <hyperlink r:id="rId480" ref="E121"/>
    <hyperlink r:id="rId481" ref="B122"/>
    <hyperlink r:id="rId482" ref="C122"/>
    <hyperlink r:id="rId483" ref="D122"/>
    <hyperlink r:id="rId484" ref="E122"/>
    <hyperlink r:id="rId485" ref="B123"/>
    <hyperlink r:id="rId486" ref="C123"/>
    <hyperlink r:id="rId487" ref="D123"/>
    <hyperlink r:id="rId488" ref="E123"/>
    <hyperlink r:id="rId489" ref="B124"/>
    <hyperlink r:id="rId490" ref="C124"/>
    <hyperlink r:id="rId491" ref="D124"/>
    <hyperlink r:id="rId492" ref="E124"/>
    <hyperlink r:id="rId493" ref="B125"/>
    <hyperlink r:id="rId494" ref="C125"/>
    <hyperlink r:id="rId495" ref="D125"/>
    <hyperlink r:id="rId496" ref="E125"/>
    <hyperlink r:id="rId497" ref="B126"/>
    <hyperlink r:id="rId498" ref="C126"/>
    <hyperlink r:id="rId499" ref="D126"/>
    <hyperlink r:id="rId500" ref="E126"/>
    <hyperlink r:id="rId501" ref="B127"/>
    <hyperlink r:id="rId502" ref="C127"/>
    <hyperlink r:id="rId503" ref="D127"/>
    <hyperlink r:id="rId504" ref="E127"/>
    <hyperlink r:id="rId505" ref="B128"/>
    <hyperlink r:id="rId506" ref="C128"/>
    <hyperlink r:id="rId507" ref="D128"/>
    <hyperlink r:id="rId508" ref="E128"/>
    <hyperlink r:id="rId509" ref="B129"/>
    <hyperlink r:id="rId510" ref="C129"/>
    <hyperlink r:id="rId511" ref="D129"/>
    <hyperlink r:id="rId512" ref="E129"/>
    <hyperlink r:id="rId513" ref="B130"/>
    <hyperlink r:id="rId514" ref="C130"/>
    <hyperlink r:id="rId515" ref="D130"/>
    <hyperlink r:id="rId516" ref="E130"/>
    <hyperlink r:id="rId517" ref="B131"/>
    <hyperlink r:id="rId518" ref="C131"/>
    <hyperlink r:id="rId519" ref="D131"/>
    <hyperlink r:id="rId520" ref="E131"/>
    <hyperlink r:id="rId521" ref="B132"/>
    <hyperlink r:id="rId522" ref="C132"/>
    <hyperlink r:id="rId523" ref="D132"/>
    <hyperlink r:id="rId524" ref="E132"/>
    <hyperlink r:id="rId525" ref="B133"/>
    <hyperlink r:id="rId526" ref="C133"/>
    <hyperlink r:id="rId527" ref="D133"/>
    <hyperlink r:id="rId528" ref="E133"/>
    <hyperlink r:id="rId529" ref="B134"/>
    <hyperlink r:id="rId530" ref="C134"/>
    <hyperlink r:id="rId531" ref="D134"/>
    <hyperlink r:id="rId532" ref="E134"/>
    <hyperlink r:id="rId533" ref="B135"/>
    <hyperlink r:id="rId534" ref="C135"/>
    <hyperlink r:id="rId535" ref="D135"/>
    <hyperlink r:id="rId536" ref="E135"/>
    <hyperlink r:id="rId537" ref="B136"/>
    <hyperlink r:id="rId538" ref="C136"/>
    <hyperlink r:id="rId539" ref="D136"/>
    <hyperlink r:id="rId540" ref="E136"/>
    <hyperlink r:id="rId541" ref="B137"/>
    <hyperlink r:id="rId542" ref="C137"/>
    <hyperlink r:id="rId543" ref="D137"/>
    <hyperlink r:id="rId544" ref="E137"/>
    <hyperlink r:id="rId545" ref="B138"/>
    <hyperlink r:id="rId546" ref="C138"/>
    <hyperlink r:id="rId547" ref="D138"/>
    <hyperlink r:id="rId548" ref="E138"/>
    <hyperlink r:id="rId549" ref="B139"/>
    <hyperlink r:id="rId550" ref="C139"/>
    <hyperlink r:id="rId551" ref="D139"/>
    <hyperlink r:id="rId552" ref="E139"/>
    <hyperlink r:id="rId553" ref="B140"/>
    <hyperlink r:id="rId554" ref="C140"/>
    <hyperlink r:id="rId555" ref="D140"/>
    <hyperlink r:id="rId556" ref="E140"/>
    <hyperlink r:id="rId557" ref="B141"/>
    <hyperlink r:id="rId558" ref="C141"/>
    <hyperlink r:id="rId559" ref="D141"/>
    <hyperlink r:id="rId560" ref="E141"/>
    <hyperlink r:id="rId561" ref="B142"/>
    <hyperlink r:id="rId562" ref="C142"/>
    <hyperlink r:id="rId563" ref="D142"/>
    <hyperlink r:id="rId564" ref="E142"/>
    <hyperlink r:id="rId565" ref="B143"/>
    <hyperlink r:id="rId566" ref="C143"/>
    <hyperlink r:id="rId567" ref="D143"/>
    <hyperlink r:id="rId568" ref="E143"/>
    <hyperlink r:id="rId569" ref="B144"/>
    <hyperlink r:id="rId570" ref="C144"/>
    <hyperlink r:id="rId571" ref="D144"/>
    <hyperlink r:id="rId572" ref="E144"/>
    <hyperlink r:id="rId573" ref="B145"/>
    <hyperlink r:id="rId574" ref="C145"/>
    <hyperlink r:id="rId575" ref="D145"/>
    <hyperlink r:id="rId576" ref="E145"/>
    <hyperlink r:id="rId577" ref="B146"/>
    <hyperlink r:id="rId578" ref="C146"/>
    <hyperlink r:id="rId579" ref="D146"/>
    <hyperlink r:id="rId580" ref="E146"/>
    <hyperlink r:id="rId581" ref="B147"/>
    <hyperlink r:id="rId582" ref="C147"/>
    <hyperlink r:id="rId583" ref="D147"/>
    <hyperlink r:id="rId584" ref="E147"/>
    <hyperlink r:id="rId585" ref="B148"/>
    <hyperlink r:id="rId586" ref="C148"/>
    <hyperlink r:id="rId587" ref="D148"/>
    <hyperlink r:id="rId588" ref="E148"/>
    <hyperlink r:id="rId589" ref="B149"/>
    <hyperlink r:id="rId590" ref="C149"/>
    <hyperlink r:id="rId591" ref="D149"/>
    <hyperlink r:id="rId592" ref="E149"/>
    <hyperlink r:id="rId593" ref="B150"/>
    <hyperlink r:id="rId594" ref="C150"/>
    <hyperlink r:id="rId595" ref="D150"/>
    <hyperlink r:id="rId596" ref="E150"/>
    <hyperlink r:id="rId597" ref="B151"/>
    <hyperlink r:id="rId598" ref="C151"/>
    <hyperlink r:id="rId599" ref="D151"/>
    <hyperlink r:id="rId600" ref="E151"/>
    <hyperlink r:id="rId601" ref="B152"/>
    <hyperlink r:id="rId602" ref="C152"/>
    <hyperlink r:id="rId603" ref="D152"/>
    <hyperlink r:id="rId604" ref="E152"/>
    <hyperlink r:id="rId605" ref="B153"/>
    <hyperlink r:id="rId606" ref="C153"/>
    <hyperlink r:id="rId607" ref="D153"/>
    <hyperlink r:id="rId608" ref="E153"/>
    <hyperlink r:id="rId609" ref="B154"/>
    <hyperlink r:id="rId610" ref="C154"/>
    <hyperlink r:id="rId611" ref="D154"/>
    <hyperlink r:id="rId612" ref="E154"/>
    <hyperlink r:id="rId613" ref="B155"/>
    <hyperlink r:id="rId614" ref="C155"/>
    <hyperlink r:id="rId615" ref="D155"/>
    <hyperlink r:id="rId616" ref="E155"/>
    <hyperlink r:id="rId617" ref="B156"/>
    <hyperlink r:id="rId618" ref="C156"/>
    <hyperlink r:id="rId619" ref="D156"/>
    <hyperlink r:id="rId620" ref="E156"/>
    <hyperlink r:id="rId621" ref="B157"/>
    <hyperlink r:id="rId622" ref="C157"/>
    <hyperlink r:id="rId623" ref="D157"/>
    <hyperlink r:id="rId624" ref="E157"/>
    <hyperlink r:id="rId625" ref="B158"/>
    <hyperlink r:id="rId626" ref="C158"/>
    <hyperlink r:id="rId627" ref="D158"/>
    <hyperlink r:id="rId628" ref="E158"/>
    <hyperlink r:id="rId629" ref="B159"/>
    <hyperlink r:id="rId630" ref="C159"/>
    <hyperlink r:id="rId631" ref="D159"/>
    <hyperlink r:id="rId632" ref="E159"/>
    <hyperlink r:id="rId633" ref="B160"/>
    <hyperlink r:id="rId634" ref="C160"/>
    <hyperlink r:id="rId635" ref="D160"/>
    <hyperlink r:id="rId636" ref="E160"/>
    <hyperlink r:id="rId637" ref="B161"/>
    <hyperlink r:id="rId638" ref="C161"/>
    <hyperlink r:id="rId639" ref="D161"/>
    <hyperlink r:id="rId640" ref="E161"/>
    <hyperlink r:id="rId641" ref="B162"/>
    <hyperlink r:id="rId642" ref="C162"/>
    <hyperlink r:id="rId643" ref="D162"/>
    <hyperlink r:id="rId644" ref="E162"/>
    <hyperlink r:id="rId645" ref="B163"/>
    <hyperlink r:id="rId646" ref="C163"/>
    <hyperlink r:id="rId647" ref="D163"/>
    <hyperlink r:id="rId648" ref="E163"/>
    <hyperlink r:id="rId649" ref="B164"/>
    <hyperlink r:id="rId650" ref="C164"/>
    <hyperlink r:id="rId651" ref="D164"/>
    <hyperlink r:id="rId652" ref="E164"/>
    <hyperlink r:id="rId653" ref="B165"/>
    <hyperlink r:id="rId654" ref="C165"/>
    <hyperlink r:id="rId655" ref="D165"/>
    <hyperlink r:id="rId656" ref="E165"/>
    <hyperlink r:id="rId657" ref="B166"/>
    <hyperlink r:id="rId658" ref="C166"/>
    <hyperlink r:id="rId659" ref="D166"/>
    <hyperlink r:id="rId660" ref="E166"/>
    <hyperlink r:id="rId661" ref="B167"/>
    <hyperlink r:id="rId662" ref="C167"/>
    <hyperlink r:id="rId663" ref="D167"/>
    <hyperlink r:id="rId664" ref="E167"/>
    <hyperlink r:id="rId665" ref="B168"/>
    <hyperlink r:id="rId666" ref="C168"/>
    <hyperlink r:id="rId667" ref="D168"/>
    <hyperlink r:id="rId668" ref="E168"/>
    <hyperlink r:id="rId669" ref="B169"/>
    <hyperlink r:id="rId670" ref="C169"/>
    <hyperlink r:id="rId671" ref="D169"/>
    <hyperlink r:id="rId672" ref="E169"/>
    <hyperlink r:id="rId673" ref="B170"/>
    <hyperlink r:id="rId674" ref="C170"/>
    <hyperlink r:id="rId675" ref="D170"/>
    <hyperlink r:id="rId676" ref="E170"/>
    <hyperlink r:id="rId677" ref="B171"/>
    <hyperlink r:id="rId678" ref="C171"/>
    <hyperlink r:id="rId679" ref="D171"/>
    <hyperlink r:id="rId680" ref="E171"/>
    <hyperlink r:id="rId681" ref="B172"/>
    <hyperlink r:id="rId682" ref="C172"/>
    <hyperlink r:id="rId683" ref="D172"/>
    <hyperlink r:id="rId684" ref="E172"/>
    <hyperlink r:id="rId685" ref="B173"/>
    <hyperlink r:id="rId686" ref="C173"/>
    <hyperlink r:id="rId687" ref="D173"/>
    <hyperlink r:id="rId688" ref="E173"/>
    <hyperlink r:id="rId689" ref="B174"/>
    <hyperlink r:id="rId690" ref="C174"/>
    <hyperlink r:id="rId691" ref="D174"/>
    <hyperlink r:id="rId692" ref="E174"/>
    <hyperlink r:id="rId693" ref="B175"/>
    <hyperlink r:id="rId694" ref="C175"/>
    <hyperlink r:id="rId695" ref="D175"/>
    <hyperlink r:id="rId696" ref="E175"/>
    <hyperlink r:id="rId697" ref="B176"/>
    <hyperlink r:id="rId698" ref="C176"/>
    <hyperlink r:id="rId699" ref="D176"/>
    <hyperlink r:id="rId700" ref="E176"/>
    <hyperlink r:id="rId701" ref="B177"/>
    <hyperlink r:id="rId702" ref="C177"/>
    <hyperlink r:id="rId703" ref="D177"/>
    <hyperlink r:id="rId704" ref="E177"/>
    <hyperlink r:id="rId705" ref="B178"/>
    <hyperlink r:id="rId706" ref="C178"/>
    <hyperlink r:id="rId707" ref="D178"/>
    <hyperlink r:id="rId708" ref="E178"/>
    <hyperlink r:id="rId709" ref="B179"/>
    <hyperlink r:id="rId710" ref="C179"/>
    <hyperlink r:id="rId711" ref="D179"/>
    <hyperlink r:id="rId712" ref="E179"/>
    <hyperlink r:id="rId713" ref="B180"/>
    <hyperlink r:id="rId714" ref="C180"/>
    <hyperlink r:id="rId715" ref="D180"/>
    <hyperlink r:id="rId716" ref="E180"/>
    <hyperlink r:id="rId717" ref="B181"/>
    <hyperlink r:id="rId718" ref="C181"/>
    <hyperlink r:id="rId719" ref="D181"/>
    <hyperlink r:id="rId720" ref="E181"/>
    <hyperlink r:id="rId721" ref="B182"/>
    <hyperlink r:id="rId722" ref="C182"/>
    <hyperlink r:id="rId723" ref="D182"/>
    <hyperlink r:id="rId724" ref="E182"/>
    <hyperlink r:id="rId725" ref="B183"/>
    <hyperlink r:id="rId726" ref="C183"/>
    <hyperlink r:id="rId727" ref="D183"/>
    <hyperlink r:id="rId728" ref="E183"/>
    <hyperlink r:id="rId729" ref="B184"/>
    <hyperlink r:id="rId730" ref="C184"/>
    <hyperlink r:id="rId731" ref="D184"/>
    <hyperlink r:id="rId732" ref="E184"/>
    <hyperlink r:id="rId733" ref="B185"/>
    <hyperlink r:id="rId734" ref="C185"/>
    <hyperlink r:id="rId735" ref="D185"/>
    <hyperlink r:id="rId736" ref="E185"/>
    <hyperlink r:id="rId737" ref="B186"/>
    <hyperlink r:id="rId738" ref="C186"/>
    <hyperlink r:id="rId739" ref="D186"/>
    <hyperlink r:id="rId740" ref="E186"/>
    <hyperlink r:id="rId741" ref="B187"/>
    <hyperlink r:id="rId742" ref="C187"/>
    <hyperlink r:id="rId743" ref="D187"/>
    <hyperlink r:id="rId744" ref="E187"/>
    <hyperlink r:id="rId745" ref="B188"/>
    <hyperlink r:id="rId746" ref="C188"/>
    <hyperlink r:id="rId747" ref="D188"/>
    <hyperlink r:id="rId748" ref="E188"/>
    <hyperlink r:id="rId749" ref="B189"/>
    <hyperlink r:id="rId750" ref="C189"/>
    <hyperlink r:id="rId751" ref="D189"/>
    <hyperlink r:id="rId752" ref="E189"/>
    <hyperlink r:id="rId753" ref="B190"/>
    <hyperlink r:id="rId754" ref="C190"/>
    <hyperlink r:id="rId755" ref="D190"/>
    <hyperlink r:id="rId756" ref="E190"/>
    <hyperlink r:id="rId757" ref="B191"/>
    <hyperlink r:id="rId758" ref="C191"/>
    <hyperlink r:id="rId759" ref="D191"/>
    <hyperlink r:id="rId760" ref="E191"/>
    <hyperlink r:id="rId761" ref="B192"/>
    <hyperlink r:id="rId762" ref="C192"/>
    <hyperlink r:id="rId763" ref="D192"/>
    <hyperlink r:id="rId764" ref="E192"/>
    <hyperlink r:id="rId765" ref="B193"/>
    <hyperlink r:id="rId766" ref="C193"/>
    <hyperlink r:id="rId767" ref="D193"/>
    <hyperlink r:id="rId768" ref="E193"/>
    <hyperlink r:id="rId769" ref="B194"/>
    <hyperlink r:id="rId770" ref="C194"/>
    <hyperlink r:id="rId771" ref="D194"/>
    <hyperlink r:id="rId772" ref="E194"/>
    <hyperlink r:id="rId773" ref="B195"/>
    <hyperlink r:id="rId774" ref="C195"/>
    <hyperlink r:id="rId775" ref="D195"/>
    <hyperlink r:id="rId776" ref="E195"/>
    <hyperlink r:id="rId777" ref="B196"/>
    <hyperlink r:id="rId778" ref="C196"/>
    <hyperlink r:id="rId779" ref="D196"/>
    <hyperlink r:id="rId780" ref="E196"/>
    <hyperlink r:id="rId781" ref="B197"/>
    <hyperlink r:id="rId782" ref="C197"/>
    <hyperlink r:id="rId783" ref="D197"/>
    <hyperlink r:id="rId784" ref="E197"/>
    <hyperlink r:id="rId785" ref="B198"/>
    <hyperlink r:id="rId786" ref="C198"/>
    <hyperlink r:id="rId787" ref="D198"/>
    <hyperlink r:id="rId788" ref="E198"/>
    <hyperlink r:id="rId789" ref="B199"/>
    <hyperlink r:id="rId790" ref="C199"/>
    <hyperlink r:id="rId791" ref="D199"/>
    <hyperlink r:id="rId792" ref="E199"/>
    <hyperlink r:id="rId793" ref="B200"/>
    <hyperlink r:id="rId794" ref="C200"/>
    <hyperlink r:id="rId795" ref="D200"/>
    <hyperlink r:id="rId796" ref="E200"/>
    <hyperlink r:id="rId797" ref="B201"/>
    <hyperlink r:id="rId798" ref="C201"/>
    <hyperlink r:id="rId799" ref="D201"/>
    <hyperlink r:id="rId800" ref="E201"/>
    <hyperlink r:id="rId801" ref="B202"/>
    <hyperlink r:id="rId802" ref="C202"/>
    <hyperlink r:id="rId803" ref="D202"/>
    <hyperlink r:id="rId804" ref="E202"/>
    <hyperlink r:id="rId805" ref="B203"/>
    <hyperlink r:id="rId806" ref="C203"/>
    <hyperlink r:id="rId807" ref="D203"/>
    <hyperlink r:id="rId808" ref="E203"/>
    <hyperlink r:id="rId809" ref="B204"/>
    <hyperlink r:id="rId810" ref="C204"/>
    <hyperlink r:id="rId811" ref="D204"/>
    <hyperlink r:id="rId812" ref="E204"/>
    <hyperlink r:id="rId813" ref="B205"/>
    <hyperlink r:id="rId814" ref="C205"/>
    <hyperlink r:id="rId815" ref="D205"/>
    <hyperlink r:id="rId816" ref="E205"/>
    <hyperlink r:id="rId817" ref="B206"/>
    <hyperlink r:id="rId818" ref="C206"/>
    <hyperlink r:id="rId819" ref="D206"/>
    <hyperlink r:id="rId820" ref="E206"/>
    <hyperlink r:id="rId821" ref="B207"/>
    <hyperlink r:id="rId822" ref="C207"/>
    <hyperlink r:id="rId823" ref="D207"/>
    <hyperlink r:id="rId824" ref="E207"/>
    <hyperlink r:id="rId825" ref="B208"/>
    <hyperlink r:id="rId826" ref="C208"/>
    <hyperlink r:id="rId827" ref="D208"/>
    <hyperlink r:id="rId828" ref="E208"/>
    <hyperlink r:id="rId829" ref="B209"/>
    <hyperlink r:id="rId830" ref="C209"/>
    <hyperlink r:id="rId831" ref="D209"/>
    <hyperlink r:id="rId832" ref="E209"/>
    <hyperlink r:id="rId833" ref="B210"/>
    <hyperlink r:id="rId834" ref="C210"/>
    <hyperlink r:id="rId835" ref="D210"/>
    <hyperlink r:id="rId836" ref="E210"/>
    <hyperlink r:id="rId837" ref="B211"/>
    <hyperlink r:id="rId838" ref="C211"/>
    <hyperlink r:id="rId839" ref="D211"/>
    <hyperlink r:id="rId840" ref="E211"/>
    <hyperlink r:id="rId841" ref="B212"/>
    <hyperlink r:id="rId842" ref="C212"/>
    <hyperlink r:id="rId843" ref="D212"/>
    <hyperlink r:id="rId844" ref="E212"/>
    <hyperlink r:id="rId845" ref="B213"/>
    <hyperlink r:id="rId846" ref="C213"/>
    <hyperlink r:id="rId847" ref="D213"/>
    <hyperlink r:id="rId848" ref="E213"/>
    <hyperlink r:id="rId849" ref="B214"/>
    <hyperlink r:id="rId850" ref="C214"/>
    <hyperlink r:id="rId851" ref="D214"/>
    <hyperlink r:id="rId852" ref="E214"/>
    <hyperlink r:id="rId853" ref="B215"/>
    <hyperlink r:id="rId854" ref="C215"/>
    <hyperlink r:id="rId855" ref="D215"/>
    <hyperlink r:id="rId856" ref="E215"/>
    <hyperlink r:id="rId857" ref="B216"/>
    <hyperlink r:id="rId858" ref="C216"/>
    <hyperlink r:id="rId859" ref="D216"/>
    <hyperlink r:id="rId860" ref="E216"/>
    <hyperlink r:id="rId861" ref="B217"/>
    <hyperlink r:id="rId862" ref="C217"/>
    <hyperlink r:id="rId863" ref="D217"/>
    <hyperlink r:id="rId864" ref="E217"/>
    <hyperlink r:id="rId865" ref="B218"/>
    <hyperlink r:id="rId866" ref="C218"/>
    <hyperlink r:id="rId867" ref="D218"/>
    <hyperlink r:id="rId868" ref="E218"/>
    <hyperlink r:id="rId869" ref="B219"/>
    <hyperlink r:id="rId870" ref="C219"/>
    <hyperlink r:id="rId871" ref="D219"/>
    <hyperlink r:id="rId872" ref="E219"/>
    <hyperlink r:id="rId873" ref="B220"/>
    <hyperlink r:id="rId874" ref="C220"/>
    <hyperlink r:id="rId875" ref="D220"/>
    <hyperlink r:id="rId876" ref="E220"/>
    <hyperlink r:id="rId877" ref="B221"/>
    <hyperlink r:id="rId878" ref="C221"/>
    <hyperlink r:id="rId879" ref="D221"/>
    <hyperlink r:id="rId880" ref="E221"/>
    <hyperlink r:id="rId881" ref="B222"/>
    <hyperlink r:id="rId882" ref="C222"/>
    <hyperlink r:id="rId883" ref="D222"/>
    <hyperlink r:id="rId884" ref="E222"/>
    <hyperlink r:id="rId885" ref="B223"/>
    <hyperlink r:id="rId886" ref="C223"/>
    <hyperlink r:id="rId887" ref="D223"/>
    <hyperlink r:id="rId888" ref="E223"/>
    <hyperlink r:id="rId889" ref="B224"/>
    <hyperlink r:id="rId890" ref="C224"/>
    <hyperlink r:id="rId891" ref="D224"/>
    <hyperlink r:id="rId892" ref="E224"/>
    <hyperlink r:id="rId893" ref="B225"/>
    <hyperlink r:id="rId894" ref="C225"/>
    <hyperlink r:id="rId895" ref="D225"/>
    <hyperlink r:id="rId896" ref="E225"/>
    <hyperlink r:id="rId897" ref="B226"/>
    <hyperlink r:id="rId898" ref="C226"/>
    <hyperlink r:id="rId899" ref="D226"/>
    <hyperlink r:id="rId900" ref="E226"/>
    <hyperlink r:id="rId901" ref="B227"/>
    <hyperlink r:id="rId902" ref="C227"/>
    <hyperlink r:id="rId903" ref="D227"/>
    <hyperlink r:id="rId904" ref="E227"/>
    <hyperlink r:id="rId905" ref="B228"/>
    <hyperlink r:id="rId906" ref="C228"/>
    <hyperlink r:id="rId907" ref="D228"/>
    <hyperlink r:id="rId908" ref="E228"/>
    <hyperlink r:id="rId909" ref="B229"/>
    <hyperlink r:id="rId910" ref="C229"/>
    <hyperlink r:id="rId911" ref="D229"/>
    <hyperlink r:id="rId912" ref="E229"/>
    <hyperlink r:id="rId913" ref="B230"/>
    <hyperlink r:id="rId914" ref="C230"/>
    <hyperlink r:id="rId915" ref="D230"/>
    <hyperlink r:id="rId916" ref="E230"/>
    <hyperlink r:id="rId917" ref="B231"/>
    <hyperlink r:id="rId918" ref="C231"/>
    <hyperlink r:id="rId919" ref="D231"/>
    <hyperlink r:id="rId920" ref="E231"/>
    <hyperlink r:id="rId921" ref="B232"/>
    <hyperlink r:id="rId922" ref="C232"/>
    <hyperlink r:id="rId923" ref="D232"/>
    <hyperlink r:id="rId924" ref="E232"/>
    <hyperlink r:id="rId925" ref="B233"/>
    <hyperlink r:id="rId926" ref="C233"/>
    <hyperlink r:id="rId927" ref="D233"/>
    <hyperlink r:id="rId928" ref="E233"/>
    <hyperlink r:id="rId929" ref="B234"/>
    <hyperlink r:id="rId930" ref="C234"/>
    <hyperlink r:id="rId931" ref="D234"/>
    <hyperlink r:id="rId932" ref="E234"/>
    <hyperlink r:id="rId933" ref="B235"/>
    <hyperlink r:id="rId934" ref="C235"/>
    <hyperlink r:id="rId935" ref="D235"/>
    <hyperlink r:id="rId936" ref="E235"/>
    <hyperlink r:id="rId937" ref="B236"/>
    <hyperlink r:id="rId938" ref="C236"/>
    <hyperlink r:id="rId939" ref="D236"/>
    <hyperlink r:id="rId940" ref="E236"/>
    <hyperlink r:id="rId941" ref="B237"/>
    <hyperlink r:id="rId942" ref="C237"/>
    <hyperlink r:id="rId943" ref="D237"/>
    <hyperlink r:id="rId944" ref="E237"/>
    <hyperlink r:id="rId945" ref="B238"/>
    <hyperlink r:id="rId946" ref="C238"/>
    <hyperlink r:id="rId947" ref="D238"/>
    <hyperlink r:id="rId948" ref="E238"/>
    <hyperlink r:id="rId949" ref="B239"/>
    <hyperlink r:id="rId950" ref="C239"/>
    <hyperlink r:id="rId951" ref="D239"/>
    <hyperlink r:id="rId952" ref="E239"/>
    <hyperlink r:id="rId953" ref="B240"/>
    <hyperlink r:id="rId954" ref="C240"/>
    <hyperlink r:id="rId955" ref="D240"/>
    <hyperlink r:id="rId956" ref="E240"/>
    <hyperlink r:id="rId957" ref="B241"/>
    <hyperlink r:id="rId958" ref="C241"/>
    <hyperlink r:id="rId959" ref="D241"/>
    <hyperlink r:id="rId960" ref="E241"/>
    <hyperlink r:id="rId961" ref="B242"/>
    <hyperlink r:id="rId962" ref="C242"/>
    <hyperlink r:id="rId963" ref="D242"/>
    <hyperlink r:id="rId964" ref="E242"/>
    <hyperlink r:id="rId965" ref="B243"/>
    <hyperlink r:id="rId966" ref="C243"/>
    <hyperlink r:id="rId967" ref="D243"/>
    <hyperlink r:id="rId968" ref="E243"/>
    <hyperlink r:id="rId969" ref="B244"/>
    <hyperlink r:id="rId970" ref="C244"/>
    <hyperlink r:id="rId971" ref="D244"/>
    <hyperlink r:id="rId972" ref="E244"/>
    <hyperlink r:id="rId973" ref="B245"/>
    <hyperlink r:id="rId974" ref="C245"/>
    <hyperlink r:id="rId975" ref="D245"/>
    <hyperlink r:id="rId976" ref="E245"/>
    <hyperlink r:id="rId977" ref="B246"/>
    <hyperlink r:id="rId978" ref="C246"/>
    <hyperlink r:id="rId979" ref="D246"/>
    <hyperlink r:id="rId980" ref="E246"/>
    <hyperlink r:id="rId981" ref="B247"/>
    <hyperlink r:id="rId982" ref="C247"/>
    <hyperlink r:id="rId983" ref="D247"/>
    <hyperlink r:id="rId984" ref="E247"/>
    <hyperlink r:id="rId985" ref="B248"/>
    <hyperlink r:id="rId986" ref="C248"/>
    <hyperlink r:id="rId987" ref="D248"/>
    <hyperlink r:id="rId988" ref="E248"/>
    <hyperlink r:id="rId989" ref="B249"/>
    <hyperlink r:id="rId990" ref="C249"/>
    <hyperlink r:id="rId991" ref="D249"/>
    <hyperlink r:id="rId992" ref="E249"/>
    <hyperlink r:id="rId993" ref="B250"/>
    <hyperlink r:id="rId994" ref="C250"/>
    <hyperlink r:id="rId995" ref="D250"/>
    <hyperlink r:id="rId996" ref="E250"/>
    <hyperlink r:id="rId997" ref="B251"/>
    <hyperlink r:id="rId998" ref="C251"/>
    <hyperlink r:id="rId999" ref="D251"/>
    <hyperlink r:id="rId1000" ref="E251"/>
    <hyperlink r:id="rId1001" ref="B252"/>
    <hyperlink r:id="rId1002" ref="C252"/>
    <hyperlink r:id="rId1003" ref="D252"/>
    <hyperlink r:id="rId1004" ref="E252"/>
    <hyperlink r:id="rId1005" ref="B253"/>
    <hyperlink r:id="rId1006" ref="C253"/>
    <hyperlink r:id="rId1007" ref="D253"/>
    <hyperlink r:id="rId1008" ref="E253"/>
    <hyperlink r:id="rId1009" ref="B254"/>
    <hyperlink r:id="rId1010" ref="C254"/>
    <hyperlink r:id="rId1011" ref="D254"/>
    <hyperlink r:id="rId1012" ref="E254"/>
    <hyperlink r:id="rId1013" ref="B255"/>
    <hyperlink r:id="rId1014" ref="C255"/>
    <hyperlink r:id="rId1015" ref="D255"/>
    <hyperlink r:id="rId1016" ref="E255"/>
    <hyperlink r:id="rId1017" ref="B256"/>
    <hyperlink r:id="rId1018" ref="C256"/>
    <hyperlink r:id="rId1019" ref="D256"/>
    <hyperlink r:id="rId1020" ref="E256"/>
    <hyperlink r:id="rId1021" ref="B257"/>
    <hyperlink r:id="rId1022" ref="C257"/>
    <hyperlink r:id="rId1023" ref="D257"/>
    <hyperlink r:id="rId1024" ref="E257"/>
    <hyperlink r:id="rId1025" ref="B258"/>
    <hyperlink r:id="rId1026" ref="C258"/>
    <hyperlink r:id="rId1027" ref="D258"/>
    <hyperlink r:id="rId1028" ref="E258"/>
    <hyperlink r:id="rId1029" ref="B259"/>
    <hyperlink r:id="rId1030" ref="C259"/>
    <hyperlink r:id="rId1031" ref="D259"/>
    <hyperlink r:id="rId1032" ref="E259"/>
    <hyperlink r:id="rId1033" ref="B260"/>
    <hyperlink r:id="rId1034" ref="C260"/>
    <hyperlink r:id="rId1035" ref="D260"/>
    <hyperlink r:id="rId1036" ref="E260"/>
    <hyperlink r:id="rId1037" ref="B261"/>
    <hyperlink r:id="rId1038" ref="C261"/>
    <hyperlink r:id="rId1039" ref="D261"/>
    <hyperlink r:id="rId1040" ref="E261"/>
    <hyperlink r:id="rId1041" ref="B262"/>
    <hyperlink r:id="rId1042" ref="C262"/>
    <hyperlink r:id="rId1043" ref="D262"/>
    <hyperlink r:id="rId1044" ref="E262"/>
    <hyperlink r:id="rId1045" ref="B263"/>
    <hyperlink r:id="rId1046" ref="C263"/>
    <hyperlink r:id="rId1047" ref="D263"/>
    <hyperlink r:id="rId1048" ref="E263"/>
    <hyperlink r:id="rId1049" ref="B264"/>
    <hyperlink r:id="rId1050" ref="C264"/>
    <hyperlink r:id="rId1051" ref="D264"/>
    <hyperlink r:id="rId1052" ref="E264"/>
    <hyperlink r:id="rId1053" ref="B265"/>
    <hyperlink r:id="rId1054" ref="C265"/>
    <hyperlink r:id="rId1055" ref="D265"/>
    <hyperlink r:id="rId1056" ref="E265"/>
    <hyperlink r:id="rId1057" ref="B266"/>
    <hyperlink r:id="rId1058" ref="C266"/>
    <hyperlink r:id="rId1059" ref="D266"/>
    <hyperlink r:id="rId1060" ref="E266"/>
    <hyperlink r:id="rId1061" ref="B267"/>
    <hyperlink r:id="rId1062" ref="C267"/>
    <hyperlink r:id="rId1063" ref="D267"/>
    <hyperlink r:id="rId1064" ref="E267"/>
    <hyperlink r:id="rId1065" ref="B268"/>
    <hyperlink r:id="rId1066" ref="C268"/>
    <hyperlink r:id="rId1067" ref="D268"/>
    <hyperlink r:id="rId1068" ref="E268"/>
    <hyperlink r:id="rId1069" ref="B269"/>
    <hyperlink r:id="rId1070" ref="C269"/>
    <hyperlink r:id="rId1071" ref="D269"/>
    <hyperlink r:id="rId1072" ref="E269"/>
    <hyperlink r:id="rId1073" ref="B270"/>
    <hyperlink r:id="rId1074" ref="C270"/>
    <hyperlink r:id="rId1075" ref="D270"/>
    <hyperlink r:id="rId1076" ref="E270"/>
    <hyperlink r:id="rId1077" ref="B271"/>
    <hyperlink r:id="rId1078" ref="C271"/>
    <hyperlink r:id="rId1079" ref="D271"/>
    <hyperlink r:id="rId1080" ref="E271"/>
    <hyperlink r:id="rId1081" ref="B272"/>
    <hyperlink r:id="rId1082" ref="C272"/>
    <hyperlink r:id="rId1083" ref="D272"/>
    <hyperlink r:id="rId1084" ref="E272"/>
    <hyperlink r:id="rId1085" ref="B273"/>
    <hyperlink r:id="rId1086" ref="C273"/>
    <hyperlink r:id="rId1087" ref="D273"/>
    <hyperlink r:id="rId1088" ref="E273"/>
    <hyperlink r:id="rId1089" ref="B274"/>
    <hyperlink r:id="rId1090" ref="C274"/>
    <hyperlink r:id="rId1091" ref="D274"/>
    <hyperlink r:id="rId1092" ref="E274"/>
    <hyperlink r:id="rId1093" ref="B275"/>
    <hyperlink r:id="rId1094" ref="C275"/>
    <hyperlink r:id="rId1095" ref="D275"/>
    <hyperlink r:id="rId1096" ref="E275"/>
    <hyperlink r:id="rId1097" ref="B276"/>
    <hyperlink r:id="rId1098" ref="C276"/>
    <hyperlink r:id="rId1099" ref="D276"/>
    <hyperlink r:id="rId1100" ref="E276"/>
    <hyperlink r:id="rId1101" ref="B277"/>
    <hyperlink r:id="rId1102" ref="C277"/>
    <hyperlink r:id="rId1103" ref="D277"/>
    <hyperlink r:id="rId1104" ref="E277"/>
    <hyperlink r:id="rId1105" ref="B278"/>
    <hyperlink r:id="rId1106" ref="C278"/>
    <hyperlink r:id="rId1107" ref="D278"/>
    <hyperlink r:id="rId1108" ref="E278"/>
    <hyperlink r:id="rId1109" ref="B279"/>
    <hyperlink r:id="rId1110" ref="C279"/>
    <hyperlink r:id="rId1111" ref="D279"/>
    <hyperlink r:id="rId1112" ref="E279"/>
    <hyperlink r:id="rId1113" ref="B280"/>
    <hyperlink r:id="rId1114" ref="C280"/>
    <hyperlink r:id="rId1115" ref="D280"/>
    <hyperlink r:id="rId1116" ref="E280"/>
    <hyperlink r:id="rId1117" ref="B281"/>
    <hyperlink r:id="rId1118" ref="C281"/>
    <hyperlink r:id="rId1119" ref="D281"/>
    <hyperlink r:id="rId1120" ref="E281"/>
    <hyperlink r:id="rId1121" ref="B282"/>
    <hyperlink r:id="rId1122" ref="C282"/>
    <hyperlink r:id="rId1123" ref="D282"/>
    <hyperlink r:id="rId1124" ref="E282"/>
    <hyperlink r:id="rId1125" ref="B283"/>
    <hyperlink r:id="rId1126" ref="C283"/>
    <hyperlink r:id="rId1127" ref="D283"/>
    <hyperlink r:id="rId1128" ref="E283"/>
    <hyperlink r:id="rId1129" ref="B284"/>
    <hyperlink r:id="rId1130" ref="C284"/>
    <hyperlink r:id="rId1131" ref="D284"/>
    <hyperlink r:id="rId1132" ref="E284"/>
    <hyperlink r:id="rId1133" ref="B285"/>
    <hyperlink r:id="rId1134" ref="C285"/>
    <hyperlink r:id="rId1135" ref="D285"/>
    <hyperlink r:id="rId1136" ref="E285"/>
    <hyperlink r:id="rId1137" ref="B286"/>
    <hyperlink r:id="rId1138" ref="C286"/>
    <hyperlink r:id="rId1139" ref="D286"/>
    <hyperlink r:id="rId1140" ref="E286"/>
    <hyperlink r:id="rId1141" ref="B287"/>
    <hyperlink r:id="rId1142" ref="C287"/>
    <hyperlink r:id="rId1143" ref="D287"/>
    <hyperlink r:id="rId1144" ref="E287"/>
    <hyperlink r:id="rId1145" ref="B288"/>
    <hyperlink r:id="rId1146" ref="C288"/>
    <hyperlink r:id="rId1147" ref="D288"/>
    <hyperlink r:id="rId1148" ref="E288"/>
    <hyperlink r:id="rId1149" ref="B289"/>
    <hyperlink r:id="rId1150" ref="C289"/>
    <hyperlink r:id="rId1151" ref="D289"/>
    <hyperlink r:id="rId1152" ref="E289"/>
    <hyperlink r:id="rId1153" ref="B290"/>
    <hyperlink r:id="rId1154" ref="C290"/>
    <hyperlink r:id="rId1155" ref="D290"/>
    <hyperlink r:id="rId1156" ref="E290"/>
    <hyperlink r:id="rId1157" ref="B291"/>
    <hyperlink r:id="rId1158" ref="C291"/>
    <hyperlink r:id="rId1159" ref="D291"/>
    <hyperlink r:id="rId1160" ref="E291"/>
    <hyperlink r:id="rId1161" ref="B292"/>
    <hyperlink r:id="rId1162" ref="C292"/>
    <hyperlink r:id="rId1163" ref="D292"/>
    <hyperlink r:id="rId1164" ref="E292"/>
    <hyperlink r:id="rId1165" ref="B293"/>
    <hyperlink r:id="rId1166" ref="C293"/>
    <hyperlink r:id="rId1167" ref="D293"/>
    <hyperlink r:id="rId1168" ref="E293"/>
    <hyperlink r:id="rId1169" ref="B294"/>
    <hyperlink r:id="rId1170" ref="C294"/>
    <hyperlink r:id="rId1171" ref="D294"/>
    <hyperlink r:id="rId1172" ref="E294"/>
    <hyperlink r:id="rId1173" ref="B295"/>
    <hyperlink r:id="rId1174" ref="C295"/>
    <hyperlink r:id="rId1175" ref="D295"/>
    <hyperlink r:id="rId1176" ref="E295"/>
    <hyperlink r:id="rId1177" ref="B296"/>
    <hyperlink r:id="rId1178" ref="C296"/>
    <hyperlink r:id="rId1179" ref="D296"/>
    <hyperlink r:id="rId1180" ref="E296"/>
    <hyperlink r:id="rId1181" ref="B297"/>
    <hyperlink r:id="rId1182" ref="C297"/>
    <hyperlink r:id="rId1183" ref="D297"/>
    <hyperlink r:id="rId1184" ref="E297"/>
    <hyperlink r:id="rId1185" ref="B298"/>
    <hyperlink r:id="rId1186" ref="C298"/>
    <hyperlink r:id="rId1187" ref="D298"/>
    <hyperlink r:id="rId1188" ref="E298"/>
    <hyperlink r:id="rId1189" ref="B299"/>
    <hyperlink r:id="rId1190" ref="C299"/>
    <hyperlink r:id="rId1191" ref="D299"/>
    <hyperlink r:id="rId1192" ref="E299"/>
    <hyperlink r:id="rId1193" ref="B300"/>
    <hyperlink r:id="rId1194" ref="C300"/>
    <hyperlink r:id="rId1195" ref="D300"/>
    <hyperlink r:id="rId1196" ref="E300"/>
    <hyperlink r:id="rId1197" ref="B301"/>
    <hyperlink r:id="rId1198" ref="C301"/>
    <hyperlink r:id="rId1199" ref="D301"/>
    <hyperlink r:id="rId1200" ref="E301"/>
    <hyperlink r:id="rId1201" ref="B302"/>
    <hyperlink r:id="rId1202" ref="C302"/>
    <hyperlink r:id="rId1203" ref="D302"/>
    <hyperlink r:id="rId1204" ref="E302"/>
    <hyperlink r:id="rId1205" ref="B303"/>
    <hyperlink r:id="rId1206" ref="C303"/>
    <hyperlink r:id="rId1207" ref="D303"/>
    <hyperlink r:id="rId1208" ref="E303"/>
    <hyperlink r:id="rId1209" ref="B304"/>
    <hyperlink r:id="rId1210" ref="C304"/>
    <hyperlink r:id="rId1211" ref="D304"/>
    <hyperlink r:id="rId1212" ref="E304"/>
    <hyperlink r:id="rId1213" ref="B305"/>
    <hyperlink r:id="rId1214" ref="C305"/>
    <hyperlink r:id="rId1215" ref="D305"/>
    <hyperlink r:id="rId1216" ref="E305"/>
    <hyperlink r:id="rId1217" ref="B306"/>
    <hyperlink r:id="rId1218" ref="C306"/>
    <hyperlink r:id="rId1219" ref="D306"/>
    <hyperlink r:id="rId1220" ref="E306"/>
    <hyperlink r:id="rId1221" ref="B307"/>
    <hyperlink r:id="rId1222" ref="C307"/>
    <hyperlink r:id="rId1223" ref="D307"/>
    <hyperlink r:id="rId1224" ref="E307"/>
    <hyperlink r:id="rId1225" ref="B308"/>
    <hyperlink r:id="rId1226" ref="C308"/>
    <hyperlink r:id="rId1227" ref="D308"/>
    <hyperlink r:id="rId1228" ref="E308"/>
    <hyperlink r:id="rId1229" ref="B309"/>
    <hyperlink r:id="rId1230" ref="C309"/>
    <hyperlink r:id="rId1231" ref="D309"/>
    <hyperlink r:id="rId1232" ref="E309"/>
    <hyperlink r:id="rId1233" ref="B310"/>
    <hyperlink r:id="rId1234" ref="C310"/>
    <hyperlink r:id="rId1235" ref="D310"/>
    <hyperlink r:id="rId1236" ref="E310"/>
    <hyperlink r:id="rId1237" ref="B311"/>
    <hyperlink r:id="rId1238" ref="C311"/>
    <hyperlink r:id="rId1239" ref="D311"/>
    <hyperlink r:id="rId1240" ref="E311"/>
    <hyperlink r:id="rId1241" ref="B312"/>
    <hyperlink r:id="rId1242" ref="C312"/>
    <hyperlink r:id="rId1243" ref="D312"/>
    <hyperlink r:id="rId1244" ref="E312"/>
    <hyperlink r:id="rId1245" ref="B313"/>
    <hyperlink r:id="rId1246" ref="C313"/>
    <hyperlink r:id="rId1247" ref="D313"/>
    <hyperlink r:id="rId1248" ref="E313"/>
    <hyperlink r:id="rId1249" ref="B314"/>
    <hyperlink r:id="rId1250" ref="C314"/>
    <hyperlink r:id="rId1251" ref="D314"/>
    <hyperlink r:id="rId1252" ref="E314"/>
    <hyperlink r:id="rId1253" ref="B315"/>
    <hyperlink r:id="rId1254" ref="C315"/>
    <hyperlink r:id="rId1255" ref="D315"/>
    <hyperlink r:id="rId1256" ref="E315"/>
    <hyperlink r:id="rId1257" ref="B316"/>
    <hyperlink r:id="rId1258" ref="C316"/>
    <hyperlink r:id="rId1259" ref="D316"/>
    <hyperlink r:id="rId1260" ref="E316"/>
    <hyperlink r:id="rId1261" ref="B317"/>
    <hyperlink r:id="rId1262" ref="C317"/>
    <hyperlink r:id="rId1263" ref="D317"/>
    <hyperlink r:id="rId1264" ref="E317"/>
    <hyperlink r:id="rId1265" ref="B318"/>
    <hyperlink r:id="rId1266" ref="C318"/>
    <hyperlink r:id="rId1267" ref="D318"/>
    <hyperlink r:id="rId1268" ref="E318"/>
    <hyperlink r:id="rId1269" ref="B319"/>
    <hyperlink r:id="rId1270" ref="C319"/>
    <hyperlink r:id="rId1271" ref="D319"/>
    <hyperlink r:id="rId1272" ref="E319"/>
    <hyperlink r:id="rId1273" ref="B320"/>
    <hyperlink r:id="rId1274" ref="C320"/>
    <hyperlink r:id="rId1275" ref="D320"/>
    <hyperlink r:id="rId1276" ref="E320"/>
    <hyperlink r:id="rId1277" ref="B321"/>
    <hyperlink r:id="rId1278" ref="C321"/>
    <hyperlink r:id="rId1279" ref="D321"/>
    <hyperlink r:id="rId1280" ref="E321"/>
    <hyperlink r:id="rId1281" ref="B322"/>
    <hyperlink r:id="rId1282" ref="C322"/>
    <hyperlink r:id="rId1283" ref="D322"/>
    <hyperlink r:id="rId1284" ref="E322"/>
    <hyperlink r:id="rId1285" ref="B323"/>
    <hyperlink r:id="rId1286" ref="C323"/>
    <hyperlink r:id="rId1287" ref="D323"/>
    <hyperlink r:id="rId1288" ref="E323"/>
    <hyperlink r:id="rId1289" ref="B324"/>
    <hyperlink r:id="rId1290" ref="C324"/>
    <hyperlink r:id="rId1291" ref="D324"/>
    <hyperlink r:id="rId1292" ref="E324"/>
    <hyperlink r:id="rId1293" ref="B325"/>
    <hyperlink r:id="rId1294" ref="C325"/>
    <hyperlink r:id="rId1295" ref="D325"/>
    <hyperlink r:id="rId1296" ref="E325"/>
    <hyperlink r:id="rId1297" ref="B326"/>
    <hyperlink r:id="rId1298" ref="C326"/>
    <hyperlink r:id="rId1299" ref="D326"/>
    <hyperlink r:id="rId1300" ref="E326"/>
    <hyperlink r:id="rId1301" ref="B327"/>
    <hyperlink r:id="rId1302" ref="C327"/>
    <hyperlink r:id="rId1303" ref="D327"/>
    <hyperlink r:id="rId1304" ref="E327"/>
    <hyperlink r:id="rId1305" ref="B328"/>
    <hyperlink r:id="rId1306" ref="C328"/>
    <hyperlink r:id="rId1307" ref="D328"/>
    <hyperlink r:id="rId1308" ref="E328"/>
    <hyperlink r:id="rId1309" ref="B329"/>
    <hyperlink r:id="rId1310" ref="C329"/>
    <hyperlink r:id="rId1311" ref="D329"/>
    <hyperlink r:id="rId1312" ref="E329"/>
    <hyperlink r:id="rId1313" ref="B330"/>
    <hyperlink r:id="rId1314" ref="C330"/>
    <hyperlink r:id="rId1315" ref="D330"/>
    <hyperlink r:id="rId1316" ref="E330"/>
    <hyperlink r:id="rId1317" ref="B331"/>
    <hyperlink r:id="rId1318" ref="C331"/>
    <hyperlink r:id="rId1319" ref="D331"/>
    <hyperlink r:id="rId1320" ref="E331"/>
    <hyperlink r:id="rId1321" ref="B332"/>
    <hyperlink r:id="rId1322" ref="C332"/>
    <hyperlink r:id="rId1323" ref="D332"/>
    <hyperlink r:id="rId1324" ref="E332"/>
    <hyperlink r:id="rId1325" ref="B333"/>
    <hyperlink r:id="rId1326" ref="C333"/>
    <hyperlink r:id="rId1327" ref="D333"/>
    <hyperlink r:id="rId1328" ref="E333"/>
    <hyperlink r:id="rId1329" ref="B334"/>
    <hyperlink r:id="rId1330" ref="C334"/>
    <hyperlink r:id="rId1331" ref="D334"/>
    <hyperlink r:id="rId1332" ref="E334"/>
    <hyperlink r:id="rId1333" ref="B335"/>
    <hyperlink r:id="rId1334" ref="C335"/>
    <hyperlink r:id="rId1335" ref="D335"/>
    <hyperlink r:id="rId1336" ref="E335"/>
    <hyperlink r:id="rId1337" ref="B336"/>
    <hyperlink r:id="rId1338" ref="C336"/>
    <hyperlink r:id="rId1339" ref="D336"/>
    <hyperlink r:id="rId1340" ref="E336"/>
  </hyperlinks>
  <drawing r:id="rId134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38"/>
    <col customWidth="1" min="2" max="2" width="25.63"/>
    <col customWidth="1" min="6" max="6" width="9.25"/>
    <col customWidth="1" min="7" max="7" width="11.5"/>
  </cols>
  <sheetData>
    <row r="1">
      <c r="A1" s="2" t="s">
        <v>985</v>
      </c>
      <c r="B1" s="2" t="s">
        <v>986</v>
      </c>
      <c r="C1" s="2" t="s">
        <v>987</v>
      </c>
      <c r="D1" s="2" t="s">
        <v>988</v>
      </c>
      <c r="E1" s="6" t="s">
        <v>989</v>
      </c>
      <c r="F1" s="2" t="s">
        <v>990</v>
      </c>
      <c r="G1" s="2" t="s">
        <v>988</v>
      </c>
      <c r="H1" s="2" t="s">
        <v>991</v>
      </c>
      <c r="I1" s="2" t="s">
        <v>992</v>
      </c>
      <c r="J1" s="2" t="s">
        <v>993</v>
      </c>
      <c r="K1" s="2" t="s">
        <v>994</v>
      </c>
      <c r="L1" s="2" t="s">
        <v>995</v>
      </c>
      <c r="M1" s="2" t="s">
        <v>996</v>
      </c>
      <c r="N1" s="2" t="s">
        <v>2505</v>
      </c>
      <c r="O1" s="2" t="s">
        <v>2506</v>
      </c>
      <c r="P1" s="2" t="s">
        <v>2507</v>
      </c>
      <c r="Q1" s="2" t="s">
        <v>2508</v>
      </c>
      <c r="R1" s="2" t="s">
        <v>2509</v>
      </c>
      <c r="S1" s="2" t="s">
        <v>2510</v>
      </c>
      <c r="T1" s="2" t="s">
        <v>2511</v>
      </c>
      <c r="U1" s="2" t="s">
        <v>2512</v>
      </c>
      <c r="V1" s="2" t="s">
        <v>2513</v>
      </c>
    </row>
    <row r="2">
      <c r="A2" s="2">
        <v>2.0</v>
      </c>
      <c r="B2" s="2" t="s">
        <v>997</v>
      </c>
      <c r="C2" s="2" t="s">
        <v>997</v>
      </c>
      <c r="D2" s="2" t="s">
        <v>998</v>
      </c>
      <c r="E2" s="6" t="s">
        <v>999</v>
      </c>
      <c r="F2" s="2" t="s">
        <v>1000</v>
      </c>
      <c r="G2" s="2" t="s">
        <v>1001</v>
      </c>
      <c r="H2" s="2" t="s">
        <v>1002</v>
      </c>
      <c r="I2" s="2" t="s">
        <v>1003</v>
      </c>
      <c r="V2" s="6" t="str">
        <f>H2&amp;" OR "&amp;I2</f>
        <v>CSAN3 OR CSAN3F</v>
      </c>
      <c r="W2" s="6" t="str">
        <f>V2&amp;" OR "&amp;V3</f>
        <v>CSAN3 OR CSAN3F OR DMMO11 OR DMMO3F OR DMMO3 OR DMMO1</v>
      </c>
    </row>
    <row r="3">
      <c r="A3" s="2">
        <v>1.0</v>
      </c>
      <c r="B3" s="2" t="s">
        <v>997</v>
      </c>
      <c r="C3" s="2" t="s">
        <v>997</v>
      </c>
      <c r="D3" s="2" t="s">
        <v>998</v>
      </c>
      <c r="E3" s="6" t="s">
        <v>1004</v>
      </c>
      <c r="F3" s="2" t="s">
        <v>1005</v>
      </c>
      <c r="G3" s="2"/>
      <c r="H3" s="22" t="str">
        <f>VLOOKUP(E3,'Lista Infomoney'!B:H,2,FALSE)</f>
        <v>DMMO11</v>
      </c>
      <c r="I3" s="22" t="str">
        <f>VLOOKUP(E3,'Lista Infomoney'!B:F,3,FALSE)</f>
        <v>DMMO3F</v>
      </c>
      <c r="J3" s="22" t="str">
        <f>VLOOKUP(E3,'Lista Infomoney'!B:F,4,FALSE)</f>
        <v>DMMO3</v>
      </c>
      <c r="K3" s="2" t="s">
        <v>1006</v>
      </c>
      <c r="V3" s="6" t="str">
        <f>H3&amp;" OR "&amp;I3&amp;" OR "&amp;J3&amp;" OR "&amp;K3</f>
        <v>DMMO11 OR DMMO3F OR DMMO3 OR DMMO1</v>
      </c>
      <c r="W3" s="6" t="str">
        <f t="shared" ref="W3:W533" si="1">W2&amp;" OR "&amp;V4</f>
        <v>CSAN3 OR CSAN3F OR DMMO11 OR DMMO3F OR DMMO3 OR DMMO1 OR ENAT3</v>
      </c>
    </row>
    <row r="4">
      <c r="A4" s="2">
        <v>1.0</v>
      </c>
      <c r="B4" s="2" t="s">
        <v>997</v>
      </c>
      <c r="C4" s="2" t="s">
        <v>997</v>
      </c>
      <c r="D4" s="2" t="s">
        <v>998</v>
      </c>
      <c r="E4" s="6" t="s">
        <v>1007</v>
      </c>
      <c r="F4" s="2" t="s">
        <v>1008</v>
      </c>
      <c r="G4" s="2" t="s">
        <v>1001</v>
      </c>
      <c r="H4" s="22" t="str">
        <f>VLOOKUP(E4,'Lista Infomoney'!B:H,2,FALSE)</f>
        <v>ENAT3</v>
      </c>
      <c r="I4" s="6" t="str">
        <f>VLOOKUP(E4,'Lista Infomoney'!B:F,3,FALSE)</f>
        <v/>
      </c>
      <c r="J4" s="6" t="str">
        <f>VLOOKUP(E4,'Lista Infomoney'!B:F,4,FALSE)</f>
        <v/>
      </c>
      <c r="K4" s="6" t="str">
        <f>VLOOKUP(E4,'Lista Infomoney'!B:F,5,FALSE)</f>
        <v/>
      </c>
      <c r="V4" s="22" t="str">
        <f>H4</f>
        <v>ENAT3</v>
      </c>
      <c r="W4" s="6" t="str">
        <f t="shared" si="1"/>
        <v>CSAN3 OR CSAN3F OR DMMO11 OR DMMO3F OR DMMO3 OR DMMO1 OR ENAT3 OR RPMG3F OR RPMG3</v>
      </c>
    </row>
    <row r="5">
      <c r="A5" s="2">
        <v>1.0</v>
      </c>
      <c r="B5" s="2" t="s">
        <v>997</v>
      </c>
      <c r="C5" s="2" t="s">
        <v>997</v>
      </c>
      <c r="D5" s="2" t="s">
        <v>998</v>
      </c>
      <c r="E5" s="2" t="s">
        <v>1009</v>
      </c>
      <c r="F5" s="2" t="s">
        <v>1010</v>
      </c>
      <c r="G5" s="2"/>
      <c r="H5" s="22" t="str">
        <f>VLOOKUP(E5,'Lista Infomoney'!B:H,2,FALSE)</f>
        <v>RPMG3F</v>
      </c>
      <c r="I5" s="22" t="str">
        <f>VLOOKUP(E5,'Lista Infomoney'!B:F,3,FALSE)</f>
        <v>RPMG3</v>
      </c>
      <c r="J5" s="6" t="str">
        <f>VLOOKUP(E5,'Lista Infomoney'!B:F,4,FALSE)</f>
        <v/>
      </c>
      <c r="K5" s="6" t="str">
        <f>VLOOKUP(E5,'Lista Infomoney'!B:F,5,FALSE)</f>
        <v/>
      </c>
      <c r="V5" s="6" t="str">
        <f>H5&amp;" OR "&amp;I5</f>
        <v>RPMG3F OR RPMG3</v>
      </c>
      <c r="W5" s="6" t="str">
        <f t="shared" si="1"/>
        <v>CSAN3 OR CSAN3F OR DMMO11 OR DMMO3F OR DMMO3 OR DMMO1 OR ENAT3 OR RPMG3F OR RPMG3 OR PETR4F OR PETR4 OR PETR3F OR PETR3</v>
      </c>
    </row>
    <row r="6">
      <c r="A6" s="2">
        <v>1.0</v>
      </c>
      <c r="B6" s="2" t="s">
        <v>997</v>
      </c>
      <c r="C6" s="2" t="s">
        <v>997</v>
      </c>
      <c r="D6" s="2" t="s">
        <v>998</v>
      </c>
      <c r="E6" s="6" t="s">
        <v>1011</v>
      </c>
      <c r="F6" s="2" t="s">
        <v>1012</v>
      </c>
      <c r="G6" s="2" t="s">
        <v>1013</v>
      </c>
      <c r="H6" s="22" t="str">
        <f>VLOOKUP(E6,'Lista Infomoney'!B:H,2,FALSE)</f>
        <v>PETR4F</v>
      </c>
      <c r="I6" s="22" t="str">
        <f>VLOOKUP(E6,'Lista Infomoney'!B:F,3,FALSE)</f>
        <v>PETR4</v>
      </c>
      <c r="J6" s="22" t="str">
        <f>VLOOKUP(E6,'Lista Infomoney'!B:F,4,FALSE)</f>
        <v>PETR3F</v>
      </c>
      <c r="K6" s="22" t="str">
        <f>VLOOKUP(E6,'Lista Infomoney'!B:F,5,FALSE)</f>
        <v>PETR3</v>
      </c>
      <c r="V6" s="6" t="str">
        <f>H6&amp;" OR "&amp;I6&amp;" OR "&amp;J6&amp;" OR "&amp;K6</f>
        <v>PETR4F OR PETR4 OR PETR3F OR PETR3</v>
      </c>
      <c r="W6" s="6" t="str">
        <f t="shared" si="1"/>
        <v>CSAN3 OR CSAN3F OR DMMO11 OR DMMO3F OR DMMO3 OR DMMO1 OR ENAT3 OR RPMG3F OR RPMG3 OR PETR4F OR PETR4 OR PETR3F OR PETR3 OR BRDT3</v>
      </c>
    </row>
    <row r="7">
      <c r="A7" s="2">
        <v>1.0</v>
      </c>
      <c r="B7" s="2" t="s">
        <v>997</v>
      </c>
      <c r="C7" s="2" t="s">
        <v>997</v>
      </c>
      <c r="D7" s="2" t="s">
        <v>998</v>
      </c>
      <c r="E7" s="2" t="s">
        <v>751</v>
      </c>
      <c r="F7" s="2" t="s">
        <v>1014</v>
      </c>
      <c r="G7" s="2" t="s">
        <v>1001</v>
      </c>
      <c r="H7" s="22" t="str">
        <f>VLOOKUP(E7,'Lista Infomoney'!B:H,2,FALSE)</f>
        <v>BRDT3</v>
      </c>
      <c r="I7" s="6" t="str">
        <f>VLOOKUP(E7,'Lista Infomoney'!B:F,3,FALSE)</f>
        <v/>
      </c>
      <c r="J7" s="6" t="str">
        <f>VLOOKUP(E7,'Lista Infomoney'!B:F,4,FALSE)</f>
        <v/>
      </c>
      <c r="K7" s="6" t="str">
        <f>VLOOKUP(E7,'Lista Infomoney'!B:F,5,FALSE)</f>
        <v/>
      </c>
      <c r="V7" s="22" t="str">
        <f>H7</f>
        <v>BRDT3</v>
      </c>
      <c r="W7" s="6" t="str">
        <f t="shared" si="1"/>
        <v>CSAN3 OR CSAN3F OR DMMO11 OR DMMO3F OR DMMO3 OR DMMO1 OR ENAT3 OR RPMG3F OR RPMG3 OR PETR4F OR PETR4 OR PETR3F OR PETR3 OR BRDT3 OR PRIO3F OR PRIO3</v>
      </c>
    </row>
    <row r="8">
      <c r="A8" s="2">
        <v>1.0</v>
      </c>
      <c r="B8" s="2" t="s">
        <v>997</v>
      </c>
      <c r="C8" s="2" t="s">
        <v>997</v>
      </c>
      <c r="D8" s="2" t="s">
        <v>998</v>
      </c>
      <c r="E8" s="2" t="s">
        <v>730</v>
      </c>
      <c r="F8" s="2" t="s">
        <v>1015</v>
      </c>
      <c r="G8" s="2" t="s">
        <v>1001</v>
      </c>
      <c r="H8" s="22" t="str">
        <f>VLOOKUP(E8,'Lista Infomoney'!B:H,2,FALSE)</f>
        <v>PRIO3F</v>
      </c>
      <c r="I8" s="22" t="str">
        <f>VLOOKUP(E8,'Lista Infomoney'!B:F,3,FALSE)</f>
        <v>PRIO3</v>
      </c>
      <c r="J8" s="6" t="str">
        <f>VLOOKUP(E8,'Lista Infomoney'!B:F,4,FALSE)</f>
        <v/>
      </c>
      <c r="K8" s="6" t="str">
        <f>VLOOKUP(E8,'Lista Infomoney'!B:F,5,FALSE)</f>
        <v/>
      </c>
      <c r="V8" s="6" t="str">
        <f t="shared" ref="V8:V9" si="2">H8&amp;" OR "&amp;I8</f>
        <v>PRIO3F OR PRIO3</v>
      </c>
      <c r="W8" s="6" t="str">
        <f t="shared" si="1"/>
        <v>CSAN3 OR CSAN3F OR DMMO11 OR DMMO3F OR DMMO3 OR DMMO1 OR ENAT3 OR RPMG3F OR RPMG3 OR PETR4F OR PETR4 OR PETR3F OR PETR3 OR BRDT3 OR PRIO3F OR PRIO3 OR UGPA3 OR UGPA3F</v>
      </c>
    </row>
    <row r="9">
      <c r="A9" s="2">
        <v>1.0</v>
      </c>
      <c r="B9" s="2" t="s">
        <v>997</v>
      </c>
      <c r="C9" s="2" t="s">
        <v>997</v>
      </c>
      <c r="D9" s="2" t="s">
        <v>998</v>
      </c>
      <c r="E9" s="2" t="s">
        <v>1016</v>
      </c>
      <c r="F9" s="2" t="s">
        <v>1017</v>
      </c>
      <c r="G9" s="2" t="s">
        <v>1001</v>
      </c>
      <c r="H9" s="22" t="str">
        <f>VLOOKUP(E9,'Lista Infomoney'!B:H,2,FALSE)</f>
        <v>UGPA3</v>
      </c>
      <c r="I9" s="22" t="str">
        <f>VLOOKUP(E9,'Lista Infomoney'!B:F,3,FALSE)</f>
        <v>UGPA3F</v>
      </c>
      <c r="J9" s="6" t="str">
        <f>VLOOKUP(E9,'Lista Infomoney'!B:F,4,FALSE)</f>
        <v/>
      </c>
      <c r="K9" s="6" t="str">
        <f>VLOOKUP(E9,'Lista Infomoney'!B:F,5,FALSE)</f>
        <v/>
      </c>
      <c r="V9" s="6" t="str">
        <f t="shared" si="2"/>
        <v>UGPA3 OR UGPA3F</v>
      </c>
      <c r="W9" s="6" t="str">
        <f t="shared" si="1"/>
        <v>CSAN3 OR CSAN3F OR DMMO11 OR DMMO3F OR DMMO3 OR DMMO1 OR ENAT3 OR RPMG3F OR RPMG3 OR PETR4F OR PETR4 OR PETR3F OR PETR3 OR BRDT3 OR PRIO3F OR PRIO3 OR UGPA3 OR UGPA3F OR LUPA3F OR LUPA3 OR LUPA11</v>
      </c>
    </row>
    <row r="10">
      <c r="A10" s="2">
        <v>1.0</v>
      </c>
      <c r="B10" s="2" t="s">
        <v>997</v>
      </c>
      <c r="C10" s="2" t="s">
        <v>997</v>
      </c>
      <c r="D10" s="2" t="s">
        <v>1018</v>
      </c>
      <c r="E10" s="2" t="s">
        <v>1019</v>
      </c>
      <c r="F10" s="2" t="s">
        <v>1020</v>
      </c>
      <c r="G10" s="2" t="s">
        <v>1001</v>
      </c>
      <c r="H10" s="22" t="str">
        <f>VLOOKUP(E10,'Lista Infomoney'!B:H,2,FALSE)</f>
        <v>LUPA3F</v>
      </c>
      <c r="I10" s="22" t="str">
        <f>VLOOKUP(E10,'Lista Infomoney'!B:F,3,FALSE)</f>
        <v>LUPA3</v>
      </c>
      <c r="J10" s="2" t="s">
        <v>1021</v>
      </c>
      <c r="K10" s="6" t="str">
        <f>VLOOKUP(E10,'Lista Infomoney'!B:F,5,FALSE)</f>
        <v/>
      </c>
      <c r="V10" s="6" t="str">
        <f>H10&amp;" OR "&amp;I10&amp;" OR "&amp;J10</f>
        <v>LUPA3F OR LUPA3 OR LUPA11</v>
      </c>
      <c r="W10" s="6" t="str">
        <f t="shared" si="1"/>
        <v>CSAN3 OR CSAN3F OR DMMO11 OR DMMO3F OR DMMO3 OR DMMO1 OR ENAT3 OR RPMG3F OR RPMG3 OR PETR4F OR PETR4 OR PETR3F OR PETR3 OR BRDT3 OR PRIO3F OR PRIO3 OR UGPA3 OR UGPA3F OR LUPA3F OR LUPA3 OR LUPA11 OR OSXB3F OR OSXB3</v>
      </c>
    </row>
    <row r="11">
      <c r="A11" s="2">
        <v>1.0</v>
      </c>
      <c r="B11" s="2" t="s">
        <v>997</v>
      </c>
      <c r="C11" s="2" t="s">
        <v>997</v>
      </c>
      <c r="D11" s="2" t="s">
        <v>1018</v>
      </c>
      <c r="E11" s="2" t="s">
        <v>1022</v>
      </c>
      <c r="F11" s="2" t="s">
        <v>1023</v>
      </c>
      <c r="G11" s="2" t="s">
        <v>1001</v>
      </c>
      <c r="H11" s="22" t="str">
        <f>VLOOKUP(E11,'Lista Infomoney'!B:H,2,FALSE)</f>
        <v>OSXB3F</v>
      </c>
      <c r="I11" s="22" t="str">
        <f>VLOOKUP(E11,'Lista Infomoney'!B:F,3,FALSE)</f>
        <v>OSXB3</v>
      </c>
      <c r="J11" s="6" t="str">
        <f>VLOOKUP(E11,'Lista Infomoney'!B:F,4,FALSE)</f>
        <v/>
      </c>
      <c r="K11" s="6" t="str">
        <f>VLOOKUP(E11,'Lista Infomoney'!B:F,5,FALSE)</f>
        <v/>
      </c>
      <c r="V11" s="6" t="str">
        <f>H11&amp;" OR "&amp;I11</f>
        <v>OSXB3F OR OSXB3</v>
      </c>
      <c r="W11" s="6" t="str">
        <f t="shared" si="1"/>
        <v>CSAN3 OR CSAN3F OR DMMO11 OR DMMO3F OR DMMO3 OR DMMO1 OR ENAT3 OR RPMG3F OR RPMG3 OR PETR4F OR PETR4 OR PETR3F OR PETR3 OR BRDT3 OR PRIO3F OR PRIO3 OR UGPA3 OR UGPA3F OR LUPA3F OR LUPA3 OR LUPA11 OR OSXB3F OR OSXB3 OR BRAP4F OR BRAP4 OR BRAP3F OR BRAP3</v>
      </c>
    </row>
    <row r="12">
      <c r="A12" s="2">
        <v>1.0</v>
      </c>
      <c r="B12" s="2" t="s">
        <v>1024</v>
      </c>
      <c r="C12" s="2" t="s">
        <v>1025</v>
      </c>
      <c r="D12" s="2" t="s">
        <v>1026</v>
      </c>
      <c r="E12" s="2" t="s">
        <v>1027</v>
      </c>
      <c r="F12" s="2" t="s">
        <v>1028</v>
      </c>
      <c r="G12" s="2" t="s">
        <v>1029</v>
      </c>
      <c r="H12" s="22" t="str">
        <f>VLOOKUP(E12,'Lista Infomoney'!B:H,2,FALSE)</f>
        <v>BRAP4F</v>
      </c>
      <c r="I12" s="22" t="str">
        <f>VLOOKUP(E12,'Lista Infomoney'!B:F,3,FALSE)</f>
        <v>BRAP4</v>
      </c>
      <c r="J12" s="22" t="str">
        <f>VLOOKUP(E12,'Lista Infomoney'!B:F,4,FALSE)</f>
        <v>BRAP3F</v>
      </c>
      <c r="K12" s="22" t="str">
        <f>VLOOKUP(E12,'Lista Infomoney'!B:F,5,FALSE)</f>
        <v>BRAP3</v>
      </c>
      <c r="V12" s="6" t="str">
        <f t="shared" ref="V12:V13" si="3">H12&amp;" OR "&amp;I12&amp;" OR "&amp;J12&amp;" OR "&amp;K12</f>
        <v>BRAP4F OR BRAP4 OR BRAP3F OR BRAP3</v>
      </c>
      <c r="W1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v>
      </c>
    </row>
    <row r="13">
      <c r="A13" s="2">
        <v>2.0</v>
      </c>
      <c r="B13" s="2" t="s">
        <v>1024</v>
      </c>
      <c r="C13" s="2" t="s">
        <v>1025</v>
      </c>
      <c r="D13" s="2" t="s">
        <v>1026</v>
      </c>
      <c r="E13" s="2" t="s">
        <v>1030</v>
      </c>
      <c r="F13" s="2" t="s">
        <v>1031</v>
      </c>
      <c r="G13" s="2" t="s">
        <v>1032</v>
      </c>
      <c r="H13" s="2" t="s">
        <v>1033</v>
      </c>
      <c r="I13" s="2" t="s">
        <v>1034</v>
      </c>
      <c r="J13" s="2" t="s">
        <v>1035</v>
      </c>
      <c r="K13" s="2" t="s">
        <v>1036</v>
      </c>
      <c r="V13" s="6" t="str">
        <f t="shared" si="3"/>
        <v>LTEL3B OR LTEL11BF OR LTEL3BF OR LTEL5BF</v>
      </c>
      <c r="W1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v>
      </c>
    </row>
    <row r="14">
      <c r="A14" s="2">
        <v>2.0</v>
      </c>
      <c r="B14" s="2" t="s">
        <v>1024</v>
      </c>
      <c r="C14" s="2" t="s">
        <v>1025</v>
      </c>
      <c r="D14" s="2" t="s">
        <v>1026</v>
      </c>
      <c r="E14" s="2" t="s">
        <v>1037</v>
      </c>
      <c r="F14" s="2" t="s">
        <v>1038</v>
      </c>
      <c r="G14" s="2" t="s">
        <v>1032</v>
      </c>
      <c r="H14" s="2" t="s">
        <v>1039</v>
      </c>
      <c r="V14" s="6" t="str">
        <f>H14</f>
        <v>LTLA3B</v>
      </c>
      <c r="W1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v>
      </c>
    </row>
    <row r="15">
      <c r="A15" s="2">
        <v>1.0</v>
      </c>
      <c r="B15" s="2" t="s">
        <v>1024</v>
      </c>
      <c r="C15" s="2" t="s">
        <v>1025</v>
      </c>
      <c r="D15" s="2" t="s">
        <v>1026</v>
      </c>
      <c r="E15" s="2" t="s">
        <v>79</v>
      </c>
      <c r="F15" s="2" t="s">
        <v>1040</v>
      </c>
      <c r="G15" s="2" t="s">
        <v>1001</v>
      </c>
      <c r="H15" s="22" t="str">
        <f>VLOOKUP(E15,'Lista Infomoney'!B:H,2,FALSE)</f>
        <v>MMXM11F</v>
      </c>
      <c r="I15" s="22" t="str">
        <f>VLOOKUP(E15,'Lista Infomoney'!B:F,3,FALSE)</f>
        <v>MMXM3F</v>
      </c>
      <c r="J15" s="2" t="s">
        <v>547</v>
      </c>
      <c r="K15" s="2" t="s">
        <v>546</v>
      </c>
      <c r="V15" s="6" t="str">
        <f>H15&amp;" OR "&amp;I15&amp;" OR "&amp;J15&amp;" OR "&amp;K15</f>
        <v>MMXM11F OR MMXM3F OR MMXM11 OR MMXM3</v>
      </c>
      <c r="W1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v>
      </c>
    </row>
    <row r="16">
      <c r="A16" s="2">
        <v>1.0</v>
      </c>
      <c r="B16" s="2" t="s">
        <v>1024</v>
      </c>
      <c r="C16" s="2" t="s">
        <v>1025</v>
      </c>
      <c r="D16" s="2" t="s">
        <v>1026</v>
      </c>
      <c r="E16" s="2" t="s">
        <v>1041</v>
      </c>
      <c r="F16" s="2" t="s">
        <v>1041</v>
      </c>
      <c r="G16" s="2" t="s">
        <v>1001</v>
      </c>
      <c r="H16" s="22" t="str">
        <f>VLOOKUP(E16,'Lista Infomoney'!B:H,2,FALSE)</f>
        <v>VALE3</v>
      </c>
      <c r="I16" s="2" t="s">
        <v>1042</v>
      </c>
      <c r="J16" s="6" t="str">
        <f>VLOOKUP(E16,'Lista Infomoney'!B:F,4,FALSE)</f>
        <v/>
      </c>
      <c r="K16" s="6" t="str">
        <f>VLOOKUP(E16,'Lista Infomoney'!B:F,5,FALSE)</f>
        <v/>
      </c>
      <c r="V16" s="6" t="str">
        <f>H16&amp;" OR "&amp;I16</f>
        <v>VALE3 OR VALE3F</v>
      </c>
      <c r="W1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v>
      </c>
    </row>
    <row r="17">
      <c r="A17" s="2">
        <v>1.0</v>
      </c>
      <c r="B17" s="2" t="s">
        <v>1024</v>
      </c>
      <c r="C17" s="2" t="s">
        <v>1043</v>
      </c>
      <c r="D17" s="2" t="s">
        <v>1044</v>
      </c>
      <c r="E17" s="2" t="s">
        <v>1045</v>
      </c>
      <c r="F17" s="2" t="s">
        <v>1046</v>
      </c>
      <c r="G17" s="2" t="s">
        <v>1029</v>
      </c>
      <c r="H17" s="22" t="str">
        <f>VLOOKUP(E17,'Lista Infomoney'!B:H,2,FALSE)</f>
        <v>FESA4F</v>
      </c>
      <c r="I17" s="22" t="str">
        <f>VLOOKUP(E17,'Lista Infomoney'!B:F,3,FALSE)</f>
        <v>FESA3F</v>
      </c>
      <c r="J17" s="22" t="str">
        <f>VLOOKUP(E17,'Lista Infomoney'!B:F,4,FALSE)</f>
        <v>FESA4</v>
      </c>
      <c r="K17" s="22" t="str">
        <f>VLOOKUP(E17,'Lista Infomoney'!B:F,5,FALSE)</f>
        <v>FESA3</v>
      </c>
      <c r="V17" s="6" t="str">
        <f t="shared" ref="V17:V19" si="4">H17&amp;" OR "&amp;I17&amp;" OR "&amp;J17&amp;" OR "&amp;K17</f>
        <v>FESA4F OR FESA3F OR FESA4 OR FESA3</v>
      </c>
      <c r="W1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v>
      </c>
    </row>
    <row r="18">
      <c r="A18" s="2">
        <v>1.0</v>
      </c>
      <c r="B18" s="2" t="s">
        <v>1024</v>
      </c>
      <c r="C18" s="2" t="s">
        <v>1043</v>
      </c>
      <c r="D18" s="2" t="s">
        <v>1044</v>
      </c>
      <c r="E18" s="2" t="s">
        <v>1047</v>
      </c>
      <c r="F18" s="2" t="s">
        <v>1048</v>
      </c>
      <c r="G18" s="2" t="s">
        <v>1029</v>
      </c>
      <c r="H18" s="22" t="str">
        <f>VLOOKUP(E18,'Lista Infomoney'!B:H,2,FALSE)</f>
        <v>GOAU4</v>
      </c>
      <c r="I18" s="2" t="s">
        <v>1055</v>
      </c>
      <c r="J18" s="2" t="s">
        <v>1056</v>
      </c>
      <c r="K18" s="2" t="s">
        <v>1057</v>
      </c>
      <c r="V18" s="6" t="str">
        <f t="shared" si="4"/>
        <v>GOAU4 OR GOAU3 OR GOAU3F OR GOAU4F</v>
      </c>
      <c r="W1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v>
      </c>
    </row>
    <row r="19">
      <c r="A19" s="2">
        <v>2.0</v>
      </c>
      <c r="B19" s="2" t="s">
        <v>1024</v>
      </c>
      <c r="C19" s="2" t="s">
        <v>1043</v>
      </c>
      <c r="D19" s="2" t="s">
        <v>1044</v>
      </c>
      <c r="E19" s="2" t="s">
        <v>1053</v>
      </c>
      <c r="F19" s="2" t="s">
        <v>1054</v>
      </c>
      <c r="G19" s="2" t="s">
        <v>1029</v>
      </c>
      <c r="H19" s="2" t="s">
        <v>1055</v>
      </c>
      <c r="I19" s="2" t="s">
        <v>549</v>
      </c>
      <c r="J19" s="2" t="s">
        <v>1056</v>
      </c>
      <c r="K19" s="2" t="s">
        <v>1057</v>
      </c>
      <c r="V19" s="6" t="str">
        <f t="shared" si="4"/>
        <v>GOAU3 OR GOAU4 OR GOAU3F OR GOAU4F</v>
      </c>
      <c r="W1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v>
      </c>
    </row>
    <row r="20">
      <c r="A20" s="2">
        <v>1.0</v>
      </c>
      <c r="B20" s="2" t="s">
        <v>1024</v>
      </c>
      <c r="C20" s="2" t="s">
        <v>1043</v>
      </c>
      <c r="D20" s="2" t="s">
        <v>1044</v>
      </c>
      <c r="E20" s="2" t="s">
        <v>550</v>
      </c>
      <c r="F20" s="2" t="s">
        <v>1058</v>
      </c>
      <c r="G20" s="2"/>
      <c r="H20" s="22" t="str">
        <f>VLOOKUP(E20,'Lista Infomoney'!B:H,2,FALSE)</f>
        <v>CSNA3F</v>
      </c>
      <c r="I20" s="22" t="str">
        <f>VLOOKUP(E20,'Lista Infomoney'!B:F,3,FALSE)</f>
        <v>CSNA3</v>
      </c>
      <c r="J20" s="6" t="str">
        <f>VLOOKUP(E20,'Lista Infomoney'!B:F,4,FALSE)</f>
        <v/>
      </c>
      <c r="K20" s="6" t="str">
        <f>VLOOKUP(E20,'Lista Infomoney'!B:F,5,FALSE)</f>
        <v/>
      </c>
      <c r="V20" s="6" t="str">
        <f>H20&amp;" OR "&amp;I20</f>
        <v>CSNA3F OR CSNA3</v>
      </c>
      <c r="W2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v>
      </c>
    </row>
    <row r="21">
      <c r="A21" s="2">
        <v>1.0</v>
      </c>
      <c r="B21" s="2" t="s">
        <v>1024</v>
      </c>
      <c r="C21" s="2" t="s">
        <v>1043</v>
      </c>
      <c r="D21" s="2" t="s">
        <v>1044</v>
      </c>
      <c r="E21" s="2" t="s">
        <v>1059</v>
      </c>
      <c r="F21" s="2" t="s">
        <v>1060</v>
      </c>
      <c r="G21" s="2" t="s">
        <v>1029</v>
      </c>
      <c r="H21" s="22" t="str">
        <f>VLOOKUP(E21,'Lista Infomoney'!B:H,2,FALSE)</f>
        <v>USIM6</v>
      </c>
      <c r="I21" s="22" t="str">
        <f>VLOOKUP(E21,'Lista Infomoney'!B:F,3,FALSE)</f>
        <v>USIM5</v>
      </c>
      <c r="J21" s="22" t="str">
        <f>VLOOKUP(E21,'Lista Infomoney'!B:F,4,FALSE)</f>
        <v>USIM3</v>
      </c>
      <c r="K21" s="2" t="s">
        <v>1061</v>
      </c>
      <c r="L21" s="2" t="s">
        <v>1062</v>
      </c>
      <c r="M21" s="2" t="s">
        <v>1063</v>
      </c>
      <c r="V21" s="6" t="str">
        <f>H21&amp;" OR "&amp;I21&amp;" OR "&amp;J21&amp;" OR "&amp;K21&amp;" OR "&amp;L21&amp;" OR "&amp;M21</f>
        <v>USIM6 OR USIM5 OR USIM3 OR USIM3F OR USIM5F OR USIM6F</v>
      </c>
      <c r="W2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v>
      </c>
    </row>
    <row r="22">
      <c r="A22" s="2">
        <v>2.0</v>
      </c>
      <c r="B22" s="2" t="s">
        <v>1024</v>
      </c>
      <c r="C22" s="2" t="s">
        <v>1043</v>
      </c>
      <c r="D22" s="2" t="s">
        <v>1064</v>
      </c>
      <c r="E22" s="2" t="s">
        <v>1065</v>
      </c>
      <c r="F22" s="2" t="s">
        <v>1066</v>
      </c>
      <c r="G22" s="2"/>
      <c r="H22" s="2" t="s">
        <v>1067</v>
      </c>
      <c r="I22" s="2" t="s">
        <v>1068</v>
      </c>
      <c r="J22" s="2" t="s">
        <v>1069</v>
      </c>
      <c r="K22" s="2" t="s">
        <v>1070</v>
      </c>
      <c r="V22" s="6" t="str">
        <f>H22&amp;" OR "&amp;I22&amp;" OR "&amp;J22&amp;" OR "&amp;K22</f>
        <v>MGEL3 OR MGEL4 OR MGEL3F OR MGEL4F</v>
      </c>
      <c r="W2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v>
      </c>
    </row>
    <row r="23">
      <c r="A23" s="2">
        <v>2.0</v>
      </c>
      <c r="B23" s="2" t="s">
        <v>1024</v>
      </c>
      <c r="C23" s="2" t="s">
        <v>1043</v>
      </c>
      <c r="D23" s="2" t="s">
        <v>1064</v>
      </c>
      <c r="E23" s="2" t="s">
        <v>1071</v>
      </c>
      <c r="F23" s="2" t="s">
        <v>1072</v>
      </c>
      <c r="G23" s="2"/>
      <c r="H23" s="2" t="s">
        <v>1073</v>
      </c>
      <c r="I23" s="2" t="s">
        <v>1074</v>
      </c>
      <c r="J23" s="2" t="s">
        <v>1075</v>
      </c>
      <c r="K23" s="2" t="s">
        <v>1076</v>
      </c>
      <c r="L23" s="2" t="s">
        <v>1077</v>
      </c>
      <c r="M23" s="2" t="s">
        <v>1078</v>
      </c>
      <c r="V23" s="6" t="str">
        <f>H23&amp;" OR "&amp;I23&amp;" OR "&amp;J23&amp;" OR "&amp;K23&amp;" OR "&amp;L23&amp;" OR "&amp;M23</f>
        <v>PATI3 OR PATI4 OR PATI0F OR PATI3F OR PATI4F OR PATI9F</v>
      </c>
      <c r="W2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v>
      </c>
    </row>
    <row r="24">
      <c r="A24" s="2">
        <v>2.0</v>
      </c>
      <c r="B24" s="2" t="s">
        <v>1024</v>
      </c>
      <c r="C24" s="2" t="s">
        <v>1043</v>
      </c>
      <c r="D24" s="2" t="s">
        <v>1064</v>
      </c>
      <c r="E24" s="2" t="s">
        <v>1079</v>
      </c>
      <c r="F24" s="2" t="s">
        <v>1080</v>
      </c>
      <c r="G24" s="2"/>
      <c r="H24" s="2" t="s">
        <v>1081</v>
      </c>
      <c r="I24" s="2" t="s">
        <v>1082</v>
      </c>
      <c r="J24" s="2" t="s">
        <v>1083</v>
      </c>
      <c r="K24" s="2" t="s">
        <v>1084</v>
      </c>
      <c r="V24" s="6" t="str">
        <f>H24&amp;" OR "&amp;I24&amp;" OR "&amp;J24&amp;" OR "&amp;K24</f>
        <v>TKNO3F OR TKNO4F OR TKNO3 OR TKNO4</v>
      </c>
      <c r="W2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v>
      </c>
    </row>
    <row r="25">
      <c r="A25" s="2">
        <v>1.0</v>
      </c>
      <c r="B25" s="2" t="s">
        <v>1024</v>
      </c>
      <c r="C25" s="2" t="s">
        <v>1043</v>
      </c>
      <c r="D25" s="2" t="s">
        <v>1085</v>
      </c>
      <c r="E25" s="2" t="s">
        <v>1086</v>
      </c>
      <c r="F25" s="2" t="s">
        <v>1087</v>
      </c>
      <c r="G25" s="2" t="s">
        <v>1001</v>
      </c>
      <c r="H25" s="22" t="str">
        <f>VLOOKUP(E25,'Lista Infomoney'!B:H,2,FALSE)</f>
        <v>PMAM3F</v>
      </c>
      <c r="I25" s="22" t="str">
        <f>VLOOKUP(E25,'Lista Infomoney'!B:F,3,FALSE)</f>
        <v>PMAM3</v>
      </c>
      <c r="J25" s="6" t="str">
        <f>VLOOKUP(E25,'Lista Infomoney'!B:F,4,FALSE)</f>
        <v/>
      </c>
      <c r="K25" s="6" t="str">
        <f>VLOOKUP(E25,'Lista Infomoney'!B:F,5,FALSE)</f>
        <v/>
      </c>
      <c r="V25" s="6" t="str">
        <f>H25&amp;" OR "&amp;I25</f>
        <v>PMAM3F OR PMAM3</v>
      </c>
      <c r="W2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v>
      </c>
    </row>
    <row r="26">
      <c r="A26" s="2">
        <v>1.0</v>
      </c>
      <c r="B26" s="2" t="s">
        <v>1024</v>
      </c>
      <c r="C26" s="2" t="s">
        <v>1088</v>
      </c>
      <c r="D26" s="2" t="s">
        <v>1089</v>
      </c>
      <c r="E26" s="2" t="s">
        <v>1090</v>
      </c>
      <c r="F26" s="2" t="s">
        <v>1091</v>
      </c>
      <c r="G26" s="2" t="s">
        <v>1029</v>
      </c>
      <c r="H26" s="22" t="str">
        <f>VLOOKUP(E26,'Lista Infomoney'!B:H,2,FALSE)</f>
        <v>BRKM6</v>
      </c>
      <c r="I26" s="22" t="str">
        <f>VLOOKUP(E26,'Lista Infomoney'!B:F,3,FALSE)</f>
        <v>BRKM5F</v>
      </c>
      <c r="J26" s="22" t="str">
        <f>VLOOKUP(E26,'Lista Infomoney'!B:F,4,FALSE)</f>
        <v>BRKM5</v>
      </c>
      <c r="K26" s="22" t="str">
        <f>VLOOKUP(E26,'Lista Infomoney'!B:F,5,FALSE)</f>
        <v>BRKM3</v>
      </c>
      <c r="L26" s="2" t="s">
        <v>1092</v>
      </c>
      <c r="M26" s="2" t="s">
        <v>1093</v>
      </c>
      <c r="V26" s="6" t="str">
        <f>H26&amp;" OR "&amp;I26&amp;" OR "&amp;J26&amp;" OR "&amp;K26&amp;" OR "&amp;L26&amp;" OR "&amp;M26</f>
        <v>BRKM6 OR BRKM5F OR BRKM5 OR BRKM3 OR BRKM3F OR BRKM6F</v>
      </c>
      <c r="W2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v>
      </c>
    </row>
    <row r="27">
      <c r="A27" s="2">
        <v>2.0</v>
      </c>
      <c r="B27" s="2" t="s">
        <v>1024</v>
      </c>
      <c r="C27" s="2" t="s">
        <v>1088</v>
      </c>
      <c r="D27" s="2" t="s">
        <v>1089</v>
      </c>
      <c r="E27" s="2" t="s">
        <v>1094</v>
      </c>
      <c r="F27" s="2" t="s">
        <v>1095</v>
      </c>
      <c r="G27" s="2"/>
      <c r="H27" s="2" t="s">
        <v>1096</v>
      </c>
      <c r="I27" s="2" t="s">
        <v>1097</v>
      </c>
      <c r="J27" s="2" t="s">
        <v>1098</v>
      </c>
      <c r="K27" s="2" t="s">
        <v>1099</v>
      </c>
      <c r="V27" s="6" t="str">
        <f>H27&amp;" OR "&amp;I27&amp;" OR "&amp;J27&amp;" OR "&amp;K27</f>
        <v>GPCP3 OR GPCP4 OR GPCP3F OR GPCP4F</v>
      </c>
      <c r="W2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v>
      </c>
    </row>
    <row r="28">
      <c r="A28" s="2">
        <v>2.0</v>
      </c>
      <c r="B28" s="2" t="s">
        <v>1024</v>
      </c>
      <c r="C28" s="2" t="s">
        <v>1088</v>
      </c>
      <c r="D28" s="2" t="s">
        <v>1100</v>
      </c>
      <c r="E28" s="2" t="s">
        <v>1101</v>
      </c>
      <c r="F28" s="2" t="s">
        <v>1102</v>
      </c>
      <c r="G28" s="2" t="s">
        <v>1001</v>
      </c>
      <c r="H28" s="2" t="s">
        <v>1103</v>
      </c>
      <c r="I28" s="2" t="s">
        <v>1104</v>
      </c>
      <c r="V28" s="6" t="str">
        <f t="shared" ref="V28:V29" si="5">H28&amp;" OR "&amp;I28</f>
        <v>FHER3 OR FHER3F</v>
      </c>
      <c r="W2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v>
      </c>
    </row>
    <row r="29">
      <c r="A29" s="2">
        <v>2.0</v>
      </c>
      <c r="B29" s="2" t="s">
        <v>1024</v>
      </c>
      <c r="C29" s="2" t="s">
        <v>1088</v>
      </c>
      <c r="D29" s="2" t="s">
        <v>1100</v>
      </c>
      <c r="E29" s="2" t="s">
        <v>1105</v>
      </c>
      <c r="F29" s="2" t="s">
        <v>1106</v>
      </c>
      <c r="G29" s="2" t="s">
        <v>1107</v>
      </c>
      <c r="H29" s="2" t="s">
        <v>1108</v>
      </c>
      <c r="I29" s="2" t="s">
        <v>1109</v>
      </c>
      <c r="V29" s="6" t="str">
        <f t="shared" si="5"/>
        <v>NUTR3 OR NUTR3F</v>
      </c>
      <c r="W2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v>
      </c>
    </row>
    <row r="30">
      <c r="A30" s="2">
        <v>2.0</v>
      </c>
      <c r="B30" s="2" t="s">
        <v>1024</v>
      </c>
      <c r="C30" s="2" t="s">
        <v>1088</v>
      </c>
      <c r="D30" s="2" t="s">
        <v>1110</v>
      </c>
      <c r="E30" s="2" t="s">
        <v>1111</v>
      </c>
      <c r="F30" s="2" t="s">
        <v>1112</v>
      </c>
      <c r="G30" s="2"/>
      <c r="H30" s="2" t="s">
        <v>1113</v>
      </c>
      <c r="I30" s="2" t="s">
        <v>1114</v>
      </c>
      <c r="J30" s="2" t="s">
        <v>1115</v>
      </c>
      <c r="K30" s="2" t="s">
        <v>1116</v>
      </c>
      <c r="L30" s="2" t="s">
        <v>1117</v>
      </c>
      <c r="M30" s="2" t="s">
        <v>1118</v>
      </c>
      <c r="V30" s="6" t="str">
        <f t="shared" ref="V30:V31" si="6">H30&amp;" OR "&amp;I30&amp;" OR "&amp;J30&amp;" OR "&amp;K30&amp;" OR "&amp;L30&amp;" OR "&amp;M30</f>
        <v>CRPG3 OR CRPG5 OR CRPG6 OR CRPG3F OR CRPG5F OR CRPG6F</v>
      </c>
      <c r="W3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v>
      </c>
    </row>
    <row r="31">
      <c r="A31" s="2">
        <v>1.0</v>
      </c>
      <c r="B31" s="2" t="s">
        <v>1024</v>
      </c>
      <c r="C31" s="2" t="s">
        <v>1088</v>
      </c>
      <c r="D31" s="2" t="s">
        <v>1110</v>
      </c>
      <c r="E31" s="2" t="s">
        <v>1119</v>
      </c>
      <c r="F31" s="2" t="s">
        <v>1120</v>
      </c>
      <c r="G31" s="2"/>
      <c r="H31" s="22" t="str">
        <f>VLOOKUP(E31,'Lista Infomoney'!B:H,2,FALSE)</f>
        <v>UNIP3F</v>
      </c>
      <c r="I31" s="2" t="s">
        <v>540</v>
      </c>
      <c r="J31" s="2" t="s">
        <v>538</v>
      </c>
      <c r="K31" s="2" t="s">
        <v>542</v>
      </c>
      <c r="L31" s="2" t="s">
        <v>541</v>
      </c>
      <c r="M31" s="2" t="s">
        <v>539</v>
      </c>
      <c r="V31" s="6" t="str">
        <f t="shared" si="6"/>
        <v>UNIP3F OR UNIP5F OR UNIP6F OR UNIP3 OR UNIP5 OR UNIP6</v>
      </c>
      <c r="W3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v>
      </c>
    </row>
    <row r="32">
      <c r="A32" s="2">
        <v>2.0</v>
      </c>
      <c r="B32" s="2" t="s">
        <v>1024</v>
      </c>
      <c r="C32" s="2" t="s">
        <v>1121</v>
      </c>
      <c r="D32" s="2" t="s">
        <v>1122</v>
      </c>
      <c r="E32" s="2" t="s">
        <v>1123</v>
      </c>
      <c r="F32" s="2" t="s">
        <v>1124</v>
      </c>
      <c r="G32" s="2" t="s">
        <v>1001</v>
      </c>
      <c r="H32" s="2" t="s">
        <v>1125</v>
      </c>
      <c r="I32" s="2" t="s">
        <v>1126</v>
      </c>
      <c r="V32" s="6" t="str">
        <f>H32&amp;" OR "&amp;I32</f>
        <v>DTEX3 OR DTEX3F</v>
      </c>
      <c r="W3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v>
      </c>
    </row>
    <row r="33">
      <c r="A33" s="2">
        <v>1.0</v>
      </c>
      <c r="B33" s="2" t="s">
        <v>1024</v>
      </c>
      <c r="C33" s="2" t="s">
        <v>1121</v>
      </c>
      <c r="D33" s="2" t="s">
        <v>1122</v>
      </c>
      <c r="E33" s="2" t="s">
        <v>1127</v>
      </c>
      <c r="F33" s="2" t="s">
        <v>1128</v>
      </c>
      <c r="G33" s="2" t="s">
        <v>1029</v>
      </c>
      <c r="H33" s="22" t="str">
        <f>VLOOKUP(E33,'Lista Infomoney'!B:H,2,FALSE)</f>
        <v>EUCA4F</v>
      </c>
      <c r="I33" s="22" t="str">
        <f>VLOOKUP(E33,'Lista Infomoney'!B:F,3,FALSE)</f>
        <v>EUCA3F</v>
      </c>
      <c r="J33" s="22" t="str">
        <f>VLOOKUP(E33,'Lista Infomoney'!B:F,4,FALSE)</f>
        <v>EUCA4</v>
      </c>
      <c r="K33" s="22" t="str">
        <f>VLOOKUP(E33,'Lista Infomoney'!B:F,5,FALSE)</f>
        <v>EUCA3</v>
      </c>
      <c r="V33" s="6" t="str">
        <f t="shared" ref="V33:V34" si="7">H33&amp;" OR "&amp;I33&amp;" OR "&amp;J33&amp;" OR "&amp;K33</f>
        <v>EUCA4F OR EUCA3F OR EUCA4 OR EUCA3</v>
      </c>
      <c r="W3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v>
      </c>
    </row>
    <row r="34">
      <c r="A34" s="2">
        <v>1.0</v>
      </c>
      <c r="B34" s="2" t="s">
        <v>1024</v>
      </c>
      <c r="C34" s="2" t="s">
        <v>1121</v>
      </c>
      <c r="D34" s="2" t="s">
        <v>1129</v>
      </c>
      <c r="E34" s="2" t="s">
        <v>553</v>
      </c>
      <c r="F34" s="2" t="s">
        <v>1130</v>
      </c>
      <c r="G34" s="2"/>
      <c r="H34" s="22" t="str">
        <f>VLOOKUP(E34,'Lista Infomoney'!B:H,2,FALSE)</f>
        <v>RANI4</v>
      </c>
      <c r="I34" s="2" t="s">
        <v>1131</v>
      </c>
      <c r="J34" s="2" t="s">
        <v>510</v>
      </c>
      <c r="K34" s="2" t="s">
        <v>509</v>
      </c>
      <c r="V34" s="6" t="str">
        <f t="shared" si="7"/>
        <v>RANI4 OR RANI3 OR RANI4F OR RANI3F</v>
      </c>
      <c r="W3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v>
      </c>
    </row>
    <row r="35">
      <c r="A35" s="2">
        <v>1.0</v>
      </c>
      <c r="B35" s="2" t="s">
        <v>1024</v>
      </c>
      <c r="C35" s="2" t="s">
        <v>1121</v>
      </c>
      <c r="D35" s="2" t="s">
        <v>1129</v>
      </c>
      <c r="E35" s="2" t="s">
        <v>1132</v>
      </c>
      <c r="F35" s="2" t="s">
        <v>1133</v>
      </c>
      <c r="G35" s="2" t="s">
        <v>1013</v>
      </c>
      <c r="H35" s="22" t="str">
        <f>VLOOKUP(E35,'Lista Infomoney'!B:H,2,FALSE)</f>
        <v>KLBN4F</v>
      </c>
      <c r="I35" s="22" t="str">
        <f>VLOOKUP(E35,'Lista Infomoney'!B:F,3,FALSE)</f>
        <v>KLBN3F</v>
      </c>
      <c r="J35" s="22" t="str">
        <f>VLOOKUP(E35,'Lista Infomoney'!B:F,4,FALSE)</f>
        <v>KLBN11F</v>
      </c>
      <c r="K35" s="22" t="str">
        <f>VLOOKUP(E35,'Lista Infomoney'!B:F,5,FALSE)</f>
        <v>KLBN4</v>
      </c>
      <c r="L35" s="2" t="s">
        <v>535</v>
      </c>
      <c r="M35" s="2" t="s">
        <v>536</v>
      </c>
      <c r="V35" s="6" t="str">
        <f>H35&amp;" OR "&amp;I35&amp;" OR "&amp;J35&amp;" OR "&amp;K35&amp;" OR "&amp;L35&amp;" OR "&amp;M35</f>
        <v>KLBN4F OR KLBN3F OR KLBN11F OR KLBN4 OR KLBN3 OR KLBN11</v>
      </c>
      <c r="W3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v>
      </c>
    </row>
    <row r="36">
      <c r="A36" s="2">
        <v>2.0</v>
      </c>
      <c r="B36" s="2" t="s">
        <v>1024</v>
      </c>
      <c r="C36" s="2" t="s">
        <v>1121</v>
      </c>
      <c r="D36" s="2" t="s">
        <v>1129</v>
      </c>
      <c r="E36" s="2" t="s">
        <v>1134</v>
      </c>
      <c r="F36" s="2" t="s">
        <v>1135</v>
      </c>
      <c r="G36" s="2"/>
      <c r="H36" s="2" t="s">
        <v>1136</v>
      </c>
      <c r="I36" s="2" t="s">
        <v>1137</v>
      </c>
      <c r="J36" s="2" t="s">
        <v>1138</v>
      </c>
      <c r="K36" s="2" t="s">
        <v>1139</v>
      </c>
      <c r="V36" s="6" t="str">
        <f>H36&amp;" OR "&amp;I36&amp;" OR "&amp;J36&amp;" OR "&amp;K36</f>
        <v>MSPA3 OR MSPA4 OR MSPA3F OR MSPA4F</v>
      </c>
      <c r="W3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v>
      </c>
    </row>
    <row r="37">
      <c r="A37" s="2">
        <v>2.0</v>
      </c>
      <c r="B37" s="2" t="s">
        <v>1024</v>
      </c>
      <c r="C37" s="2" t="s">
        <v>1121</v>
      </c>
      <c r="D37" s="2" t="s">
        <v>1129</v>
      </c>
      <c r="E37" s="2" t="s">
        <v>1140</v>
      </c>
      <c r="F37" s="24" t="s">
        <v>1141</v>
      </c>
      <c r="G37" s="2"/>
      <c r="H37" s="6" t="s">
        <v>1141</v>
      </c>
      <c r="V37" s="6" t="str">
        <f>H37</f>
        <v>STTZ</v>
      </c>
      <c r="W3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v>
      </c>
    </row>
    <row r="38">
      <c r="A38" s="2">
        <v>1.0</v>
      </c>
      <c r="B38" s="2" t="s">
        <v>1024</v>
      </c>
      <c r="C38" s="2" t="s">
        <v>1121</v>
      </c>
      <c r="D38" s="2" t="s">
        <v>1129</v>
      </c>
      <c r="E38" s="2" t="s">
        <v>102</v>
      </c>
      <c r="F38" s="2" t="s">
        <v>1142</v>
      </c>
      <c r="G38" s="2"/>
      <c r="H38" s="22" t="str">
        <f>VLOOKUP(E38,'Lista Infomoney'!B:H,2,FALSE)</f>
        <v>NEMO5F</v>
      </c>
      <c r="I38" s="2" t="s">
        <v>544</v>
      </c>
      <c r="J38" s="2" t="s">
        <v>1143</v>
      </c>
      <c r="K38" s="2" t="s">
        <v>545</v>
      </c>
      <c r="L38" s="2" t="s">
        <v>1144</v>
      </c>
      <c r="M38" s="2" t="s">
        <v>543</v>
      </c>
      <c r="V38" s="6" t="str">
        <f>H38&amp;" OR "&amp;I38&amp;" OR "&amp;J38&amp;" OR "&amp;K38&amp;" OR "&amp;L38&amp;" OR "&amp;M38</f>
        <v>NEMO5F OR NEMO5 OR NEMO3F OR NEMO3 OR NEMO6F OR NEMO6</v>
      </c>
      <c r="W3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v>
      </c>
    </row>
    <row r="39">
      <c r="A39" s="2">
        <v>1.0</v>
      </c>
      <c r="B39" s="2" t="s">
        <v>1024</v>
      </c>
      <c r="C39" s="2" t="s">
        <v>1121</v>
      </c>
      <c r="D39" s="2" t="s">
        <v>1129</v>
      </c>
      <c r="E39" s="2" t="s">
        <v>527</v>
      </c>
      <c r="F39" s="2" t="s">
        <v>1145</v>
      </c>
      <c r="G39" s="2" t="s">
        <v>1001</v>
      </c>
      <c r="H39" s="22" t="str">
        <f>VLOOKUP(E39,'Lista Infomoney'!B:H,2,FALSE)</f>
        <v>SUZB3F</v>
      </c>
      <c r="I39" s="22" t="str">
        <f>VLOOKUP(E39,'Lista Infomoney'!B:F,3,FALSE)</f>
        <v>SUZB3</v>
      </c>
      <c r="J39" s="6" t="str">
        <f>VLOOKUP(E39,'Lista Infomoney'!B:F,4,FALSE)</f>
        <v/>
      </c>
      <c r="K39" s="6" t="str">
        <f>VLOOKUP(E39,'Lista Infomoney'!B:F,5,FALSE)</f>
        <v/>
      </c>
      <c r="V39" s="6" t="str">
        <f>H39&amp;" OR "&amp;I39</f>
        <v>SUZB3F OR SUZB3</v>
      </c>
      <c r="W3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v>
      </c>
    </row>
    <row r="40">
      <c r="A40" s="2">
        <v>2.0</v>
      </c>
      <c r="B40" s="2" t="s">
        <v>1024</v>
      </c>
      <c r="C40" s="2" t="s">
        <v>1146</v>
      </c>
      <c r="D40" s="2" t="s">
        <v>1146</v>
      </c>
      <c r="E40" s="2" t="s">
        <v>1147</v>
      </c>
      <c r="F40" s="2" t="s">
        <v>1148</v>
      </c>
      <c r="G40" s="2"/>
      <c r="H40" s="2" t="s">
        <v>1149</v>
      </c>
      <c r="I40" s="2" t="s">
        <v>1150</v>
      </c>
      <c r="J40" s="2" t="s">
        <v>1151</v>
      </c>
      <c r="K40" s="2" t="s">
        <v>1152</v>
      </c>
      <c r="V40" s="6" t="str">
        <f>H40&amp;" OR "&amp;I40&amp;" OR "&amp;J40&amp;" OR "&amp;K40</f>
        <v>MTIG3 OR MTIG4 OR MTIG3F OR MTIG4F</v>
      </c>
      <c r="W4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v>
      </c>
    </row>
    <row r="41">
      <c r="A41" s="2">
        <v>2.0</v>
      </c>
      <c r="B41" s="2" t="s">
        <v>1024</v>
      </c>
      <c r="C41" s="2" t="s">
        <v>1153</v>
      </c>
      <c r="D41" s="2" t="s">
        <v>1153</v>
      </c>
      <c r="E41" s="2" t="s">
        <v>1154</v>
      </c>
      <c r="F41" s="2" t="s">
        <v>1155</v>
      </c>
      <c r="G41" s="2"/>
      <c r="H41" s="2" t="s">
        <v>1156</v>
      </c>
      <c r="I41" s="2" t="s">
        <v>1157</v>
      </c>
      <c r="J41" s="2" t="s">
        <v>1158</v>
      </c>
      <c r="K41" s="2" t="s">
        <v>1159</v>
      </c>
      <c r="L41" s="2" t="s">
        <v>1160</v>
      </c>
      <c r="M41" s="2" t="s">
        <v>1161</v>
      </c>
      <c r="V41" s="6" t="str">
        <f>H41&amp;" OR "&amp;I41&amp;" OR "&amp;J41&amp;" OR "&amp;K41&amp;" OR "&amp;L41&amp;" OR "&amp;M41</f>
        <v>SNSY3 OR SNSY5 OR SNSY6 OR SNSY3F OR SNSY5F OR SNSY6F</v>
      </c>
      <c r="W4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v>
      </c>
    </row>
    <row r="42">
      <c r="A42" s="2">
        <v>1.0</v>
      </c>
      <c r="B42" s="2" t="s">
        <v>1162</v>
      </c>
      <c r="C42" s="2" t="s">
        <v>1163</v>
      </c>
      <c r="D42" s="2" t="s">
        <v>1164</v>
      </c>
      <c r="E42" s="2" t="s">
        <v>1165</v>
      </c>
      <c r="F42" s="2" t="s">
        <v>1166</v>
      </c>
      <c r="G42" s="2" t="s">
        <v>1001</v>
      </c>
      <c r="H42" s="22" t="str">
        <f>VLOOKUP(E42,'Lista Infomoney'!B:H,2,FALSE)</f>
        <v>ETER3F</v>
      </c>
      <c r="I42" s="22" t="str">
        <f>VLOOKUP(E42,'Lista Infomoney'!B:F,3,FALSE)</f>
        <v>ETER3</v>
      </c>
      <c r="J42" s="6" t="str">
        <f>VLOOKUP(E42,'Lista Infomoney'!B:F,4,FALSE)</f>
        <v/>
      </c>
      <c r="K42" s="6" t="str">
        <f>VLOOKUP(E42,'Lista Infomoney'!B:F,5,FALSE)</f>
        <v/>
      </c>
      <c r="V42" s="6" t="str">
        <f>H42&amp;" OR "&amp;I42</f>
        <v>ETER3F OR ETER3</v>
      </c>
      <c r="W4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v>
      </c>
    </row>
    <row r="43">
      <c r="A43" s="2">
        <v>2.0</v>
      </c>
      <c r="B43" s="2" t="s">
        <v>1162</v>
      </c>
      <c r="C43" s="2" t="s">
        <v>1163</v>
      </c>
      <c r="D43" s="2"/>
      <c r="E43" s="2" t="s">
        <v>1167</v>
      </c>
      <c r="F43" s="2" t="s">
        <v>1168</v>
      </c>
      <c r="G43" s="2"/>
      <c r="H43" s="2" t="s">
        <v>1169</v>
      </c>
      <c r="I43" s="2" t="s">
        <v>1170</v>
      </c>
      <c r="J43" s="2" t="s">
        <v>1171</v>
      </c>
      <c r="K43" s="2" t="s">
        <v>1172</v>
      </c>
      <c r="V43" s="6" t="str">
        <f>H43&amp;" OR "&amp;I43&amp;" OR "&amp;J43&amp;" OR "&amp;K43</f>
        <v>HAGA3 OR HAGA4 OR HAGA3F OR HAGA4F</v>
      </c>
      <c r="W4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v>
      </c>
    </row>
    <row r="44">
      <c r="A44" s="2">
        <v>1.0</v>
      </c>
      <c r="B44" s="2" t="s">
        <v>1162</v>
      </c>
      <c r="C44" s="2" t="s">
        <v>1163</v>
      </c>
      <c r="D44" s="2"/>
      <c r="E44" s="2" t="s">
        <v>131</v>
      </c>
      <c r="F44" s="2" t="s">
        <v>1173</v>
      </c>
      <c r="G44" s="2" t="s">
        <v>1001</v>
      </c>
      <c r="H44" s="22" t="str">
        <f>VLOOKUP(E44,'Lista Infomoney'!B:H,2,FALSE)</f>
        <v>PTBL3F</v>
      </c>
      <c r="I44" s="2" t="s">
        <v>1174</v>
      </c>
      <c r="J44" s="6" t="str">
        <f>VLOOKUP(E44,'Lista Infomoney'!B:F,4,FALSE)</f>
        <v/>
      </c>
      <c r="K44" s="6" t="str">
        <f>VLOOKUP(E44,'Lista Infomoney'!B:F,5,FALSE)</f>
        <v/>
      </c>
      <c r="V44" s="6" t="str">
        <f>H44&amp;" OR "&amp;I44</f>
        <v>PTBL3F OR PTBL3</v>
      </c>
      <c r="W4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v>
      </c>
    </row>
    <row r="45">
      <c r="A45" s="2">
        <v>2.0</v>
      </c>
      <c r="B45" s="2" t="s">
        <v>1162</v>
      </c>
      <c r="C45" s="2" t="s">
        <v>1163</v>
      </c>
      <c r="D45" s="2" t="s">
        <v>1175</v>
      </c>
      <c r="E45" s="2" t="s">
        <v>1176</v>
      </c>
      <c r="F45" s="2" t="s">
        <v>1177</v>
      </c>
      <c r="G45" s="2"/>
      <c r="H45" s="2" t="s">
        <v>1178</v>
      </c>
      <c r="I45" s="2" t="s">
        <v>1179</v>
      </c>
      <c r="J45" s="2" t="s">
        <v>1180</v>
      </c>
      <c r="K45" s="2" t="s">
        <v>1181</v>
      </c>
      <c r="V45" s="6" t="str">
        <f>H45&amp;" OR "&amp;I45&amp;" OR "&amp;J45&amp;" OR "&amp;K45</f>
        <v>AZEV3 OR AZEV4 OR AZEV3F OR AZEV4F</v>
      </c>
      <c r="W4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v>
      </c>
    </row>
    <row r="46">
      <c r="A46" s="2">
        <v>2.0</v>
      </c>
      <c r="B46" s="2" t="s">
        <v>1162</v>
      </c>
      <c r="C46" s="2" t="s">
        <v>1163</v>
      </c>
      <c r="D46" s="2" t="s">
        <v>1182</v>
      </c>
      <c r="E46" s="2" t="s">
        <v>1183</v>
      </c>
      <c r="F46" s="2" t="s">
        <v>1184</v>
      </c>
      <c r="G46" s="2"/>
      <c r="H46" s="2" t="s">
        <v>1185</v>
      </c>
      <c r="I46" s="2" t="s">
        <v>1186</v>
      </c>
      <c r="J46" s="2" t="s">
        <v>1187</v>
      </c>
      <c r="K46" s="2" t="s">
        <v>1188</v>
      </c>
      <c r="L46" s="2" t="s">
        <v>1189</v>
      </c>
      <c r="M46" s="2" t="s">
        <v>1190</v>
      </c>
      <c r="V46" s="6" t="str">
        <f>H46&amp;" OR "&amp;I46&amp;" OR "&amp;J46&amp;" OR "&amp;K46&amp;" OR "&amp;L46&amp;" OR "&amp;M46</f>
        <v>SOND3 OR SOND5 OR SOND6 OR SOND3F OR SOND5F OR SOND6F</v>
      </c>
      <c r="W4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v>
      </c>
    </row>
    <row r="47">
      <c r="A47" s="2">
        <v>2.0</v>
      </c>
      <c r="B47" s="2" t="s">
        <v>1162</v>
      </c>
      <c r="C47" s="2" t="s">
        <v>1163</v>
      </c>
      <c r="D47" s="2"/>
      <c r="E47" s="2" t="s">
        <v>1191</v>
      </c>
      <c r="F47" s="2" t="s">
        <v>1192</v>
      </c>
      <c r="G47" s="2"/>
      <c r="H47" s="2" t="s">
        <v>1193</v>
      </c>
      <c r="I47" s="2" t="s">
        <v>1194</v>
      </c>
      <c r="J47" s="2" t="s">
        <v>1195</v>
      </c>
      <c r="K47" s="2" t="s">
        <v>1196</v>
      </c>
      <c r="V47" s="6" t="str">
        <f>H47&amp;" OR "&amp;I47&amp;" OR "&amp;J47&amp;" OR "&amp;K47</f>
        <v>TCNO3 OR TCNO4 OR TCNO3F OR TCNO4F</v>
      </c>
      <c r="W4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v>
      </c>
    </row>
    <row r="48">
      <c r="A48" s="2">
        <v>2.0</v>
      </c>
      <c r="B48" s="2" t="s">
        <v>1162</v>
      </c>
      <c r="C48" s="2" t="s">
        <v>1163</v>
      </c>
      <c r="D48" s="2" t="s">
        <v>1197</v>
      </c>
      <c r="E48" s="2" t="s">
        <v>1198</v>
      </c>
      <c r="F48" s="2" t="s">
        <v>1199</v>
      </c>
      <c r="G48" s="2" t="s">
        <v>1001</v>
      </c>
      <c r="H48" s="2" t="s">
        <v>1200</v>
      </c>
      <c r="I48" s="2" t="s">
        <v>1201</v>
      </c>
      <c r="V48" s="6" t="str">
        <f t="shared" ref="V48:V50" si="8">H48&amp;" OR "&amp;I48</f>
        <v>MILS3 OR MILS3F</v>
      </c>
      <c r="W4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v>
      </c>
    </row>
    <row r="49">
      <c r="A49" s="2">
        <v>2.0</v>
      </c>
      <c r="B49" s="2" t="s">
        <v>1162</v>
      </c>
      <c r="C49" s="2" t="s">
        <v>1202</v>
      </c>
      <c r="D49" s="2" t="s">
        <v>1203</v>
      </c>
      <c r="E49" s="2" t="s">
        <v>1204</v>
      </c>
      <c r="F49" s="2" t="s">
        <v>1205</v>
      </c>
      <c r="G49" s="2" t="s">
        <v>1001</v>
      </c>
      <c r="H49" s="2" t="s">
        <v>1206</v>
      </c>
      <c r="I49" s="2" t="s">
        <v>1207</v>
      </c>
      <c r="V49" s="6" t="str">
        <f t="shared" si="8"/>
        <v>EMBR3 OR EMBR3F</v>
      </c>
      <c r="W4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v>
      </c>
    </row>
    <row r="50">
      <c r="A50" s="2">
        <v>1.0</v>
      </c>
      <c r="B50" s="2" t="s">
        <v>1162</v>
      </c>
      <c r="C50" s="2" t="s">
        <v>1202</v>
      </c>
      <c r="D50" s="2" t="s">
        <v>1208</v>
      </c>
      <c r="E50" s="2" t="s">
        <v>1209</v>
      </c>
      <c r="F50" s="2" t="s">
        <v>1210</v>
      </c>
      <c r="G50" s="2" t="s">
        <v>1029</v>
      </c>
      <c r="H50" s="22" t="str">
        <f>VLOOKUP(E50,'Lista Infomoney'!B:H,2,FALSE)</f>
        <v>FRAS3F</v>
      </c>
      <c r="I50" s="22" t="str">
        <f>VLOOKUP(E50,'Lista Infomoney'!B:F,3,FALSE)</f>
        <v>FRAS3</v>
      </c>
      <c r="J50" s="6" t="str">
        <f>VLOOKUP(E50,'Lista Infomoney'!B:F,4,FALSE)</f>
        <v/>
      </c>
      <c r="K50" s="6" t="str">
        <f>VLOOKUP(E50,'Lista Infomoney'!B:F,5,FALSE)</f>
        <v/>
      </c>
      <c r="V50" s="6" t="str">
        <f t="shared" si="8"/>
        <v>FRAS3F OR FRAS3</v>
      </c>
      <c r="W5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v>
      </c>
    </row>
    <row r="51">
      <c r="A51" s="2">
        <v>1.0</v>
      </c>
      <c r="B51" s="2" t="s">
        <v>1162</v>
      </c>
      <c r="C51" s="2" t="s">
        <v>1202</v>
      </c>
      <c r="D51" s="2"/>
      <c r="E51" s="2" t="s">
        <v>1211</v>
      </c>
      <c r="F51" s="2" t="s">
        <v>1212</v>
      </c>
      <c r="G51" s="2" t="s">
        <v>1013</v>
      </c>
      <c r="H51" s="22" t="str">
        <f>VLOOKUP(E51,'Lista Infomoney'!B:H,2,FALSE)</f>
        <v>POMO4F</v>
      </c>
      <c r="I51" s="22" t="str">
        <f>VLOOKUP(E51,'Lista Infomoney'!B:F,3,FALSE)</f>
        <v>POMO3F</v>
      </c>
      <c r="J51" s="22" t="str">
        <f>VLOOKUP(E51,'Lista Infomoney'!B:F,4,FALSE)</f>
        <v>POMO4</v>
      </c>
      <c r="K51" s="22" t="str">
        <f>VLOOKUP(E51,'Lista Infomoney'!B:F,5,FALSE)</f>
        <v>POMO3</v>
      </c>
      <c r="V51" s="6" t="str">
        <f t="shared" ref="V51:V54" si="9">H51&amp;" OR "&amp;I51&amp;" OR "&amp;J51&amp;" OR "&amp;K51</f>
        <v>POMO4F OR POMO3F OR POMO4 OR POMO3</v>
      </c>
      <c r="W5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v>
      </c>
    </row>
    <row r="52">
      <c r="A52" s="2">
        <v>1.0</v>
      </c>
      <c r="B52" s="2" t="s">
        <v>1162</v>
      </c>
      <c r="C52" s="2" t="s">
        <v>1202</v>
      </c>
      <c r="D52" s="2"/>
      <c r="E52" s="2" t="s">
        <v>1213</v>
      </c>
      <c r="F52" s="2" t="s">
        <v>1214</v>
      </c>
      <c r="G52" s="2" t="s">
        <v>1029</v>
      </c>
      <c r="H52" s="22" t="str">
        <f>VLOOKUP(E52,'Lista Infomoney'!B:H,2,FALSE)</f>
        <v>RAPT3F</v>
      </c>
      <c r="I52" s="22" t="str">
        <f>VLOOKUP(E52,'Lista Infomoney'!B:F,3,FALSE)</f>
        <v>RAPT4F</v>
      </c>
      <c r="J52" s="22" t="str">
        <f>VLOOKUP(E52,'Lista Infomoney'!B:F,4,FALSE)</f>
        <v>RAPT4</v>
      </c>
      <c r="K52" s="22" t="str">
        <f>VLOOKUP(E52,'Lista Infomoney'!B:F,5,FALSE)</f>
        <v>RAPT3</v>
      </c>
      <c r="V52" s="6" t="str">
        <f t="shared" si="9"/>
        <v>RAPT3F OR RAPT4F OR RAPT4 OR RAPT3</v>
      </c>
      <c r="W5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v>
      </c>
    </row>
    <row r="53">
      <c r="A53" s="2">
        <v>2.0</v>
      </c>
      <c r="B53" s="2" t="s">
        <v>1162</v>
      </c>
      <c r="C53" s="2" t="s">
        <v>1202</v>
      </c>
      <c r="D53" s="2"/>
      <c r="E53" s="2" t="s">
        <v>1215</v>
      </c>
      <c r="F53" s="2" t="s">
        <v>1216</v>
      </c>
      <c r="G53" s="2"/>
      <c r="H53" s="2" t="s">
        <v>1217</v>
      </c>
      <c r="I53" s="2" t="s">
        <v>1218</v>
      </c>
      <c r="J53" s="2" t="s">
        <v>1219</v>
      </c>
      <c r="K53" s="2" t="s">
        <v>1220</v>
      </c>
      <c r="V53" s="6" t="str">
        <f t="shared" si="9"/>
        <v>RCSL3 OR RCSL4 OR RCSL3F OR RCSL4F</v>
      </c>
      <c r="W5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v>
      </c>
    </row>
    <row r="54">
      <c r="A54" s="2">
        <v>2.0</v>
      </c>
      <c r="B54" s="2" t="s">
        <v>1162</v>
      </c>
      <c r="C54" s="2" t="s">
        <v>1202</v>
      </c>
      <c r="D54" s="2"/>
      <c r="E54" s="2" t="s">
        <v>1221</v>
      </c>
      <c r="F54" s="2" t="s">
        <v>1222</v>
      </c>
      <c r="G54" s="2"/>
      <c r="H54" s="2" t="s">
        <v>1223</v>
      </c>
      <c r="I54" s="2" t="s">
        <v>1224</v>
      </c>
      <c r="J54" s="2" t="s">
        <v>1225</v>
      </c>
      <c r="K54" s="2" t="s">
        <v>1226</v>
      </c>
      <c r="V54" s="6" t="str">
        <f t="shared" si="9"/>
        <v>RSUL3 OR RSUL4 OR RSUL3F OR RSUL4F</v>
      </c>
      <c r="W5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v>
      </c>
    </row>
    <row r="55">
      <c r="A55" s="2">
        <v>2.0</v>
      </c>
      <c r="B55" s="2" t="s">
        <v>1162</v>
      </c>
      <c r="C55" s="2" t="s">
        <v>1202</v>
      </c>
      <c r="D55" s="2"/>
      <c r="E55" s="2" t="s">
        <v>1227</v>
      </c>
      <c r="F55" s="2" t="s">
        <v>1227</v>
      </c>
      <c r="G55" s="2" t="s">
        <v>1001</v>
      </c>
      <c r="H55" s="2" t="s">
        <v>1228</v>
      </c>
      <c r="I55" s="2" t="s">
        <v>1229</v>
      </c>
      <c r="V55" s="6" t="str">
        <f>H55&amp;" OR "&amp;I55</f>
        <v>TUPY3 OR TUPY3F</v>
      </c>
      <c r="W5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v>
      </c>
    </row>
    <row r="56">
      <c r="A56" s="2">
        <v>2.0</v>
      </c>
      <c r="B56" s="2" t="s">
        <v>1162</v>
      </c>
      <c r="C56" s="2" t="s">
        <v>1202</v>
      </c>
      <c r="D56" s="2"/>
      <c r="E56" s="2" t="s">
        <v>1230</v>
      </c>
      <c r="F56" s="2" t="s">
        <v>1231</v>
      </c>
      <c r="G56" s="2"/>
      <c r="H56" s="2" t="s">
        <v>1232</v>
      </c>
      <c r="I56" s="2" t="s">
        <v>1233</v>
      </c>
      <c r="J56" s="2" t="s">
        <v>1234</v>
      </c>
      <c r="K56" s="2" t="s">
        <v>1235</v>
      </c>
      <c r="V56" s="6" t="str">
        <f t="shared" ref="V56:V57" si="10">H56&amp;" OR "&amp;I56&amp;" OR "&amp;J56&amp;" OR "&amp;K56</f>
        <v>MWET3 OR MWET4 OR MWET3F OR MWET4F</v>
      </c>
      <c r="W5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v>
      </c>
    </row>
    <row r="57">
      <c r="A57" s="2">
        <v>1.0</v>
      </c>
      <c r="B57" s="2" t="s">
        <v>1162</v>
      </c>
      <c r="C57" s="2" t="s">
        <v>1236</v>
      </c>
      <c r="D57" s="2" t="s">
        <v>1237</v>
      </c>
      <c r="E57" s="2" t="s">
        <v>1238</v>
      </c>
      <c r="F57" s="2" t="s">
        <v>1239</v>
      </c>
      <c r="G57" s="2"/>
      <c r="H57" s="22" t="str">
        <f>VLOOKUP(E57,'Lista Infomoney'!B:H,2,FALSE)</f>
        <v>SHUL4F</v>
      </c>
      <c r="I57" s="22" t="str">
        <f>VLOOKUP(E57,'Lista Infomoney'!B:F,3,FALSE)</f>
        <v>SHUL4</v>
      </c>
      <c r="J57" s="22" t="str">
        <f>VLOOKUP(E57,'Lista Infomoney'!B:F,4,FALSE)</f>
        <v>SHUL3</v>
      </c>
      <c r="K57" s="2" t="s">
        <v>1240</v>
      </c>
      <c r="V57" s="6" t="str">
        <f t="shared" si="10"/>
        <v>SHUL4F OR SHUL4 OR SHUL3 OR SHUL3F</v>
      </c>
      <c r="W5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v>
      </c>
    </row>
    <row r="58">
      <c r="A58" s="2">
        <v>1.0</v>
      </c>
      <c r="B58" s="2" t="s">
        <v>1162</v>
      </c>
      <c r="C58" s="2" t="s">
        <v>1236</v>
      </c>
      <c r="D58" s="2"/>
      <c r="E58" s="2" t="s">
        <v>1241</v>
      </c>
      <c r="F58" s="2" t="s">
        <v>1242</v>
      </c>
      <c r="G58" s="2" t="s">
        <v>1001</v>
      </c>
      <c r="H58" s="22" t="str">
        <f>VLOOKUP(E58,'Lista Infomoney'!B:H,2,FALSE)</f>
        <v>WEGE3F</v>
      </c>
      <c r="I58" s="22" t="str">
        <f>VLOOKUP(E58,'Lista Infomoney'!B:F,3,FALSE)</f>
        <v>WEGE3</v>
      </c>
      <c r="J58" s="6" t="str">
        <f>VLOOKUP(E58,'Lista Infomoney'!B:F,4,FALSE)</f>
        <v/>
      </c>
      <c r="K58" s="6" t="str">
        <f>VLOOKUP(E58,'Lista Infomoney'!B:F,5,FALSE)</f>
        <v/>
      </c>
      <c r="V58" s="6" t="str">
        <f>H58&amp;" OR "&amp;I58</f>
        <v>WEGE3F OR WEGE3</v>
      </c>
      <c r="W5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v>
      </c>
    </row>
    <row r="59">
      <c r="A59" s="2">
        <v>1.0</v>
      </c>
      <c r="B59" s="2" t="s">
        <v>1162</v>
      </c>
      <c r="C59" s="2" t="s">
        <v>1236</v>
      </c>
      <c r="D59" s="2" t="s">
        <v>1243</v>
      </c>
      <c r="E59" s="2" t="s">
        <v>1244</v>
      </c>
      <c r="F59" s="2" t="s">
        <v>1245</v>
      </c>
      <c r="G59" s="2"/>
      <c r="H59" s="22" t="str">
        <f>VLOOKUP(E59,'Lista Infomoney'!B:H,2,FALSE)</f>
        <v>EALT3F</v>
      </c>
      <c r="I59" s="22" t="str">
        <f>VLOOKUP(E59,'Lista Infomoney'!B:F,3,FALSE)</f>
        <v>EALT4F</v>
      </c>
      <c r="J59" s="2" t="s">
        <v>1246</v>
      </c>
      <c r="K59" s="2" t="s">
        <v>1247</v>
      </c>
      <c r="V59" s="6" t="str">
        <f t="shared" ref="V59:V60" si="11">H59&amp;" OR "&amp;I59&amp;" OR "&amp;J59&amp;" OR "&amp;K59</f>
        <v>EALT3F OR EALT4F OR EALT3 OR EALT4</v>
      </c>
      <c r="W5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v>
      </c>
    </row>
    <row r="60">
      <c r="A60" s="2">
        <v>1.0</v>
      </c>
      <c r="B60" s="2" t="s">
        <v>1162</v>
      </c>
      <c r="C60" s="2" t="s">
        <v>1236</v>
      </c>
      <c r="D60" s="2"/>
      <c r="E60" s="2" t="s">
        <v>1248</v>
      </c>
      <c r="F60" s="2" t="s">
        <v>1249</v>
      </c>
      <c r="G60" s="2"/>
      <c r="H60" s="22" t="str">
        <f>VLOOKUP(E60,'Lista Infomoney'!B:H,2,FALSE)</f>
        <v>BDLL4F</v>
      </c>
      <c r="I60" s="22" t="str">
        <f>VLOOKUP(E60,'Lista Infomoney'!B:F,3,FALSE)</f>
        <v>BDLL3F</v>
      </c>
      <c r="J60" s="2" t="s">
        <v>1250</v>
      </c>
      <c r="K60" s="2" t="s">
        <v>1251</v>
      </c>
      <c r="V60" s="6" t="str">
        <f t="shared" si="11"/>
        <v>BDLL4F OR BDLL3F OR BDLL3 OR BDLL4</v>
      </c>
      <c r="W6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v>
      </c>
    </row>
    <row r="61">
      <c r="A61" s="2">
        <v>2.0</v>
      </c>
      <c r="B61" s="2" t="s">
        <v>1162</v>
      </c>
      <c r="C61" s="2" t="s">
        <v>1236</v>
      </c>
      <c r="D61" s="2"/>
      <c r="E61" s="2" t="s">
        <v>1252</v>
      </c>
      <c r="F61" s="2" t="s">
        <v>1253</v>
      </c>
      <c r="G61" s="2" t="s">
        <v>1001</v>
      </c>
      <c r="H61" s="2" t="s">
        <v>1254</v>
      </c>
      <c r="I61" s="2" t="s">
        <v>1255</v>
      </c>
      <c r="V61" s="6" t="str">
        <f>H61&amp;" OR "&amp;I61</f>
        <v>ROMI3 OR ROMI3F</v>
      </c>
      <c r="W6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v>
      </c>
    </row>
    <row r="62">
      <c r="A62" s="2">
        <v>1.0</v>
      </c>
      <c r="B62" s="2" t="s">
        <v>1162</v>
      </c>
      <c r="C62" s="2" t="s">
        <v>1236</v>
      </c>
      <c r="D62" s="2"/>
      <c r="E62" s="2" t="s">
        <v>1256</v>
      </c>
      <c r="F62" s="2" t="s">
        <v>1257</v>
      </c>
      <c r="G62" s="2"/>
      <c r="H62" s="22" t="str">
        <f>VLOOKUP(E62,'Lista Infomoney'!B:H,2,FALSE)</f>
        <v>INEP4F</v>
      </c>
      <c r="I62" s="22" t="str">
        <f>VLOOKUP(E62,'Lista Infomoney'!B:F,3,FALSE)</f>
        <v>INEP3F</v>
      </c>
      <c r="J62" s="22" t="str">
        <f>VLOOKUP(E62,'Lista Infomoney'!B:F,4,FALSE)</f>
        <v>INEP4</v>
      </c>
      <c r="K62" s="22" t="str">
        <f>VLOOKUP(E62,'Lista Infomoney'!B:F,5,FALSE)</f>
        <v>INEP3</v>
      </c>
      <c r="V62" s="6" t="str">
        <f t="shared" ref="V62:V63" si="12">H62&amp;" OR "&amp;I62&amp;" OR "&amp;J62&amp;" OR "&amp;K62</f>
        <v>INEP4F OR INEP3F OR INEP4 OR INEP3</v>
      </c>
      <c r="W6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v>
      </c>
    </row>
    <row r="63">
      <c r="A63" s="2">
        <v>2.0</v>
      </c>
      <c r="B63" s="2" t="s">
        <v>1162</v>
      </c>
      <c r="C63" s="2" t="s">
        <v>1236</v>
      </c>
      <c r="D63" s="2"/>
      <c r="E63" s="2" t="s">
        <v>1258</v>
      </c>
      <c r="F63" s="2" t="s">
        <v>1259</v>
      </c>
      <c r="G63" s="2"/>
      <c r="H63" s="2" t="s">
        <v>1260</v>
      </c>
      <c r="I63" s="2" t="s">
        <v>1261</v>
      </c>
      <c r="J63" s="2" t="s">
        <v>1262</v>
      </c>
      <c r="K63" s="2" t="s">
        <v>1263</v>
      </c>
      <c r="V63" s="6" t="str">
        <f t="shared" si="12"/>
        <v>KEPL11 OR KEPL3 OR KEPL11F OR KEPL3F</v>
      </c>
      <c r="W6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v>
      </c>
    </row>
    <row r="64">
      <c r="A64" s="2">
        <v>2.0</v>
      </c>
      <c r="B64" s="2" t="s">
        <v>1162</v>
      </c>
      <c r="C64" s="2" t="s">
        <v>1236</v>
      </c>
      <c r="D64" s="2"/>
      <c r="E64" s="2" t="s">
        <v>1264</v>
      </c>
      <c r="F64" s="2" t="s">
        <v>1265</v>
      </c>
      <c r="G64" s="2" t="s">
        <v>1001</v>
      </c>
      <c r="H64" s="2" t="s">
        <v>1266</v>
      </c>
      <c r="I64" s="2" t="s">
        <v>1267</v>
      </c>
      <c r="V64" s="6" t="str">
        <f t="shared" ref="V64:V66" si="13">H64&amp;" OR "&amp;I64</f>
        <v>FRIO3 OR FRIO3F</v>
      </c>
      <c r="W6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v>
      </c>
      <c r="X64" s="6" t="str">
        <f>V64&amp;" OR "&amp;V65</f>
        <v>FRIO3 OR FRIO3F OR NORD3 OR NORD3F</v>
      </c>
    </row>
    <row r="65">
      <c r="A65" s="2">
        <v>2.0</v>
      </c>
      <c r="B65" s="2" t="s">
        <v>1162</v>
      </c>
      <c r="C65" s="2" t="s">
        <v>1236</v>
      </c>
      <c r="D65" s="2"/>
      <c r="E65" s="2" t="s">
        <v>1268</v>
      </c>
      <c r="F65" s="2" t="s">
        <v>1269</v>
      </c>
      <c r="G65" s="2"/>
      <c r="H65" s="2" t="s">
        <v>1270</v>
      </c>
      <c r="I65" s="2" t="s">
        <v>1271</v>
      </c>
      <c r="V65" s="6" t="str">
        <f t="shared" si="13"/>
        <v>NORD3 OR NORD3F</v>
      </c>
      <c r="W6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v>
      </c>
      <c r="X65" s="6" t="str">
        <f t="shared" ref="X65:X178" si="14">X64&amp;" OR "&amp;V66</f>
        <v>FRIO3 OR FRIO3F OR NORD3 OR NORD3F OR PTCA11 OR PTCA3</v>
      </c>
    </row>
    <row r="66">
      <c r="A66" s="2">
        <v>2.0</v>
      </c>
      <c r="B66" s="2" t="s">
        <v>1162</v>
      </c>
      <c r="C66" s="2" t="s">
        <v>1236</v>
      </c>
      <c r="D66" s="2"/>
      <c r="E66" s="2" t="s">
        <v>1272</v>
      </c>
      <c r="F66" s="2" t="s">
        <v>1273</v>
      </c>
      <c r="G66" s="2" t="s">
        <v>1274</v>
      </c>
      <c r="H66" s="2" t="s">
        <v>1275</v>
      </c>
      <c r="I66" s="2" t="s">
        <v>1276</v>
      </c>
      <c r="V66" s="6" t="str">
        <f t="shared" si="13"/>
        <v>PTCA11 OR PTCA3</v>
      </c>
      <c r="W6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v>
      </c>
      <c r="X66" s="6" t="str">
        <f t="shared" si="14"/>
        <v>FRIO3 OR FRIO3F OR NORD3 OR NORD3F OR PTCA11 OR PTCA3 OR MTSA3 OR MTSA4 OR MTSA3F OR MTSA4F</v>
      </c>
    </row>
    <row r="67">
      <c r="A67" s="2">
        <v>2.0</v>
      </c>
      <c r="B67" s="2" t="s">
        <v>1162</v>
      </c>
      <c r="C67" s="2" t="s">
        <v>1236</v>
      </c>
      <c r="D67" s="2" t="s">
        <v>1277</v>
      </c>
      <c r="E67" s="2" t="s">
        <v>1278</v>
      </c>
      <c r="F67" s="2" t="s">
        <v>1279</v>
      </c>
      <c r="G67" s="2"/>
      <c r="H67" s="2" t="s">
        <v>1280</v>
      </c>
      <c r="I67" s="2" t="s">
        <v>1281</v>
      </c>
      <c r="J67" s="2" t="s">
        <v>1282</v>
      </c>
      <c r="K67" s="2" t="s">
        <v>1283</v>
      </c>
      <c r="V67" s="6" t="str">
        <f>H67&amp;" OR "&amp;I67&amp;" OR "&amp;J67&amp;" OR "&amp;K67</f>
        <v>MTSA3 OR MTSA4 OR MTSA3F OR MTSA4F</v>
      </c>
      <c r="W6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v>
      </c>
      <c r="X67" s="6" t="str">
        <f t="shared" si="14"/>
        <v>FRIO3 OR FRIO3F OR NORD3 OR NORD3F OR PTCA11 OR PTCA3 OR MTSA3 OR MTSA4 OR MTSA3F OR MTSA4F OR STTR3 OR STTR3F</v>
      </c>
    </row>
    <row r="68">
      <c r="A68" s="2">
        <v>2.0</v>
      </c>
      <c r="B68" s="2" t="s">
        <v>1162</v>
      </c>
      <c r="C68" s="2" t="s">
        <v>1236</v>
      </c>
      <c r="D68" s="2" t="s">
        <v>1277</v>
      </c>
      <c r="E68" s="2" t="s">
        <v>1284</v>
      </c>
      <c r="F68" s="2" t="s">
        <v>1285</v>
      </c>
      <c r="G68" s="2" t="s">
        <v>1107</v>
      </c>
      <c r="H68" s="2" t="s">
        <v>1286</v>
      </c>
      <c r="I68" s="2" t="s">
        <v>1287</v>
      </c>
      <c r="V68" s="6" t="str">
        <f>H68&amp;" OR "&amp;I68</f>
        <v>STTR3 OR STTR3F</v>
      </c>
      <c r="W6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v>
      </c>
      <c r="X68" s="6" t="str">
        <f t="shared" si="14"/>
        <v>FRIO3 OR FRIO3F OR NORD3 OR NORD3F OR PTCA11 OR PTCA3 OR MTSA3 OR MTSA4 OR MTSA3F OR MTSA4F OR STTR3 OR STTR3F OR TASA4F OR TASA3F OR TASA4 OR TASA3 OR TASA13 OR TASA15 OR TASA17</v>
      </c>
    </row>
    <row r="69">
      <c r="A69" s="2">
        <v>1.0</v>
      </c>
      <c r="B69" s="2" t="s">
        <v>1162</v>
      </c>
      <c r="C69" s="2" t="s">
        <v>1236</v>
      </c>
      <c r="D69" s="2" t="s">
        <v>1288</v>
      </c>
      <c r="E69" s="2" t="s">
        <v>1289</v>
      </c>
      <c r="F69" s="2" t="s">
        <v>1290</v>
      </c>
      <c r="G69" s="2" t="s">
        <v>1013</v>
      </c>
      <c r="H69" s="22" t="str">
        <f>VLOOKUP(E69,'Lista Infomoney'!B:H,2,FALSE)</f>
        <v>TASA4F</v>
      </c>
      <c r="I69" s="22" t="str">
        <f>VLOOKUP(E69,'Lista Infomoney'!B:F,3,FALSE)</f>
        <v>TASA3F</v>
      </c>
      <c r="J69" s="22" t="str">
        <f>VLOOKUP(E69,'Lista Infomoney'!B:F,4,FALSE)</f>
        <v>TASA4</v>
      </c>
      <c r="K69" s="22" t="str">
        <f>VLOOKUP(E69,'Lista Infomoney'!B:F,5,FALSE)</f>
        <v>TASA3</v>
      </c>
      <c r="L69" s="2" t="s">
        <v>1291</v>
      </c>
      <c r="M69" s="2" t="s">
        <v>1292</v>
      </c>
      <c r="N69" s="2" t="s">
        <v>1293</v>
      </c>
      <c r="V69" s="6" t="str">
        <f>H69&amp;" OR "&amp;I69&amp;" OR "&amp;J69&amp;" OR "&amp;K69&amp;" OR "&amp;L69&amp;" OR "&amp;M69&amp;" OR "&amp;N69</f>
        <v>TASA4F OR TASA3F OR TASA4 OR TASA3 OR TASA13 OR TASA15 OR TASA17</v>
      </c>
      <c r="W6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v>
      </c>
      <c r="X69" s="6" t="str">
        <f t="shared" si="14"/>
        <v>FRIO3 OR FRIO3F OR NORD3 OR NORD3F OR PTCA11 OR PTCA3 OR MTSA3 OR MTSA4 OR MTSA3F OR MTSA4F OR STTR3 OR STTR3F OR TASA4F OR TASA3F OR TASA4 OR TASA3 OR TASA13 OR TASA15 OR TASA17 OR AZUL4 OR AZUL4F</v>
      </c>
    </row>
    <row r="70">
      <c r="A70" s="2">
        <v>2.0</v>
      </c>
      <c r="B70" s="2" t="s">
        <v>1162</v>
      </c>
      <c r="C70" s="2" t="s">
        <v>1294</v>
      </c>
      <c r="D70" s="2" t="s">
        <v>1295</v>
      </c>
      <c r="E70" s="2" t="s">
        <v>1296</v>
      </c>
      <c r="F70" s="2" t="s">
        <v>1296</v>
      </c>
      <c r="G70" s="2" t="s">
        <v>1013</v>
      </c>
      <c r="H70" s="2" t="s">
        <v>1297</v>
      </c>
      <c r="I70" s="2" t="s">
        <v>1298</v>
      </c>
      <c r="V70" s="6" t="str">
        <f>H70&amp;" OR "&amp;I70</f>
        <v>AZUL4 OR AZUL4F</v>
      </c>
      <c r="W7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v>
      </c>
      <c r="X70" s="6" t="str">
        <f t="shared" si="14"/>
        <v>FRIO3 OR FRIO3F OR NORD3 OR NORD3F OR PTCA11 OR PTCA3 OR MTSA3 OR MTSA4 OR MTSA3F OR MTSA4F OR STTR3 OR STTR3F OR TASA4F OR TASA3F OR TASA4 OR TASA3 OR TASA13 OR TASA15 OR TASA17 OR AZUL4 OR AZUL4F OR GOLL11 OR GOL4F OR GOLL4 OR GOLL12</v>
      </c>
    </row>
    <row r="71">
      <c r="A71" s="2">
        <v>1.0</v>
      </c>
      <c r="B71" s="2" t="s">
        <v>1162</v>
      </c>
      <c r="C71" s="2" t="s">
        <v>1294</v>
      </c>
      <c r="D71" s="2" t="s">
        <v>1295</v>
      </c>
      <c r="E71" s="2" t="s">
        <v>118</v>
      </c>
      <c r="F71" s="2" t="s">
        <v>1299</v>
      </c>
      <c r="G71" s="2" t="s">
        <v>1013</v>
      </c>
      <c r="H71" s="22" t="str">
        <f>VLOOKUP(E71,'Lista Infomoney'!B:H,2,FALSE)</f>
        <v>GOLL11</v>
      </c>
      <c r="I71" s="22" t="str">
        <f>VLOOKUP(E71,'Lista Infomoney'!B:F,3,FALSE)</f>
        <v>GOL4F</v>
      </c>
      <c r="J71" s="22" t="str">
        <f>VLOOKUP(E71,'Lista Infomoney'!B:F,4,FALSE)</f>
        <v>GOLL4</v>
      </c>
      <c r="K71" s="2" t="s">
        <v>1300</v>
      </c>
      <c r="V71" s="6" t="str">
        <f>H71&amp;" OR "&amp;I71&amp;" OR "&amp;J71&amp;" OR "&amp;K71</f>
        <v>GOLL11 OR GOL4F OR GOLL4 OR GOLL12</v>
      </c>
      <c r="W7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v>
      </c>
      <c r="X71"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v>
      </c>
    </row>
    <row r="72">
      <c r="A72" s="2">
        <v>2.0</v>
      </c>
      <c r="B72" s="2" t="s">
        <v>1162</v>
      </c>
      <c r="C72" s="2" t="s">
        <v>1294</v>
      </c>
      <c r="D72" s="2" t="s">
        <v>1301</v>
      </c>
      <c r="E72" s="2" t="s">
        <v>1302</v>
      </c>
      <c r="F72" s="2" t="s">
        <v>1303</v>
      </c>
      <c r="G72" s="2" t="s">
        <v>1032</v>
      </c>
      <c r="H72" s="2" t="s">
        <v>1304</v>
      </c>
      <c r="I72" s="2" t="s">
        <v>1305</v>
      </c>
      <c r="J72" s="2" t="s">
        <v>1306</v>
      </c>
      <c r="K72" s="2" t="s">
        <v>1307</v>
      </c>
      <c r="L72" s="2" t="s">
        <v>1308</v>
      </c>
      <c r="M72" s="2" t="s">
        <v>1309</v>
      </c>
      <c r="V72" s="6" t="str">
        <f>H72&amp;" OR "&amp;I72&amp;" OR "&amp;J72&amp;" OR "&amp;K72&amp;" OR "&amp;L72&amp;" OR "&amp;M72</f>
        <v>FRRN3B OR FRRN5B OR FRRN6B OR FRRN3BF OR FRRN5BF OR FRRN6BF</v>
      </c>
      <c r="W7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v>
      </c>
      <c r="X72"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v>
      </c>
    </row>
    <row r="73">
      <c r="A73" s="2">
        <v>2.0</v>
      </c>
      <c r="B73" s="2" t="s">
        <v>1162</v>
      </c>
      <c r="C73" s="2" t="s">
        <v>1294</v>
      </c>
      <c r="D73" s="2" t="s">
        <v>1301</v>
      </c>
      <c r="E73" s="2" t="s">
        <v>1310</v>
      </c>
      <c r="F73" s="24" t="s">
        <v>1311</v>
      </c>
      <c r="G73" s="2" t="s">
        <v>1032</v>
      </c>
      <c r="H73" s="6" t="s">
        <v>1311</v>
      </c>
      <c r="V73" s="6" t="str">
        <f>H73</f>
        <v>GASC</v>
      </c>
      <c r="W7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v>
      </c>
      <c r="X73"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v>
      </c>
    </row>
    <row r="74">
      <c r="A74" s="2">
        <v>1.0</v>
      </c>
      <c r="B74" s="2" t="s">
        <v>1162</v>
      </c>
      <c r="C74" s="2" t="s">
        <v>1294</v>
      </c>
      <c r="D74" s="2" t="s">
        <v>1301</v>
      </c>
      <c r="E74" s="2" t="s">
        <v>1312</v>
      </c>
      <c r="F74" s="2" t="s">
        <v>1313</v>
      </c>
      <c r="G74" s="2" t="s">
        <v>1001</v>
      </c>
      <c r="H74" s="22" t="str">
        <f>VLOOKUP(E74,'Lista Infomoney'!B:H,2,FALSE)</f>
        <v>RLOG3F</v>
      </c>
      <c r="I74" s="22" t="str">
        <f>VLOOKUP(E74,'Lista Infomoney'!B:F,3,FALSE)</f>
        <v>RLOG3</v>
      </c>
      <c r="J74" s="6" t="str">
        <f>VLOOKUP(E74,'Lista Infomoney'!B:F,4,FALSE)</f>
        <v/>
      </c>
      <c r="K74" s="6" t="str">
        <f>VLOOKUP(E74,'Lista Infomoney'!B:F,5,FALSE)</f>
        <v/>
      </c>
      <c r="V74" s="6" t="str">
        <f>H74&amp;" OR "&amp;I74</f>
        <v>RLOG3F OR RLOG3</v>
      </c>
      <c r="W7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v>
      </c>
      <c r="X74"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v>
      </c>
    </row>
    <row r="75">
      <c r="A75" s="2">
        <v>2.0</v>
      </c>
      <c r="B75" s="2" t="s">
        <v>1162</v>
      </c>
      <c r="C75" s="2" t="s">
        <v>1294</v>
      </c>
      <c r="D75" s="2" t="s">
        <v>1301</v>
      </c>
      <c r="E75" s="2" t="s">
        <v>1314</v>
      </c>
      <c r="F75" s="2" t="s">
        <v>1315</v>
      </c>
      <c r="G75" s="2"/>
      <c r="H75" s="2" t="s">
        <v>1316</v>
      </c>
      <c r="I75" s="2" t="s">
        <v>1317</v>
      </c>
      <c r="J75" s="2" t="s">
        <v>1318</v>
      </c>
      <c r="K75" s="2" t="s">
        <v>1319</v>
      </c>
      <c r="L75" s="2" t="s">
        <v>1320</v>
      </c>
      <c r="V75" s="6" t="str">
        <f>H75&amp;" OR "&amp;I75&amp;" OR "&amp;J75&amp;" OR "&amp;K75&amp;" OR "&amp;L75</f>
        <v>VSPT1 OR VSPT3 OR VSPT4 OR VSPT3F OR VSPT4F</v>
      </c>
      <c r="W7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v>
      </c>
      <c r="X75"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v>
      </c>
    </row>
    <row r="76">
      <c r="A76" s="2">
        <v>2.0</v>
      </c>
      <c r="B76" s="2" t="s">
        <v>1162</v>
      </c>
      <c r="C76" s="2" t="s">
        <v>1294</v>
      </c>
      <c r="D76" s="2" t="s">
        <v>1301</v>
      </c>
      <c r="E76" s="2" t="s">
        <v>1321</v>
      </c>
      <c r="F76" s="2" t="s">
        <v>1322</v>
      </c>
      <c r="G76" s="2" t="s">
        <v>1032</v>
      </c>
      <c r="H76" s="2" t="s">
        <v>1322</v>
      </c>
      <c r="V76" s="6" t="str">
        <f>H76</f>
        <v>MRSA</v>
      </c>
      <c r="W7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v>
      </c>
      <c r="X76"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v>
      </c>
    </row>
    <row r="77">
      <c r="A77" s="2">
        <v>1.0</v>
      </c>
      <c r="B77" s="2" t="s">
        <v>1162</v>
      </c>
      <c r="C77" s="2" t="s">
        <v>1294</v>
      </c>
      <c r="D77" s="2" t="s">
        <v>1301</v>
      </c>
      <c r="E77" s="2" t="s">
        <v>154</v>
      </c>
      <c r="F77" s="2" t="s">
        <v>1323</v>
      </c>
      <c r="G77" s="2" t="s">
        <v>1001</v>
      </c>
      <c r="H77" s="22" t="str">
        <f>VLOOKUP(E77,'Lista Infomoney'!B:H,2,FALSE)</f>
        <v>RAIL3F</v>
      </c>
      <c r="I77" s="22" t="str">
        <f>VLOOKUP(E77,'Lista Infomoney'!B:F,3,FALSE)</f>
        <v>RAIL3</v>
      </c>
      <c r="J77" s="6" t="str">
        <f>VLOOKUP(E77,'Lista Infomoney'!B:F,4,FALSE)</f>
        <v/>
      </c>
      <c r="K77" s="6" t="str">
        <f>VLOOKUP(E77,'Lista Infomoney'!B:F,5,FALSE)</f>
        <v/>
      </c>
      <c r="V77" s="6" t="str">
        <f>H77&amp;" OR "&amp;I77</f>
        <v>RAIL3F OR RAIL3</v>
      </c>
      <c r="W7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v>
      </c>
      <c r="X77"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v>
      </c>
    </row>
    <row r="78">
      <c r="A78" s="2">
        <v>1.0</v>
      </c>
      <c r="B78" s="2" t="s">
        <v>1162</v>
      </c>
      <c r="C78" s="2" t="s">
        <v>1294</v>
      </c>
      <c r="D78" s="2" t="s">
        <v>1324</v>
      </c>
      <c r="E78" s="2" t="s">
        <v>11</v>
      </c>
      <c r="F78" s="2" t="s">
        <v>1325</v>
      </c>
      <c r="G78" s="2" t="s">
        <v>1001</v>
      </c>
      <c r="H78" s="22" t="str">
        <f>VLOOKUP(E78,'Lista Infomoney'!B:H,2,FALSE)</f>
        <v>HBSA3</v>
      </c>
      <c r="I78" s="6" t="str">
        <f>VLOOKUP(E78,'Lista Infomoney'!B:F,3,FALSE)</f>
        <v/>
      </c>
      <c r="J78" s="6" t="str">
        <f>VLOOKUP(E78,'Lista Infomoney'!B:F,4,FALSE)</f>
        <v/>
      </c>
      <c r="K78" s="6" t="str">
        <f>VLOOKUP(E78,'Lista Infomoney'!B:F,5,FALSE)</f>
        <v/>
      </c>
      <c r="V78" s="22" t="str">
        <f>H78</f>
        <v>HBSA3</v>
      </c>
      <c r="W7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v>
      </c>
      <c r="X78"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v>
      </c>
    </row>
    <row r="79">
      <c r="A79" s="2">
        <v>2.0</v>
      </c>
      <c r="B79" s="2" t="s">
        <v>1162</v>
      </c>
      <c r="C79" s="2" t="s">
        <v>1294</v>
      </c>
      <c r="D79" s="2" t="s">
        <v>1324</v>
      </c>
      <c r="E79" s="2" t="s">
        <v>1326</v>
      </c>
      <c r="F79" s="2" t="s">
        <v>1327</v>
      </c>
      <c r="G79" s="2" t="s">
        <v>1001</v>
      </c>
      <c r="H79" s="2" t="s">
        <v>1328</v>
      </c>
      <c r="I79" s="2" t="s">
        <v>1329</v>
      </c>
      <c r="J79" s="2" t="s">
        <v>1330</v>
      </c>
      <c r="V79" s="6" t="str">
        <f>H79&amp;" OR "&amp;I79&amp;" OR "&amp;J79</f>
        <v>LOGN3 OR LOGN12F OR LOGN3F</v>
      </c>
      <c r="W7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v>
      </c>
      <c r="X79"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v>
      </c>
    </row>
    <row r="80">
      <c r="A80" s="2">
        <v>2.0</v>
      </c>
      <c r="B80" s="2" t="s">
        <v>1162</v>
      </c>
      <c r="C80" s="2" t="s">
        <v>1294</v>
      </c>
      <c r="D80" s="2" t="s">
        <v>1324</v>
      </c>
      <c r="E80" s="2" t="s">
        <v>1331</v>
      </c>
      <c r="F80" s="2" t="s">
        <v>1332</v>
      </c>
      <c r="G80" s="2"/>
      <c r="H80" s="2" t="s">
        <v>1333</v>
      </c>
      <c r="I80" s="2" t="s">
        <v>1334</v>
      </c>
      <c r="J80" s="2" t="s">
        <v>1335</v>
      </c>
      <c r="K80" s="2" t="s">
        <v>1336</v>
      </c>
      <c r="V80" s="6" t="str">
        <f>H80&amp;" OR "&amp;I80&amp;" OR "&amp;J80&amp;" OR "&amp;K80</f>
        <v>LUXM3 OR LUXM4 OR LUXM3F OR LUXM4F</v>
      </c>
      <c r="W8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v>
      </c>
      <c r="X80"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v>
      </c>
    </row>
    <row r="81">
      <c r="A81" s="2">
        <v>2.0</v>
      </c>
      <c r="B81" s="2" t="s">
        <v>1162</v>
      </c>
      <c r="C81" s="2" t="s">
        <v>1294</v>
      </c>
      <c r="D81" s="2" t="s">
        <v>1337</v>
      </c>
      <c r="E81" s="2" t="s">
        <v>1338</v>
      </c>
      <c r="F81" s="2" t="s">
        <v>1339</v>
      </c>
      <c r="G81" s="2" t="s">
        <v>1001</v>
      </c>
      <c r="H81" s="2" t="s">
        <v>1340</v>
      </c>
      <c r="I81" s="2" t="s">
        <v>1341</v>
      </c>
      <c r="V81" s="6" t="str">
        <f t="shared" ref="V81:V82" si="15">H81&amp;" OR "&amp;I81</f>
        <v>JSLG11 OR JSLG3F</v>
      </c>
      <c r="W8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v>
      </c>
      <c r="X81"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v>
      </c>
    </row>
    <row r="82">
      <c r="A82" s="2">
        <v>2.0</v>
      </c>
      <c r="B82" s="2" t="s">
        <v>1162</v>
      </c>
      <c r="C82" s="2" t="s">
        <v>1294</v>
      </c>
      <c r="D82" s="2" t="s">
        <v>1337</v>
      </c>
      <c r="E82" s="2" t="s">
        <v>1342</v>
      </c>
      <c r="F82" s="2" t="s">
        <v>1343</v>
      </c>
      <c r="G82" s="2" t="s">
        <v>1001</v>
      </c>
      <c r="H82" s="2" t="s">
        <v>1344</v>
      </c>
      <c r="I82" s="2" t="s">
        <v>1345</v>
      </c>
      <c r="V82" s="6" t="str">
        <f t="shared" si="15"/>
        <v>TGMA3 OR TGMA3F</v>
      </c>
      <c r="W8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v>
      </c>
      <c r="X82"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v>
      </c>
    </row>
    <row r="83">
      <c r="A83" s="2">
        <v>2.0</v>
      </c>
      <c r="B83" s="2" t="s">
        <v>1162</v>
      </c>
      <c r="C83" s="2" t="s">
        <v>1294</v>
      </c>
      <c r="D83" s="2" t="s">
        <v>1346</v>
      </c>
      <c r="E83" s="2" t="s">
        <v>1347</v>
      </c>
      <c r="F83" s="2" t="s">
        <v>1348</v>
      </c>
      <c r="G83" s="2"/>
      <c r="H83" s="2" t="s">
        <v>1348</v>
      </c>
      <c r="V83" s="6" t="str">
        <f>H83</f>
        <v>ANHB</v>
      </c>
      <c r="W8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v>
      </c>
      <c r="X83"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v>
      </c>
    </row>
    <row r="84">
      <c r="A84" s="2">
        <v>2.0</v>
      </c>
      <c r="B84" s="2" t="s">
        <v>1162</v>
      </c>
      <c r="C84" s="2" t="s">
        <v>1294</v>
      </c>
      <c r="D84" s="2" t="s">
        <v>1346</v>
      </c>
      <c r="E84" s="2" t="s">
        <v>1349</v>
      </c>
      <c r="F84" s="2" t="s">
        <v>1350</v>
      </c>
      <c r="G84" s="2" t="s">
        <v>1001</v>
      </c>
      <c r="H84" s="2" t="s">
        <v>1351</v>
      </c>
      <c r="I84" s="2" t="s">
        <v>1352</v>
      </c>
      <c r="V84" s="6" t="str">
        <f>H84&amp;" OR "&amp;I84</f>
        <v>CCRO3 OR CCRO3F</v>
      </c>
      <c r="W8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v>
      </c>
      <c r="X84"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v>
      </c>
    </row>
    <row r="85">
      <c r="A85" s="2">
        <v>2.0</v>
      </c>
      <c r="B85" s="2" t="s">
        <v>1162</v>
      </c>
      <c r="C85" s="2" t="s">
        <v>1294</v>
      </c>
      <c r="D85" s="2" t="s">
        <v>1346</v>
      </c>
      <c r="E85" s="2" t="s">
        <v>1353</v>
      </c>
      <c r="F85" s="24" t="s">
        <v>1354</v>
      </c>
      <c r="G85" s="2"/>
      <c r="H85" s="6" t="s">
        <v>1354</v>
      </c>
      <c r="V85" s="6" t="str">
        <f>H85</f>
        <v>RPTA</v>
      </c>
      <c r="W8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v>
      </c>
      <c r="X85"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v>
      </c>
    </row>
    <row r="86">
      <c r="A86" s="2">
        <v>2.0</v>
      </c>
      <c r="B86" s="2" t="s">
        <v>1162</v>
      </c>
      <c r="C86" s="2" t="s">
        <v>1294</v>
      </c>
      <c r="D86" s="2" t="s">
        <v>1346</v>
      </c>
      <c r="E86" s="2" t="s">
        <v>1355</v>
      </c>
      <c r="F86" s="2" t="s">
        <v>1356</v>
      </c>
      <c r="G86" s="2" t="s">
        <v>1032</v>
      </c>
      <c r="H86" s="2" t="s">
        <v>1357</v>
      </c>
      <c r="I86" s="2" t="s">
        <v>1358</v>
      </c>
      <c r="J86" s="2" t="s">
        <v>1359</v>
      </c>
      <c r="K86" s="2" t="s">
        <v>1360</v>
      </c>
      <c r="V86" s="6" t="str">
        <f>H86&amp;" OR "&amp;I86&amp;" OR "&amp;J86&amp;" OR "&amp;K86</f>
        <v>CRTE3B OR CRTE5B OR CRTE3BF OR CRTE5BF</v>
      </c>
      <c r="W8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v>
      </c>
      <c r="X86"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v>
      </c>
    </row>
    <row r="87">
      <c r="A87" s="2">
        <v>2.0</v>
      </c>
      <c r="B87" s="2" t="s">
        <v>1162</v>
      </c>
      <c r="C87" s="2" t="s">
        <v>1294</v>
      </c>
      <c r="D87" s="2" t="s">
        <v>1346</v>
      </c>
      <c r="E87" s="2" t="s">
        <v>1361</v>
      </c>
      <c r="F87" s="24" t="s">
        <v>1362</v>
      </c>
      <c r="G87" s="2"/>
      <c r="H87" s="6" t="s">
        <v>1362</v>
      </c>
      <c r="V87" s="6" t="str">
        <f t="shared" ref="V87:V89" si="16">H87</f>
        <v>ERDV</v>
      </c>
      <c r="W8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v>
      </c>
      <c r="X87"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v>
      </c>
    </row>
    <row r="88">
      <c r="A88" s="2">
        <v>2.0</v>
      </c>
      <c r="B88" s="2" t="s">
        <v>1162</v>
      </c>
      <c r="C88" s="2" t="s">
        <v>1294</v>
      </c>
      <c r="D88" s="2" t="s">
        <v>1346</v>
      </c>
      <c r="E88" s="2" t="s">
        <v>1363</v>
      </c>
      <c r="F88" s="24" t="s">
        <v>1364</v>
      </c>
      <c r="G88" s="2"/>
      <c r="H88" s="6" t="s">
        <v>1364</v>
      </c>
      <c r="V88" s="6" t="str">
        <f t="shared" si="16"/>
        <v>ECNT</v>
      </c>
      <c r="W8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v>
      </c>
      <c r="X88"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v>
      </c>
    </row>
    <row r="89">
      <c r="A89" s="2">
        <v>2.0</v>
      </c>
      <c r="B89" s="2" t="s">
        <v>1162</v>
      </c>
      <c r="C89" s="2" t="s">
        <v>1294</v>
      </c>
      <c r="D89" s="2" t="s">
        <v>1346</v>
      </c>
      <c r="E89" s="2" t="s">
        <v>1365</v>
      </c>
      <c r="F89" s="24" t="s">
        <v>1366</v>
      </c>
      <c r="G89" s="2"/>
      <c r="H89" s="6" t="s">
        <v>1366</v>
      </c>
      <c r="V89" s="6" t="str">
        <f t="shared" si="16"/>
        <v>ASCP</v>
      </c>
      <c r="W8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v>
      </c>
      <c r="X89"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v>
      </c>
    </row>
    <row r="90">
      <c r="A90" s="2">
        <v>2.0</v>
      </c>
      <c r="B90" s="2" t="s">
        <v>1162</v>
      </c>
      <c r="C90" s="2" t="s">
        <v>1294</v>
      </c>
      <c r="D90" s="2" t="s">
        <v>1346</v>
      </c>
      <c r="E90" s="2" t="s">
        <v>1367</v>
      </c>
      <c r="F90" s="2" t="s">
        <v>1368</v>
      </c>
      <c r="G90" s="2" t="s">
        <v>1001</v>
      </c>
      <c r="H90" s="2" t="s">
        <v>1369</v>
      </c>
      <c r="I90" s="2" t="s">
        <v>1370</v>
      </c>
      <c r="V90" s="6" t="str">
        <f>H90&amp;" OR "&amp;I90</f>
        <v>ECOR3 OR ECOR3F</v>
      </c>
      <c r="W9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v>
      </c>
      <c r="X90"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v>
      </c>
    </row>
    <row r="91">
      <c r="A91" s="2">
        <v>2.0</v>
      </c>
      <c r="B91" s="2" t="s">
        <v>1162</v>
      </c>
      <c r="C91" s="2" t="s">
        <v>1294</v>
      </c>
      <c r="D91" s="2" t="s">
        <v>1346</v>
      </c>
      <c r="E91" s="2" t="s">
        <v>1371</v>
      </c>
      <c r="F91" s="2" t="s">
        <v>1372</v>
      </c>
      <c r="G91" s="2"/>
      <c r="H91" s="2" t="s">
        <v>1372</v>
      </c>
      <c r="V91" s="6" t="str">
        <f t="shared" ref="V91:V95" si="17">H91</f>
        <v>ECOV</v>
      </c>
      <c r="W9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v>
      </c>
      <c r="X91"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v>
      </c>
    </row>
    <row r="92">
      <c r="A92" s="2">
        <v>2.0</v>
      </c>
      <c r="B92" s="2" t="s">
        <v>1162</v>
      </c>
      <c r="C92" s="2" t="s">
        <v>1294</v>
      </c>
      <c r="D92" s="2" t="s">
        <v>1346</v>
      </c>
      <c r="E92" s="2" t="s">
        <v>1373</v>
      </c>
      <c r="F92" s="24" t="s">
        <v>1374</v>
      </c>
      <c r="G92" s="2"/>
      <c r="H92" s="6" t="s">
        <v>1374</v>
      </c>
      <c r="V92" s="6" t="str">
        <f t="shared" si="17"/>
        <v>COLN</v>
      </c>
      <c r="W9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v>
      </c>
      <c r="X92"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v>
      </c>
    </row>
    <row r="93">
      <c r="A93" s="2">
        <v>2.0</v>
      </c>
      <c r="B93" s="2" t="s">
        <v>1162</v>
      </c>
      <c r="C93" s="2" t="s">
        <v>1294</v>
      </c>
      <c r="D93" s="2" t="s">
        <v>1346</v>
      </c>
      <c r="E93" s="2" t="s">
        <v>1375</v>
      </c>
      <c r="F93" s="2" t="s">
        <v>1376</v>
      </c>
      <c r="G93" s="2"/>
      <c r="H93" s="2" t="s">
        <v>1376</v>
      </c>
      <c r="V93" s="6" t="str">
        <f t="shared" si="17"/>
        <v>RDVT</v>
      </c>
      <c r="W9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v>
      </c>
      <c r="X93"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v>
      </c>
    </row>
    <row r="94">
      <c r="A94" s="2">
        <v>2.0</v>
      </c>
      <c r="B94" s="2" t="s">
        <v>1162</v>
      </c>
      <c r="C94" s="2" t="s">
        <v>1294</v>
      </c>
      <c r="D94" s="2" t="s">
        <v>1346</v>
      </c>
      <c r="E94" s="2" t="s">
        <v>1377</v>
      </c>
      <c r="F94" s="24" t="s">
        <v>1378</v>
      </c>
      <c r="G94" s="2"/>
      <c r="H94" s="6" t="s">
        <v>1378</v>
      </c>
      <c r="V94" s="6" t="str">
        <f t="shared" si="17"/>
        <v>CRBD</v>
      </c>
      <c r="W9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v>
      </c>
      <c r="X94"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v>
      </c>
    </row>
    <row r="95">
      <c r="A95" s="2">
        <v>2.0</v>
      </c>
      <c r="B95" s="2" t="s">
        <v>1162</v>
      </c>
      <c r="C95" s="2" t="s">
        <v>1294</v>
      </c>
      <c r="D95" s="2" t="s">
        <v>1346</v>
      </c>
      <c r="E95" s="2" t="s">
        <v>1379</v>
      </c>
      <c r="F95" s="24" t="s">
        <v>1380</v>
      </c>
      <c r="G95" s="2"/>
      <c r="H95" s="6" t="s">
        <v>1380</v>
      </c>
      <c r="V95" s="6" t="str">
        <f t="shared" si="17"/>
        <v>TRIA</v>
      </c>
      <c r="W9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v>
      </c>
      <c r="X95"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v>
      </c>
    </row>
    <row r="96">
      <c r="A96" s="2">
        <v>1.0</v>
      </c>
      <c r="B96" s="2" t="s">
        <v>1162</v>
      </c>
      <c r="C96" s="2" t="s">
        <v>1294</v>
      </c>
      <c r="D96" s="2" t="s">
        <v>1346</v>
      </c>
      <c r="E96" s="2" t="s">
        <v>1381</v>
      </c>
      <c r="F96" s="2" t="s">
        <v>1382</v>
      </c>
      <c r="G96" s="2" t="s">
        <v>1001</v>
      </c>
      <c r="H96" s="22" t="str">
        <f>VLOOKUP(E96,'Lista Infomoney'!B:H,2,FALSE)</f>
        <v>TPIS3F</v>
      </c>
      <c r="I96" s="22" t="str">
        <f>VLOOKUP(E96,'Lista Infomoney'!B:F,3,FALSE)</f>
        <v>TPIS3</v>
      </c>
      <c r="J96" s="6" t="str">
        <f>VLOOKUP(E96,'Lista Infomoney'!B:F,4,FALSE)</f>
        <v/>
      </c>
      <c r="K96" s="6" t="str">
        <f>VLOOKUP(E96,'Lista Infomoney'!B:F,5,FALSE)</f>
        <v/>
      </c>
      <c r="V96" s="6" t="str">
        <f>H96&amp;" OR "&amp;I96</f>
        <v>TPIS3F OR TPIS3</v>
      </c>
      <c r="W9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v>
      </c>
      <c r="X96"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v>
      </c>
    </row>
    <row r="97">
      <c r="A97" s="2">
        <v>2.0</v>
      </c>
      <c r="B97" s="2" t="s">
        <v>1162</v>
      </c>
      <c r="C97" s="2" t="s">
        <v>1294</v>
      </c>
      <c r="D97" s="2" t="s">
        <v>1346</v>
      </c>
      <c r="E97" s="2" t="s">
        <v>1383</v>
      </c>
      <c r="F97" s="24" t="s">
        <v>1384</v>
      </c>
      <c r="G97" s="2"/>
      <c r="H97" s="6" t="s">
        <v>1384</v>
      </c>
      <c r="V97" s="6" t="str">
        <f t="shared" ref="V97:V99" si="18">H97</f>
        <v>VOES</v>
      </c>
      <c r="W9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v>
      </c>
      <c r="X97"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v>
      </c>
    </row>
    <row r="98">
      <c r="A98" s="2">
        <v>2.0</v>
      </c>
      <c r="B98" s="2" t="s">
        <v>1162</v>
      </c>
      <c r="C98" s="2" t="s">
        <v>1294</v>
      </c>
      <c r="D98" s="2" t="s">
        <v>1385</v>
      </c>
      <c r="E98" s="2" t="s">
        <v>1386</v>
      </c>
      <c r="F98" s="2" t="s">
        <v>1387</v>
      </c>
      <c r="G98" s="2" t="s">
        <v>1032</v>
      </c>
      <c r="H98" s="2" t="s">
        <v>1387</v>
      </c>
      <c r="V98" s="6" t="str">
        <f t="shared" si="18"/>
        <v>AGRU</v>
      </c>
      <c r="W9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v>
      </c>
      <c r="X98"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v>
      </c>
    </row>
    <row r="99">
      <c r="A99" s="2">
        <v>2.0</v>
      </c>
      <c r="B99" s="2" t="s">
        <v>1162</v>
      </c>
      <c r="C99" s="2" t="s">
        <v>1294</v>
      </c>
      <c r="D99" s="2" t="s">
        <v>1385</v>
      </c>
      <c r="E99" s="2" t="s">
        <v>1388</v>
      </c>
      <c r="F99" s="2" t="s">
        <v>1389</v>
      </c>
      <c r="G99" s="2"/>
      <c r="H99" s="25" t="s">
        <v>1390</v>
      </c>
      <c r="V99" s="6" t="str">
        <f t="shared" si="18"/>
        <v>PSVM11</v>
      </c>
      <c r="W9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v>
      </c>
      <c r="X99"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v>
      </c>
    </row>
    <row r="100">
      <c r="A100" s="2">
        <v>2.0</v>
      </c>
      <c r="B100" s="2" t="s">
        <v>1162</v>
      </c>
      <c r="C100" s="2" t="s">
        <v>1294</v>
      </c>
      <c r="D100" s="2" t="s">
        <v>1385</v>
      </c>
      <c r="E100" s="2" t="s">
        <v>1391</v>
      </c>
      <c r="F100" s="2" t="s">
        <v>1392</v>
      </c>
      <c r="G100" s="2" t="s">
        <v>1032</v>
      </c>
      <c r="H100" s="2" t="s">
        <v>1393</v>
      </c>
      <c r="I100" s="2" t="s">
        <v>1394</v>
      </c>
      <c r="J100" s="2" t="s">
        <v>1395</v>
      </c>
      <c r="K100" s="2" t="s">
        <v>1396</v>
      </c>
      <c r="V100" s="6" t="str">
        <f>H100&amp;" OR "&amp;I100&amp;" OR "&amp;J100&amp;" OR "&amp;K100</f>
        <v>IVPR3B OR IVPR4B OR IVPR3BF OR IVPR4BF</v>
      </c>
      <c r="W10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v>
      </c>
      <c r="X100"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v>
      </c>
    </row>
    <row r="101">
      <c r="A101" s="2">
        <v>2.0</v>
      </c>
      <c r="B101" s="2" t="s">
        <v>1162</v>
      </c>
      <c r="C101" s="2" t="s">
        <v>1294</v>
      </c>
      <c r="D101" s="2" t="s">
        <v>1385</v>
      </c>
      <c r="E101" s="2" t="s">
        <v>1397</v>
      </c>
      <c r="F101" s="24" t="s">
        <v>1398</v>
      </c>
      <c r="G101" s="2"/>
      <c r="H101" s="6" t="s">
        <v>1398</v>
      </c>
      <c r="V101" s="6" t="str">
        <f>H101</f>
        <v>SAIP</v>
      </c>
      <c r="W10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v>
      </c>
      <c r="X101"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v>
      </c>
    </row>
    <row r="102">
      <c r="A102" s="2">
        <v>1.0</v>
      </c>
      <c r="B102" s="2" t="s">
        <v>1162</v>
      </c>
      <c r="C102" s="2" t="s">
        <v>1294</v>
      </c>
      <c r="D102" s="2" t="s">
        <v>1385</v>
      </c>
      <c r="E102" s="2" t="s">
        <v>70</v>
      </c>
      <c r="F102" s="2" t="s">
        <v>163</v>
      </c>
      <c r="G102" s="2" t="s">
        <v>1001</v>
      </c>
      <c r="H102" s="22" t="str">
        <f>VLOOKUP(E102,'Lista Infomoney'!B:H,2,FALSE)</f>
        <v>STBP3F</v>
      </c>
      <c r="I102" s="2" t="s">
        <v>163</v>
      </c>
      <c r="J102" s="6" t="str">
        <f>VLOOKUP(E102,'Lista Infomoney'!B:F,4,FALSE)</f>
        <v/>
      </c>
      <c r="K102" s="6" t="str">
        <f>VLOOKUP(E102,'Lista Infomoney'!B:F,5,FALSE)</f>
        <v/>
      </c>
      <c r="V102" s="6" t="str">
        <f t="shared" ref="V102:V103" si="19">H102&amp;" OR "&amp;I102</f>
        <v>STBP3F OR STBP3</v>
      </c>
      <c r="W10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v>
      </c>
      <c r="X102"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v>
      </c>
    </row>
    <row r="103">
      <c r="A103" s="2">
        <v>2.0</v>
      </c>
      <c r="B103" s="2" t="s">
        <v>1162</v>
      </c>
      <c r="C103" s="2" t="s">
        <v>1294</v>
      </c>
      <c r="D103" s="2" t="s">
        <v>1385</v>
      </c>
      <c r="E103" s="2" t="s">
        <v>1399</v>
      </c>
      <c r="F103" s="2" t="s">
        <v>1400</v>
      </c>
      <c r="G103" s="2" t="s">
        <v>1401</v>
      </c>
      <c r="H103" s="2" t="s">
        <v>1402</v>
      </c>
      <c r="I103" s="2" t="s">
        <v>1403</v>
      </c>
      <c r="V103" s="6" t="str">
        <f t="shared" si="19"/>
        <v>WSON33 OR WSON33F</v>
      </c>
      <c r="W10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v>
      </c>
      <c r="X103"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v>
      </c>
    </row>
    <row r="104">
      <c r="A104" s="2">
        <v>2.0</v>
      </c>
      <c r="B104" s="2" t="s">
        <v>1162</v>
      </c>
      <c r="C104" s="2" t="s">
        <v>1197</v>
      </c>
      <c r="D104" s="2" t="s">
        <v>1197</v>
      </c>
      <c r="E104" s="2" t="s">
        <v>1404</v>
      </c>
      <c r="F104" s="2" t="s">
        <v>1405</v>
      </c>
      <c r="G104" s="2" t="s">
        <v>1001</v>
      </c>
      <c r="H104" s="2" t="s">
        <v>1406</v>
      </c>
      <c r="V104" s="6" t="str">
        <f t="shared" ref="V104:V106" si="20">H104</f>
        <v>ATMP3</v>
      </c>
      <c r="W10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v>
      </c>
      <c r="X104"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v>
      </c>
    </row>
    <row r="105">
      <c r="A105" s="2">
        <v>1.0</v>
      </c>
      <c r="B105" s="2" t="s">
        <v>1162</v>
      </c>
      <c r="C105" s="2" t="s">
        <v>1197</v>
      </c>
      <c r="D105" s="2" t="s">
        <v>1197</v>
      </c>
      <c r="E105" s="2" t="s">
        <v>1407</v>
      </c>
      <c r="F105" s="2" t="s">
        <v>1408</v>
      </c>
      <c r="G105" s="2" t="s">
        <v>1001</v>
      </c>
      <c r="H105" s="22" t="str">
        <f>VLOOKUP(E105,'Lista Infomoney'!B:H,2,FALSE)</f>
        <v>AMBP3</v>
      </c>
      <c r="I105" s="6" t="str">
        <f>VLOOKUP(E105,'Lista Infomoney'!B:F,3,FALSE)</f>
        <v/>
      </c>
      <c r="J105" s="6" t="str">
        <f>VLOOKUP(E105,'Lista Infomoney'!B:F,4,FALSE)</f>
        <v/>
      </c>
      <c r="K105" s="6" t="str">
        <f>VLOOKUP(E105,'Lista Infomoney'!B:F,5,FALSE)</f>
        <v/>
      </c>
      <c r="V105" s="22" t="str">
        <f t="shared" si="20"/>
        <v>AMBP3</v>
      </c>
      <c r="W10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v>
      </c>
      <c r="X105"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v>
      </c>
    </row>
    <row r="106">
      <c r="A106" s="2">
        <v>2.0</v>
      </c>
      <c r="B106" s="2" t="s">
        <v>1162</v>
      </c>
      <c r="C106" s="2" t="s">
        <v>1197</v>
      </c>
      <c r="D106" s="2" t="s">
        <v>1197</v>
      </c>
      <c r="E106" s="2" t="s">
        <v>1409</v>
      </c>
      <c r="F106" s="2" t="s">
        <v>1410</v>
      </c>
      <c r="G106" s="2" t="s">
        <v>1107</v>
      </c>
      <c r="H106" s="2" t="s">
        <v>1411</v>
      </c>
      <c r="V106" s="6" t="str">
        <f t="shared" si="20"/>
        <v>BBML3</v>
      </c>
      <c r="W10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v>
      </c>
      <c r="X106"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v>
      </c>
    </row>
    <row r="107">
      <c r="A107" s="2">
        <v>1.0</v>
      </c>
      <c r="B107" s="2" t="s">
        <v>1162</v>
      </c>
      <c r="C107" s="2" t="s">
        <v>1197</v>
      </c>
      <c r="D107" s="2" t="s">
        <v>1197</v>
      </c>
      <c r="E107" s="2" t="s">
        <v>1412</v>
      </c>
      <c r="F107" s="2" t="s">
        <v>1413</v>
      </c>
      <c r="G107" s="2" t="s">
        <v>1001</v>
      </c>
      <c r="H107" s="22" t="str">
        <f>VLOOKUP(E107,'Lista Infomoney'!B:H,2,FALSE)</f>
        <v>CARD3F</v>
      </c>
      <c r="I107" s="22" t="str">
        <f>VLOOKUP(E107,'Lista Infomoney'!B:F,3,FALSE)</f>
        <v>CARD3</v>
      </c>
      <c r="J107" s="6" t="str">
        <f>VLOOKUP(E107,'Lista Infomoney'!B:F,4,FALSE)</f>
        <v/>
      </c>
      <c r="K107" s="6" t="str">
        <f>VLOOKUP(E107,'Lista Infomoney'!B:F,5,FALSE)</f>
        <v/>
      </c>
      <c r="V107" s="6" t="str">
        <f>H107&amp;" OR "&amp;I107</f>
        <v>CARD3F OR CARD3</v>
      </c>
      <c r="W10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v>
      </c>
      <c r="X107"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v>
      </c>
    </row>
    <row r="108">
      <c r="A108" s="2">
        <v>2.0</v>
      </c>
      <c r="B108" s="2" t="s">
        <v>1162</v>
      </c>
      <c r="C108" s="2" t="s">
        <v>1197</v>
      </c>
      <c r="D108" s="2" t="s">
        <v>1197</v>
      </c>
      <c r="E108" s="2" t="s">
        <v>1414</v>
      </c>
      <c r="F108" s="2" t="s">
        <v>1415</v>
      </c>
      <c r="G108" s="2"/>
      <c r="H108" s="25" t="s">
        <v>1416</v>
      </c>
      <c r="V108" s="6" t="str">
        <f t="shared" ref="V108:V110" si="21">H108</f>
        <v>DTCY3</v>
      </c>
      <c r="W10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v>
      </c>
      <c r="X108"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v>
      </c>
    </row>
    <row r="109">
      <c r="A109" s="2">
        <v>1.0</v>
      </c>
      <c r="B109" s="2" t="s">
        <v>1162</v>
      </c>
      <c r="C109" s="2" t="s">
        <v>1197</v>
      </c>
      <c r="D109" s="2" t="s">
        <v>1197</v>
      </c>
      <c r="E109" s="2" t="s">
        <v>36</v>
      </c>
      <c r="F109" s="2" t="s">
        <v>1417</v>
      </c>
      <c r="G109" s="2" t="s">
        <v>1001</v>
      </c>
      <c r="H109" s="22" t="str">
        <f>VLOOKUP(E109,'Lista Infomoney'!B:H,2,FALSE)</f>
        <v>ALPK3</v>
      </c>
      <c r="I109" s="6" t="str">
        <f>VLOOKUP(E109,'Lista Infomoney'!B:F,3,FALSE)</f>
        <v/>
      </c>
      <c r="J109" s="6" t="str">
        <f>VLOOKUP(E109,'Lista Infomoney'!B:F,4,FALSE)</f>
        <v/>
      </c>
      <c r="K109" s="6" t="str">
        <f>VLOOKUP(E109,'Lista Infomoney'!B:F,5,FALSE)</f>
        <v/>
      </c>
      <c r="V109" s="22" t="str">
        <f t="shared" si="21"/>
        <v>ALPK3</v>
      </c>
      <c r="W10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v>
      </c>
      <c r="X109"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v>
      </c>
    </row>
    <row r="110">
      <c r="A110" s="2">
        <v>2.0</v>
      </c>
      <c r="B110" s="2" t="s">
        <v>1162</v>
      </c>
      <c r="C110" s="2" t="s">
        <v>1197</v>
      </c>
      <c r="D110" s="2" t="s">
        <v>1197</v>
      </c>
      <c r="E110" s="2" t="s">
        <v>1418</v>
      </c>
      <c r="F110" s="2" t="s">
        <v>1419</v>
      </c>
      <c r="G110" s="2" t="s">
        <v>1107</v>
      </c>
      <c r="H110" s="2" t="s">
        <v>1420</v>
      </c>
      <c r="V110" s="6" t="str">
        <f t="shared" si="21"/>
        <v>FLEX3</v>
      </c>
      <c r="W11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v>
      </c>
      <c r="X110"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v>
      </c>
    </row>
    <row r="111">
      <c r="A111" s="2">
        <v>2.0</v>
      </c>
      <c r="B111" s="2" t="s">
        <v>1162</v>
      </c>
      <c r="C111" s="2" t="s">
        <v>1197</v>
      </c>
      <c r="D111" s="2" t="s">
        <v>1197</v>
      </c>
      <c r="E111" s="2" t="s">
        <v>1421</v>
      </c>
      <c r="F111" s="2" t="s">
        <v>1422</v>
      </c>
      <c r="G111" s="2" t="s">
        <v>1107</v>
      </c>
      <c r="H111" s="2" t="s">
        <v>1423</v>
      </c>
      <c r="I111" s="2" t="s">
        <v>1424</v>
      </c>
      <c r="V111" s="6" t="str">
        <f>H111&amp;" OR "&amp;I111</f>
        <v>PRNR3 OR PRNR3F</v>
      </c>
      <c r="W11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v>
      </c>
      <c r="X111"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v>
      </c>
    </row>
    <row r="112">
      <c r="A112" s="2">
        <v>2.0</v>
      </c>
      <c r="B112" s="2" t="s">
        <v>1162</v>
      </c>
      <c r="C112" s="2" t="s">
        <v>1197</v>
      </c>
      <c r="D112" s="2" t="s">
        <v>1197</v>
      </c>
      <c r="E112" s="2" t="s">
        <v>1425</v>
      </c>
      <c r="F112" s="2" t="s">
        <v>1426</v>
      </c>
      <c r="G112" s="2" t="s">
        <v>1001</v>
      </c>
      <c r="H112" s="2" t="s">
        <v>1427</v>
      </c>
      <c r="V112" s="6" t="str">
        <f>H112</f>
        <v>SEQL3</v>
      </c>
      <c r="W11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v>
      </c>
      <c r="X112"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v>
      </c>
    </row>
    <row r="113">
      <c r="A113" s="2">
        <v>1.0</v>
      </c>
      <c r="B113" s="2" t="s">
        <v>1162</v>
      </c>
      <c r="C113" s="2" t="s">
        <v>1197</v>
      </c>
      <c r="D113" s="2" t="s">
        <v>1197</v>
      </c>
      <c r="E113" s="2" t="s">
        <v>1428</v>
      </c>
      <c r="F113" s="2" t="s">
        <v>1429</v>
      </c>
      <c r="G113" s="2" t="s">
        <v>1001</v>
      </c>
      <c r="H113" s="22" t="str">
        <f>VLOOKUP(E113,'Lista Infomoney'!B:H,2,FALSE)</f>
        <v>VLID3F</v>
      </c>
      <c r="I113" s="22" t="str">
        <f>VLOOKUP(E113,'Lista Infomoney'!B:F,3,FALSE)</f>
        <v>VLID3</v>
      </c>
      <c r="J113" s="6" t="str">
        <f>VLOOKUP(E113,'Lista Infomoney'!B:F,4,FALSE)</f>
        <v/>
      </c>
      <c r="K113" s="6" t="str">
        <f>VLOOKUP(E113,'Lista Infomoney'!B:F,5,FALSE)</f>
        <v/>
      </c>
      <c r="V113" s="6" t="str">
        <f>H113&amp;" OR "&amp;I113</f>
        <v>VLID3F OR VLID3</v>
      </c>
      <c r="W11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v>
      </c>
      <c r="X113"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v>
      </c>
    </row>
    <row r="114">
      <c r="A114" s="2">
        <v>1.0</v>
      </c>
      <c r="B114" s="2" t="s">
        <v>1162</v>
      </c>
      <c r="C114" s="2" t="s">
        <v>1430</v>
      </c>
      <c r="D114" s="2" t="s">
        <v>1202</v>
      </c>
      <c r="E114" s="2" t="s">
        <v>1431</v>
      </c>
      <c r="F114" s="2" t="s">
        <v>1432</v>
      </c>
      <c r="G114" s="2" t="s">
        <v>1433</v>
      </c>
      <c r="H114" s="22" t="str">
        <f>VLOOKUP(E114,'Lista Infomoney'!B:H,2,FALSE)</f>
        <v>BTTL3F</v>
      </c>
      <c r="I114" s="22" t="str">
        <f>VLOOKUP(E114,'Lista Infomoney'!B:F,3,FALSE)</f>
        <v>BTTL3</v>
      </c>
      <c r="J114" s="2" t="s">
        <v>1434</v>
      </c>
      <c r="K114" s="6" t="str">
        <f>VLOOKUP(E114,'Lista Infomoney'!B:F,5,FALSE)</f>
        <v/>
      </c>
      <c r="V114" s="6" t="str">
        <f>H114&amp;" OR "&amp;I114&amp;" OR "&amp;J114</f>
        <v>BTTL3F OR BTTL3 OR BTTL4F</v>
      </c>
      <c r="W11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v>
      </c>
      <c r="X114"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v>
      </c>
    </row>
    <row r="115">
      <c r="A115" s="2">
        <v>2.0</v>
      </c>
      <c r="B115" s="2" t="s">
        <v>1162</v>
      </c>
      <c r="C115" s="2" t="s">
        <v>1430</v>
      </c>
      <c r="D115" s="2" t="s">
        <v>1202</v>
      </c>
      <c r="E115" s="2" t="s">
        <v>1435</v>
      </c>
      <c r="F115" s="2" t="s">
        <v>1436</v>
      </c>
      <c r="G115" s="2"/>
      <c r="H115" s="2" t="s">
        <v>1437</v>
      </c>
      <c r="I115" s="2" t="s">
        <v>1438</v>
      </c>
      <c r="J115" s="2" t="s">
        <v>1439</v>
      </c>
      <c r="K115" s="2" t="s">
        <v>1440</v>
      </c>
      <c r="V115" s="6" t="str">
        <f>H115&amp;" OR "&amp;I115&amp;" OR "&amp;J115&amp;" OR "&amp;K115</f>
        <v>MMAQ3 OR MMAQ4 OR MMAQ3F OR MMAQ4F</v>
      </c>
      <c r="W11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v>
      </c>
      <c r="X115"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v>
      </c>
    </row>
    <row r="116">
      <c r="A116" s="2">
        <v>2.0</v>
      </c>
      <c r="B116" s="2" t="s">
        <v>1162</v>
      </c>
      <c r="C116" s="2" t="s">
        <v>1430</v>
      </c>
      <c r="D116" s="2" t="s">
        <v>1202</v>
      </c>
      <c r="E116" s="2" t="s">
        <v>1441</v>
      </c>
      <c r="F116" s="2" t="s">
        <v>1442</v>
      </c>
      <c r="G116" s="2"/>
      <c r="H116" s="25" t="s">
        <v>1443</v>
      </c>
      <c r="V116" s="6" t="str">
        <f>H116</f>
        <v>WLMM4</v>
      </c>
      <c r="W11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v>
      </c>
      <c r="X116"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v>
      </c>
    </row>
    <row r="117">
      <c r="A117" s="2">
        <v>2.0</v>
      </c>
      <c r="B117" s="2" t="s">
        <v>1444</v>
      </c>
      <c r="C117" s="2" t="s">
        <v>1445</v>
      </c>
      <c r="D117" s="2" t="s">
        <v>1446</v>
      </c>
      <c r="E117" s="2" t="s">
        <v>1447</v>
      </c>
      <c r="F117" s="2" t="s">
        <v>1448</v>
      </c>
      <c r="G117" s="2"/>
      <c r="H117" s="25" t="s">
        <v>1449</v>
      </c>
      <c r="I117" s="26" t="s">
        <v>1450</v>
      </c>
      <c r="V117" s="6" t="str">
        <f t="shared" ref="V117:V118" si="22">H117&amp;" OR "&amp;I117</f>
        <v>APTI3 OR APTI4</v>
      </c>
      <c r="W11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v>
      </c>
      <c r="X117"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v>
      </c>
    </row>
    <row r="118">
      <c r="A118" s="2">
        <v>1.0</v>
      </c>
      <c r="B118" s="2" t="s">
        <v>1444</v>
      </c>
      <c r="C118" s="2" t="s">
        <v>1445</v>
      </c>
      <c r="D118" s="2" t="s">
        <v>1446</v>
      </c>
      <c r="E118" s="2" t="s">
        <v>1451</v>
      </c>
      <c r="F118" s="2" t="s">
        <v>1452</v>
      </c>
      <c r="G118" s="2" t="s">
        <v>1001</v>
      </c>
      <c r="H118" s="22" t="str">
        <f>VLOOKUP(E118,'Lista Infomoney'!B:H,2,FALSE)</f>
        <v>AGRO3F</v>
      </c>
      <c r="I118" s="22" t="str">
        <f>VLOOKUP(E118,'Lista Infomoney'!B:F,3,FALSE)</f>
        <v>AGRO3</v>
      </c>
      <c r="J118" s="6" t="str">
        <f>VLOOKUP(E118,'Lista Infomoney'!B:F,4,FALSE)</f>
        <v/>
      </c>
      <c r="K118" s="6" t="str">
        <f>VLOOKUP(E118,'Lista Infomoney'!B:F,5,FALSE)</f>
        <v/>
      </c>
      <c r="V118" s="6" t="str">
        <f t="shared" si="22"/>
        <v>AGRO3F OR AGRO3</v>
      </c>
      <c r="W11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v>
      </c>
      <c r="X118"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v>
      </c>
    </row>
    <row r="119">
      <c r="A119" s="2">
        <v>2.0</v>
      </c>
      <c r="B119" s="2" t="s">
        <v>1444</v>
      </c>
      <c r="C119" s="2" t="s">
        <v>1445</v>
      </c>
      <c r="D119" s="2" t="s">
        <v>1446</v>
      </c>
      <c r="E119" s="2" t="s">
        <v>1453</v>
      </c>
      <c r="F119" s="2" t="s">
        <v>1454</v>
      </c>
      <c r="G119" s="2" t="s">
        <v>1001</v>
      </c>
      <c r="H119" s="2" t="s">
        <v>1455</v>
      </c>
      <c r="I119" s="2" t="s">
        <v>1456</v>
      </c>
      <c r="J119" s="2" t="s">
        <v>1457</v>
      </c>
      <c r="V119" s="6" t="str">
        <f>H119&amp;" OR "&amp;I119&amp;" OR "&amp;J119</f>
        <v>FRTA3 OR FRTA3F OR FRTA1F</v>
      </c>
      <c r="W11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v>
      </c>
      <c r="X119"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v>
      </c>
    </row>
    <row r="120">
      <c r="A120" s="2">
        <v>2.0</v>
      </c>
      <c r="B120" s="2" t="s">
        <v>1444</v>
      </c>
      <c r="C120" s="2" t="s">
        <v>1445</v>
      </c>
      <c r="D120" s="2" t="s">
        <v>1446</v>
      </c>
      <c r="E120" s="2" t="s">
        <v>1458</v>
      </c>
      <c r="F120" s="2" t="s">
        <v>1459</v>
      </c>
      <c r="G120" s="2" t="s">
        <v>1001</v>
      </c>
      <c r="H120" s="2" t="s">
        <v>1460</v>
      </c>
      <c r="I120" s="2" t="s">
        <v>1461</v>
      </c>
      <c r="V120" s="6" t="str">
        <f>H120&amp;" OR "&amp;I120</f>
        <v>SLCE3 OR SLCE3F</v>
      </c>
      <c r="W12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v>
      </c>
      <c r="X120"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v>
      </c>
    </row>
    <row r="121">
      <c r="A121" s="2">
        <v>2.0</v>
      </c>
      <c r="B121" s="2" t="s">
        <v>1444</v>
      </c>
      <c r="C121" s="2" t="s">
        <v>1445</v>
      </c>
      <c r="D121" s="2" t="s">
        <v>1446</v>
      </c>
      <c r="E121" s="2" t="s">
        <v>1462</v>
      </c>
      <c r="F121" s="2" t="s">
        <v>1463</v>
      </c>
      <c r="G121" s="2" t="s">
        <v>1001</v>
      </c>
      <c r="H121" s="2" t="s">
        <v>1464</v>
      </c>
      <c r="I121" s="2" t="s">
        <v>1465</v>
      </c>
      <c r="J121" s="2" t="s">
        <v>1466</v>
      </c>
      <c r="V121" s="6" t="str">
        <f>H121&amp;" OR "&amp;I121&amp;" OR "&amp;J121</f>
        <v>TESA12 OR TESA3 OR TESA3F</v>
      </c>
      <c r="W12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v>
      </c>
      <c r="X121"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v>
      </c>
    </row>
    <row r="122">
      <c r="A122" s="2">
        <v>1.0</v>
      </c>
      <c r="B122" s="2" t="s">
        <v>1444</v>
      </c>
      <c r="C122" s="2" t="s">
        <v>1467</v>
      </c>
      <c r="D122" s="2" t="s">
        <v>1468</v>
      </c>
      <c r="E122" s="2" t="s">
        <v>1469</v>
      </c>
      <c r="F122" s="2" t="s">
        <v>1470</v>
      </c>
      <c r="G122" s="2" t="s">
        <v>1001</v>
      </c>
      <c r="H122" s="22" t="str">
        <f>VLOOKUP(E122,'Lista Infomoney'!B:H,2,FALSE)</f>
        <v>BSEV3F</v>
      </c>
      <c r="I122" s="22" t="str">
        <f>VLOOKUP(E122,'Lista Infomoney'!B:F,3,FALSE)</f>
        <v>BSEV3</v>
      </c>
      <c r="J122" s="6" t="str">
        <f>VLOOKUP(E122,'Lista Infomoney'!B:F,4,FALSE)</f>
        <v/>
      </c>
      <c r="K122" s="6" t="str">
        <f>VLOOKUP(E122,'Lista Infomoney'!B:F,5,FALSE)</f>
        <v/>
      </c>
      <c r="V122" s="6" t="str">
        <f>H122&amp;" OR "&amp;I122</f>
        <v>BSEV3F OR BSEV3</v>
      </c>
      <c r="W12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v>
      </c>
      <c r="X122"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v>
      </c>
    </row>
    <row r="123">
      <c r="A123" s="2">
        <v>2.0</v>
      </c>
      <c r="B123" s="2" t="s">
        <v>1444</v>
      </c>
      <c r="C123" s="2" t="s">
        <v>1467</v>
      </c>
      <c r="D123" s="2" t="s">
        <v>1468</v>
      </c>
      <c r="E123" s="2" t="s">
        <v>1471</v>
      </c>
      <c r="F123" s="24" t="s">
        <v>1472</v>
      </c>
      <c r="G123" s="2"/>
      <c r="H123" s="6" t="s">
        <v>1472</v>
      </c>
      <c r="V123" s="6" t="str">
        <f>H123</f>
        <v>RESA</v>
      </c>
      <c r="W12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v>
      </c>
      <c r="X123"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v>
      </c>
    </row>
    <row r="124">
      <c r="A124" s="2">
        <v>1.0</v>
      </c>
      <c r="B124" s="2" t="s">
        <v>1444</v>
      </c>
      <c r="C124" s="2" t="s">
        <v>1467</v>
      </c>
      <c r="D124" s="2" t="s">
        <v>1468</v>
      </c>
      <c r="E124" s="2" t="s">
        <v>1473</v>
      </c>
      <c r="F124" s="2" t="s">
        <v>1474</v>
      </c>
      <c r="G124" s="2" t="s">
        <v>1001</v>
      </c>
      <c r="H124" s="22" t="str">
        <f>VLOOKUP(E124,'Lista Infomoney'!B:H,2,FALSE)</f>
        <v>SMTO3F</v>
      </c>
      <c r="I124" s="22" t="str">
        <f>VLOOKUP(E124,'Lista Infomoney'!B:F,3,FALSE)</f>
        <v>SMTO3</v>
      </c>
      <c r="J124" s="6" t="str">
        <f>VLOOKUP(E124,'Lista Infomoney'!B:F,4,FALSE)</f>
        <v/>
      </c>
      <c r="K124" s="6" t="str">
        <f>VLOOKUP(E124,'Lista Infomoney'!B:F,5,FALSE)</f>
        <v/>
      </c>
      <c r="V124" s="6" t="str">
        <f t="shared" ref="V124:V125" si="23">H124&amp;" OR "&amp;I124</f>
        <v>SMTO3F OR SMTO3</v>
      </c>
      <c r="W12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v>
      </c>
      <c r="X124"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v>
      </c>
    </row>
    <row r="125">
      <c r="A125" s="2">
        <v>1.0</v>
      </c>
      <c r="B125" s="2" t="s">
        <v>1444</v>
      </c>
      <c r="C125" s="2" t="s">
        <v>1467</v>
      </c>
      <c r="D125" s="2" t="s">
        <v>1475</v>
      </c>
      <c r="E125" s="2" t="s">
        <v>373</v>
      </c>
      <c r="F125" s="2" t="s">
        <v>1476</v>
      </c>
      <c r="G125" s="2" t="s">
        <v>1001</v>
      </c>
      <c r="H125" s="22" t="str">
        <f>VLOOKUP(E125,'Lista Infomoney'!B:H,2,FALSE)</f>
        <v>BRFS3</v>
      </c>
      <c r="I125" s="2" t="s">
        <v>1477</v>
      </c>
      <c r="J125" s="6" t="str">
        <f>VLOOKUP(E125,'Lista Infomoney'!B:F,4,FALSE)</f>
        <v/>
      </c>
      <c r="K125" s="6" t="str">
        <f>VLOOKUP(E125,'Lista Infomoney'!B:F,5,FALSE)</f>
        <v/>
      </c>
      <c r="V125" s="6" t="str">
        <f t="shared" si="23"/>
        <v>BRFS3 OR BRFS3F</v>
      </c>
      <c r="W12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v>
      </c>
      <c r="X125"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v>
      </c>
    </row>
    <row r="126">
      <c r="A126" s="2">
        <v>2.0</v>
      </c>
      <c r="B126" s="2" t="s">
        <v>1444</v>
      </c>
      <c r="C126" s="2" t="s">
        <v>1467</v>
      </c>
      <c r="D126" s="2" t="s">
        <v>1475</v>
      </c>
      <c r="E126" s="2" t="s">
        <v>1478</v>
      </c>
      <c r="F126" s="2" t="s">
        <v>1479</v>
      </c>
      <c r="G126" s="2"/>
      <c r="H126" s="25" t="s">
        <v>1480</v>
      </c>
      <c r="V126" s="6" t="str">
        <f>H126</f>
        <v>BAUH4</v>
      </c>
      <c r="W12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v>
      </c>
      <c r="X126"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v>
      </c>
    </row>
    <row r="127">
      <c r="A127" s="2">
        <v>1.0</v>
      </c>
      <c r="B127" s="2" t="s">
        <v>1444</v>
      </c>
      <c r="C127" s="2" t="s">
        <v>1467</v>
      </c>
      <c r="D127" s="2" t="s">
        <v>1475</v>
      </c>
      <c r="E127" s="2" t="s">
        <v>369</v>
      </c>
      <c r="F127" s="2" t="s">
        <v>1481</v>
      </c>
      <c r="G127" s="2" t="s">
        <v>1001</v>
      </c>
      <c r="H127" s="22" t="str">
        <f>VLOOKUP(E127,'Lista Infomoney'!B:H,2,FALSE)</f>
        <v>JBSS3F</v>
      </c>
      <c r="I127" s="22" t="str">
        <f>VLOOKUP(E127,'Lista Infomoney'!B:F,3,FALSE)</f>
        <v>JBSS3</v>
      </c>
      <c r="J127" s="6" t="str">
        <f>VLOOKUP(E127,'Lista Infomoney'!B:F,4,FALSE)</f>
        <v/>
      </c>
      <c r="K127" s="6" t="str">
        <f>VLOOKUP(E127,'Lista Infomoney'!B:F,5,FALSE)</f>
        <v/>
      </c>
      <c r="V127" s="6" t="str">
        <f t="shared" ref="V127:V128" si="24">H127&amp;" OR "&amp;I127</f>
        <v>JBSS3F OR JBSS3</v>
      </c>
      <c r="W12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v>
      </c>
      <c r="X127"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v>
      </c>
    </row>
    <row r="128">
      <c r="A128" s="2">
        <v>1.0</v>
      </c>
      <c r="B128" s="2" t="s">
        <v>1444</v>
      </c>
      <c r="C128" s="2" t="s">
        <v>1467</v>
      </c>
      <c r="D128" s="2" t="s">
        <v>1475</v>
      </c>
      <c r="E128" s="2" t="s">
        <v>1482</v>
      </c>
      <c r="F128" s="2" t="s">
        <v>1483</v>
      </c>
      <c r="G128" s="2" t="s">
        <v>1001</v>
      </c>
      <c r="H128" s="22" t="str">
        <f>VLOOKUP(E128,'Lista Infomoney'!B:H,2,FALSE)</f>
        <v>MRFG3F</v>
      </c>
      <c r="I128" s="22" t="str">
        <f>VLOOKUP(E128,'Lista Infomoney'!B:F,3,FALSE)</f>
        <v>MRFG3</v>
      </c>
      <c r="J128" s="6" t="str">
        <f>VLOOKUP(E128,'Lista Infomoney'!B:F,4,FALSE)</f>
        <v/>
      </c>
      <c r="K128" s="6" t="str">
        <f>VLOOKUP(E128,'Lista Infomoney'!B:F,5,FALSE)</f>
        <v/>
      </c>
      <c r="V128" s="6" t="str">
        <f t="shared" si="24"/>
        <v>MRFG3F OR MRFG3</v>
      </c>
      <c r="W12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v>
      </c>
      <c r="X128"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v>
      </c>
    </row>
    <row r="129">
      <c r="A129" s="2">
        <v>1.0</v>
      </c>
      <c r="B129" s="2" t="s">
        <v>1444</v>
      </c>
      <c r="C129" s="2" t="s">
        <v>1467</v>
      </c>
      <c r="D129" s="2" t="s">
        <v>1475</v>
      </c>
      <c r="E129" s="2" t="s">
        <v>1484</v>
      </c>
      <c r="F129" s="2" t="s">
        <v>1485</v>
      </c>
      <c r="G129" s="2" t="s">
        <v>1001</v>
      </c>
      <c r="H129" s="22" t="str">
        <f>VLOOKUP(E129,'Lista Infomoney'!B:H,2,FALSE)</f>
        <v>BEEF3F</v>
      </c>
      <c r="I129" s="22" t="str">
        <f>VLOOKUP(E129,'Lista Infomoney'!B:F,3,FALSE)</f>
        <v>BEEF3</v>
      </c>
      <c r="J129" s="22" t="str">
        <f>VLOOKUP(E129,'Lista Infomoney'!B:F,4,FALSE)</f>
        <v>BEEF11</v>
      </c>
      <c r="K129" s="6" t="str">
        <f>VLOOKUP(E129,'Lista Infomoney'!B:F,5,FALSE)</f>
        <v/>
      </c>
      <c r="V129" s="6" t="str">
        <f>H129&amp;" OR "&amp;I129&amp;" OR "&amp;J129</f>
        <v>BEEF3F OR BEEF3 OR BEEF11</v>
      </c>
      <c r="W12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v>
      </c>
      <c r="X129"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v>
      </c>
    </row>
    <row r="130">
      <c r="A130" s="2">
        <v>2.0</v>
      </c>
      <c r="B130" s="2" t="s">
        <v>1444</v>
      </c>
      <c r="C130" s="2" t="s">
        <v>1467</v>
      </c>
      <c r="D130" s="2" t="s">
        <v>1475</v>
      </c>
      <c r="E130" s="2" t="s">
        <v>1486</v>
      </c>
      <c r="F130" s="2" t="s">
        <v>1487</v>
      </c>
      <c r="G130" s="2"/>
      <c r="H130" s="25" t="s">
        <v>1488</v>
      </c>
      <c r="V130" s="6" t="str">
        <f>H130</f>
        <v>MNPR3</v>
      </c>
      <c r="W13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v>
      </c>
      <c r="X130"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v>
      </c>
    </row>
    <row r="131">
      <c r="A131" s="2">
        <v>1.0</v>
      </c>
      <c r="B131" s="2" t="s">
        <v>1444</v>
      </c>
      <c r="C131" s="2" t="s">
        <v>1467</v>
      </c>
      <c r="D131" s="2" t="s">
        <v>1489</v>
      </c>
      <c r="E131" s="2" t="s">
        <v>341</v>
      </c>
      <c r="F131" s="2" t="s">
        <v>1490</v>
      </c>
      <c r="G131" s="2" t="s">
        <v>1001</v>
      </c>
      <c r="H131" s="22" t="str">
        <f>VLOOKUP(E131,'Lista Infomoney'!B:H,2,FALSE)</f>
        <v>CAML3F</v>
      </c>
      <c r="I131" s="22" t="str">
        <f>VLOOKUP(E131,'Lista Infomoney'!B:F,3,FALSE)</f>
        <v>CAML3</v>
      </c>
      <c r="J131" s="6" t="str">
        <f>VLOOKUP(E131,'Lista Infomoney'!B:F,4,FALSE)</f>
        <v/>
      </c>
      <c r="K131" s="6" t="str">
        <f>VLOOKUP(E131,'Lista Infomoney'!B:F,5,FALSE)</f>
        <v/>
      </c>
      <c r="V131" s="6" t="str">
        <f>H131&amp;" OR "&amp;I131</f>
        <v>CAML3F OR CAML3</v>
      </c>
      <c r="W13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v>
      </c>
      <c r="X131"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v>
      </c>
    </row>
    <row r="132">
      <c r="A132" s="2">
        <v>2.0</v>
      </c>
      <c r="B132" s="2" t="s">
        <v>1444</v>
      </c>
      <c r="C132" s="2" t="s">
        <v>1467</v>
      </c>
      <c r="D132" s="2" t="s">
        <v>1489</v>
      </c>
      <c r="E132" s="2" t="s">
        <v>1491</v>
      </c>
      <c r="F132" s="24" t="s">
        <v>1492</v>
      </c>
      <c r="G132" s="2"/>
      <c r="H132" s="6" t="s">
        <v>1492</v>
      </c>
      <c r="V132" s="6" t="str">
        <f t="shared" ref="V132:V133" si="25">H132</f>
        <v>JMCD</v>
      </c>
      <c r="W13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v>
      </c>
      <c r="X132"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v>
      </c>
    </row>
    <row r="133">
      <c r="A133" s="2">
        <v>2.0</v>
      </c>
      <c r="B133" s="2" t="s">
        <v>1444</v>
      </c>
      <c r="C133" s="2" t="s">
        <v>1467</v>
      </c>
      <c r="D133" s="2" t="s">
        <v>1489</v>
      </c>
      <c r="E133" s="2" t="s">
        <v>1493</v>
      </c>
      <c r="F133" s="2" t="s">
        <v>1494</v>
      </c>
      <c r="G133" s="2"/>
      <c r="H133" s="25" t="s">
        <v>1495</v>
      </c>
      <c r="V133" s="6" t="str">
        <f t="shared" si="25"/>
        <v>JOPA3</v>
      </c>
      <c r="W13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v>
      </c>
      <c r="X133"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v>
      </c>
    </row>
    <row r="134">
      <c r="A134" s="2">
        <v>1.0</v>
      </c>
      <c r="B134" s="2" t="s">
        <v>1444</v>
      </c>
      <c r="C134" s="2" t="s">
        <v>1467</v>
      </c>
      <c r="D134" s="2" t="s">
        <v>1489</v>
      </c>
      <c r="E134" s="2" t="s">
        <v>1496</v>
      </c>
      <c r="F134" s="2" t="s">
        <v>1497</v>
      </c>
      <c r="G134" s="2" t="s">
        <v>1001</v>
      </c>
      <c r="H134" s="22" t="str">
        <f>VLOOKUP(E134,'Lista Infomoney'!B:H,2,FALSE)</f>
        <v>MDIA3F</v>
      </c>
      <c r="I134" s="22" t="str">
        <f>VLOOKUP(E134,'Lista Infomoney'!B:F,3,FALSE)</f>
        <v>MDIA3</v>
      </c>
      <c r="J134" s="6" t="str">
        <f>VLOOKUP(E134,'Lista Infomoney'!B:F,4,FALSE)</f>
        <v/>
      </c>
      <c r="K134" s="6" t="str">
        <f>VLOOKUP(E134,'Lista Infomoney'!B:F,5,FALSE)</f>
        <v/>
      </c>
      <c r="V134" s="6" t="str">
        <f t="shared" ref="V134:V135" si="26">H134&amp;" OR "&amp;I134</f>
        <v>MDIA3F OR MDIA3</v>
      </c>
      <c r="W13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v>
      </c>
      <c r="X134"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v>
      </c>
    </row>
    <row r="135">
      <c r="A135" s="2">
        <v>2.0</v>
      </c>
      <c r="B135" s="2" t="s">
        <v>1444</v>
      </c>
      <c r="C135" s="2" t="s">
        <v>1467</v>
      </c>
      <c r="D135" s="2" t="s">
        <v>1489</v>
      </c>
      <c r="E135" s="2" t="s">
        <v>1498</v>
      </c>
      <c r="F135" s="2" t="s">
        <v>1499</v>
      </c>
      <c r="G135" s="2"/>
      <c r="H135" s="25" t="s">
        <v>1500</v>
      </c>
      <c r="I135" s="2" t="s">
        <v>1501</v>
      </c>
      <c r="V135" s="6" t="str">
        <f t="shared" si="26"/>
        <v>ODER3 OR ODER4</v>
      </c>
      <c r="W13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v>
      </c>
      <c r="X135"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v>
      </c>
    </row>
    <row r="136">
      <c r="A136" s="2">
        <v>2.0</v>
      </c>
      <c r="B136" s="2" t="s">
        <v>1444</v>
      </c>
      <c r="C136" s="2" t="s">
        <v>1502</v>
      </c>
      <c r="D136" s="2" t="s">
        <v>1503</v>
      </c>
      <c r="E136" s="2" t="s">
        <v>1504</v>
      </c>
      <c r="F136" s="2" t="s">
        <v>1505</v>
      </c>
      <c r="G136" s="2"/>
      <c r="H136" s="2" t="s">
        <v>1506</v>
      </c>
      <c r="V136" s="6" t="str">
        <f>H136</f>
        <v>ABEV3</v>
      </c>
      <c r="W13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v>
      </c>
      <c r="X136"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v>
      </c>
    </row>
    <row r="137">
      <c r="A137" s="2">
        <v>1.0</v>
      </c>
      <c r="B137" s="2" t="s">
        <v>1444</v>
      </c>
      <c r="C137" s="2" t="s">
        <v>1507</v>
      </c>
      <c r="D137" s="2" t="s">
        <v>1508</v>
      </c>
      <c r="E137" s="2" t="s">
        <v>363</v>
      </c>
      <c r="F137" s="2" t="s">
        <v>1509</v>
      </c>
      <c r="G137" s="2" t="s">
        <v>1001</v>
      </c>
      <c r="H137" s="22" t="str">
        <f>VLOOKUP(E137,'Lista Infomoney'!B:H,2,FALSE)</f>
        <v>NTCO3F</v>
      </c>
      <c r="I137" s="22" t="str">
        <f>VLOOKUP(E137,'Lista Infomoney'!B:F,3,FALSE)</f>
        <v>NTCO3</v>
      </c>
      <c r="J137" s="6" t="str">
        <f>VLOOKUP(E137,'Lista Infomoney'!B:F,4,FALSE)</f>
        <v/>
      </c>
      <c r="K137" s="6" t="str">
        <f>VLOOKUP(E137,'Lista Infomoney'!B:F,5,FALSE)</f>
        <v/>
      </c>
      <c r="V137" s="6" t="str">
        <f>H137&amp;" OR "&amp;I137</f>
        <v>NTCO3F OR NTCO3</v>
      </c>
      <c r="W13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v>
      </c>
      <c r="X137"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v>
      </c>
    </row>
    <row r="138">
      <c r="A138" s="2">
        <v>2.0</v>
      </c>
      <c r="B138" s="2" t="s">
        <v>1444</v>
      </c>
      <c r="C138" s="2" t="s">
        <v>1507</v>
      </c>
      <c r="D138" s="2" t="s">
        <v>1510</v>
      </c>
      <c r="E138" s="2" t="s">
        <v>1511</v>
      </c>
      <c r="F138" s="2" t="s">
        <v>1512</v>
      </c>
      <c r="G138" s="2"/>
      <c r="H138" s="25" t="s">
        <v>1513</v>
      </c>
      <c r="V138" s="6" t="str">
        <f>H138</f>
        <v>BOBR4</v>
      </c>
      <c r="W13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v>
      </c>
      <c r="X138"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v>
      </c>
    </row>
    <row r="139">
      <c r="A139" s="2">
        <v>1.0</v>
      </c>
      <c r="B139" s="2" t="s">
        <v>1444</v>
      </c>
      <c r="C139" s="2" t="s">
        <v>1514</v>
      </c>
      <c r="D139" s="2" t="s">
        <v>1515</v>
      </c>
      <c r="E139" s="2" t="s">
        <v>356</v>
      </c>
      <c r="F139" s="2" t="s">
        <v>1516</v>
      </c>
      <c r="G139" s="2" t="s">
        <v>1001</v>
      </c>
      <c r="H139" s="22" t="str">
        <f>VLOOKUP(E139,'Lista Infomoney'!B:H,2,FALSE)</f>
        <v>CRFB3F</v>
      </c>
      <c r="I139" s="22" t="str">
        <f>VLOOKUP(E139,'Lista Infomoney'!B:F,3,FALSE)</f>
        <v>CRFB3</v>
      </c>
      <c r="J139" s="6" t="str">
        <f>VLOOKUP(E139,'Lista Infomoney'!B:F,4,FALSE)</f>
        <v/>
      </c>
      <c r="K139" s="6" t="str">
        <f>VLOOKUP(E139,'Lista Infomoney'!B:F,5,FALSE)</f>
        <v/>
      </c>
      <c r="V139" s="6" t="str">
        <f>H139&amp;" OR "&amp;I139</f>
        <v>CRFB3F OR CRFB3</v>
      </c>
      <c r="W13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v>
      </c>
      <c r="X139"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v>
      </c>
    </row>
    <row r="140">
      <c r="A140" s="2">
        <v>2.0</v>
      </c>
      <c r="B140" s="2" t="s">
        <v>1444</v>
      </c>
      <c r="C140" s="2" t="s">
        <v>1514</v>
      </c>
      <c r="D140" s="2" t="s">
        <v>1515</v>
      </c>
      <c r="E140" s="2" t="s">
        <v>1517</v>
      </c>
      <c r="F140" s="2" t="s">
        <v>1518</v>
      </c>
      <c r="G140" s="2" t="s">
        <v>1001</v>
      </c>
      <c r="H140" s="2" t="s">
        <v>1519</v>
      </c>
      <c r="V140" s="6" t="str">
        <f>H140</f>
        <v>GMAT3</v>
      </c>
      <c r="W14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v>
      </c>
      <c r="X140"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v>
      </c>
    </row>
    <row r="141">
      <c r="A141" s="2">
        <v>1.0</v>
      </c>
      <c r="B141" s="2" t="s">
        <v>1444</v>
      </c>
      <c r="C141" s="2" t="s">
        <v>1514</v>
      </c>
      <c r="D141" s="2" t="s">
        <v>1515</v>
      </c>
      <c r="E141" s="2" t="s">
        <v>359</v>
      </c>
      <c r="F141" s="2" t="s">
        <v>1520</v>
      </c>
      <c r="G141" s="2" t="s">
        <v>1029</v>
      </c>
      <c r="H141" s="22" t="str">
        <f>VLOOKUP(E141,'Lista Infomoney'!B:H,2,FALSE)</f>
        <v>PCAR3F</v>
      </c>
      <c r="I141" s="22" t="str">
        <f>VLOOKUP(E141,'Lista Infomoney'!B:F,3,FALSE)</f>
        <v>PCAR4F</v>
      </c>
      <c r="J141" s="22" t="str">
        <f>VLOOKUP(E141,'Lista Infomoney'!B:F,4,FALSE)</f>
        <v>PCAR3</v>
      </c>
      <c r="K141" s="6" t="str">
        <f>VLOOKUP(E141,'Lista Infomoney'!B:F,5,FALSE)</f>
        <v/>
      </c>
      <c r="V141" s="6" t="str">
        <f>H141&amp;" OR "&amp;I141&amp;" OR "&amp;J141</f>
        <v>PCAR3F OR PCAR4F OR PCAR3</v>
      </c>
      <c r="W14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v>
      </c>
      <c r="X141"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v>
      </c>
    </row>
    <row r="142">
      <c r="A142" s="2">
        <v>2.0</v>
      </c>
      <c r="B142" s="2" t="s">
        <v>165</v>
      </c>
      <c r="C142" s="2" t="s">
        <v>1521</v>
      </c>
      <c r="D142" s="2" t="s">
        <v>1522</v>
      </c>
      <c r="E142" s="2" t="s">
        <v>1523</v>
      </c>
      <c r="F142" s="2" t="s">
        <v>1524</v>
      </c>
      <c r="G142" s="2"/>
      <c r="H142" s="2" t="s">
        <v>1525</v>
      </c>
      <c r="I142" s="2" t="s">
        <v>1526</v>
      </c>
      <c r="V142" s="6" t="str">
        <f t="shared" ref="V142:V143" si="27">H142&amp;" OR "&amp;I142</f>
        <v>CALI3 OR CALI4</v>
      </c>
      <c r="W14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v>
      </c>
      <c r="X142"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v>
      </c>
    </row>
    <row r="143">
      <c r="A143" s="2">
        <v>2.0</v>
      </c>
      <c r="B143" s="2" t="s">
        <v>165</v>
      </c>
      <c r="C143" s="2" t="s">
        <v>1521</v>
      </c>
      <c r="D143" s="2" t="s">
        <v>1522</v>
      </c>
      <c r="E143" s="2" t="s">
        <v>1527</v>
      </c>
      <c r="F143" s="2" t="s">
        <v>1528</v>
      </c>
      <c r="G143" s="2" t="s">
        <v>1001</v>
      </c>
      <c r="H143" s="2" t="s">
        <v>1529</v>
      </c>
      <c r="I143" s="2" t="s">
        <v>1530</v>
      </c>
      <c r="V143" s="6" t="str">
        <f t="shared" si="27"/>
        <v>CRDE3 OR CRDE3F</v>
      </c>
      <c r="W14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v>
      </c>
      <c r="X143"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v>
      </c>
    </row>
    <row r="144">
      <c r="A144" s="2">
        <v>1.0</v>
      </c>
      <c r="B144" s="2" t="s">
        <v>165</v>
      </c>
      <c r="C144" s="2" t="s">
        <v>1521</v>
      </c>
      <c r="D144" s="2" t="s">
        <v>1522</v>
      </c>
      <c r="E144" s="2" t="s">
        <v>16</v>
      </c>
      <c r="F144" s="2" t="s">
        <v>1531</v>
      </c>
      <c r="G144" s="2" t="s">
        <v>1001</v>
      </c>
      <c r="H144" s="22" t="str">
        <f>VLOOKUP(E144,'Lista Infomoney'!B:H,2,FALSE)</f>
        <v>CURY3</v>
      </c>
      <c r="I144" s="6" t="str">
        <f>VLOOKUP(E144,'Lista Infomoney'!B:F,3,FALSE)</f>
        <v/>
      </c>
      <c r="J144" s="6" t="str">
        <f>VLOOKUP(E144,'Lista Infomoney'!B:F,4,FALSE)</f>
        <v/>
      </c>
      <c r="K144" s="6" t="str">
        <f>VLOOKUP(E144,'Lista Infomoney'!B:F,5,FALSE)</f>
        <v/>
      </c>
      <c r="V144" s="22" t="str">
        <f>H144</f>
        <v>CURY3</v>
      </c>
      <c r="W14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v>
      </c>
      <c r="X144"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v>
      </c>
    </row>
    <row r="145">
      <c r="A145" s="2">
        <v>1.0</v>
      </c>
      <c r="B145" s="2" t="s">
        <v>165</v>
      </c>
      <c r="C145" s="2" t="s">
        <v>1521</v>
      </c>
      <c r="D145" s="2" t="s">
        <v>1522</v>
      </c>
      <c r="E145" s="2" t="s">
        <v>312</v>
      </c>
      <c r="F145" s="2" t="s">
        <v>1532</v>
      </c>
      <c r="G145" s="2" t="s">
        <v>1001</v>
      </c>
      <c r="H145" s="22" t="str">
        <f>VLOOKUP(E145,'Lista Infomoney'!B:H,2,FALSE)</f>
        <v>CYRE3</v>
      </c>
      <c r="I145" s="2" t="s">
        <v>1533</v>
      </c>
      <c r="J145" s="6" t="str">
        <f>VLOOKUP(E145,'Lista Infomoney'!B:F,4,FALSE)</f>
        <v/>
      </c>
      <c r="K145" s="6" t="str">
        <f>VLOOKUP(E145,'Lista Infomoney'!B:F,5,FALSE)</f>
        <v/>
      </c>
      <c r="V145" s="6" t="str">
        <f t="shared" ref="V145:V149" si="28">H145&amp;" OR "&amp;I145</f>
        <v>CYRE3 OR CYRE3F</v>
      </c>
      <c r="W14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v>
      </c>
      <c r="X145"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v>
      </c>
    </row>
    <row r="146">
      <c r="A146" s="2">
        <v>1.0</v>
      </c>
      <c r="B146" s="2" t="s">
        <v>165</v>
      </c>
      <c r="C146" s="2" t="s">
        <v>1521</v>
      </c>
      <c r="D146" s="2" t="s">
        <v>1522</v>
      </c>
      <c r="E146" s="2" t="s">
        <v>1534</v>
      </c>
      <c r="F146" s="2" t="s">
        <v>1535</v>
      </c>
      <c r="G146" s="2" t="s">
        <v>1001</v>
      </c>
      <c r="H146" s="22" t="str">
        <f>VLOOKUP(E146,'Lista Infomoney'!B:H,2,FALSE)</f>
        <v>DIRR3F</v>
      </c>
      <c r="I146" s="22" t="str">
        <f>VLOOKUP(E146,'Lista Infomoney'!B:F,3,FALSE)</f>
        <v>DIRR3</v>
      </c>
      <c r="J146" s="6" t="str">
        <f>VLOOKUP(E146,'Lista Infomoney'!B:F,4,FALSE)</f>
        <v/>
      </c>
      <c r="K146" s="6" t="str">
        <f>VLOOKUP(E146,'Lista Infomoney'!B:F,5,FALSE)</f>
        <v/>
      </c>
      <c r="V146" s="6" t="str">
        <f t="shared" si="28"/>
        <v>DIRR3F OR DIRR3</v>
      </c>
      <c r="W14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v>
      </c>
      <c r="X146"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v>
      </c>
    </row>
    <row r="147">
      <c r="A147" s="2">
        <v>1.0</v>
      </c>
      <c r="B147" s="2" t="s">
        <v>165</v>
      </c>
      <c r="C147" s="2" t="s">
        <v>1521</v>
      </c>
      <c r="D147" s="2" t="s">
        <v>1522</v>
      </c>
      <c r="E147" s="2" t="s">
        <v>1536</v>
      </c>
      <c r="F147" s="2" t="s">
        <v>1536</v>
      </c>
      <c r="G147" s="2" t="s">
        <v>1001</v>
      </c>
      <c r="H147" s="22" t="str">
        <f>VLOOKUP(E147,'Lista Infomoney'!B:H,2,FALSE)</f>
        <v>EVEN3F</v>
      </c>
      <c r="I147" s="22" t="str">
        <f>VLOOKUP(E147,'Lista Infomoney'!B:F,3,FALSE)</f>
        <v>EVEN3</v>
      </c>
      <c r="J147" s="6" t="str">
        <f>VLOOKUP(E147,'Lista Infomoney'!B:F,4,FALSE)</f>
        <v/>
      </c>
      <c r="K147" s="6" t="str">
        <f>VLOOKUP(E147,'Lista Infomoney'!B:F,5,FALSE)</f>
        <v/>
      </c>
      <c r="V147" s="6" t="str">
        <f t="shared" si="28"/>
        <v>EVEN3F OR EVEN3</v>
      </c>
      <c r="W14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v>
      </c>
      <c r="X147"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v>
      </c>
    </row>
    <row r="148">
      <c r="A148" s="2">
        <v>1.0</v>
      </c>
      <c r="B148" s="2" t="s">
        <v>165</v>
      </c>
      <c r="C148" s="2" t="s">
        <v>1521</v>
      </c>
      <c r="D148" s="2" t="s">
        <v>1522</v>
      </c>
      <c r="E148" s="2" t="s">
        <v>263</v>
      </c>
      <c r="F148" s="2" t="s">
        <v>1537</v>
      </c>
      <c r="G148" s="2" t="s">
        <v>1001</v>
      </c>
      <c r="H148" s="22" t="str">
        <f>VLOOKUP(E148,'Lista Infomoney'!B:H,2,FALSE)</f>
        <v>EZTC3F</v>
      </c>
      <c r="I148" s="22" t="str">
        <f>VLOOKUP(E148,'Lista Infomoney'!B:F,3,FALSE)</f>
        <v>EZTC3</v>
      </c>
      <c r="J148" s="6" t="str">
        <f>VLOOKUP(E148,'Lista Infomoney'!B:F,4,FALSE)</f>
        <v/>
      </c>
      <c r="K148" s="6" t="str">
        <f>VLOOKUP(E148,'Lista Infomoney'!B:F,5,FALSE)</f>
        <v/>
      </c>
      <c r="V148" s="6" t="str">
        <f t="shared" si="28"/>
        <v>EZTC3F OR EZTC3</v>
      </c>
      <c r="W14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v>
      </c>
      <c r="X148"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v>
      </c>
    </row>
    <row r="149">
      <c r="A149" s="2">
        <v>1.0</v>
      </c>
      <c r="B149" s="2" t="s">
        <v>165</v>
      </c>
      <c r="C149" s="2" t="s">
        <v>1521</v>
      </c>
      <c r="D149" s="2" t="s">
        <v>1522</v>
      </c>
      <c r="E149" s="2" t="s">
        <v>1538</v>
      </c>
      <c r="F149" s="27" t="s">
        <v>1539</v>
      </c>
      <c r="G149" s="2" t="s">
        <v>1001</v>
      </c>
      <c r="H149" s="22" t="str">
        <f>VLOOKUP(E149,'Lista Infomoney'!B:H,2,FALSE)</f>
        <v>GFSA3</v>
      </c>
      <c r="I149" s="22" t="str">
        <f>VLOOKUP(E149,'Lista Infomoney'!B:F,3,FALSE)</f>
        <v>GFSA3F</v>
      </c>
      <c r="J149" s="6" t="str">
        <f>VLOOKUP(E149,'Lista Infomoney'!B:F,4,FALSE)</f>
        <v/>
      </c>
      <c r="K149" s="6" t="str">
        <f>VLOOKUP(E149,'Lista Infomoney'!B:F,5,FALSE)</f>
        <v/>
      </c>
      <c r="V149" s="6" t="str">
        <f t="shared" si="28"/>
        <v>GFSA3 OR GFSA3F</v>
      </c>
      <c r="W14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v>
      </c>
      <c r="X149"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v>
      </c>
    </row>
    <row r="150">
      <c r="A150" s="2">
        <v>1.0</v>
      </c>
      <c r="B150" s="2" t="s">
        <v>165</v>
      </c>
      <c r="C150" s="2" t="s">
        <v>1521</v>
      </c>
      <c r="D150" s="2" t="s">
        <v>1522</v>
      </c>
      <c r="E150" s="2" t="s">
        <v>1540</v>
      </c>
      <c r="F150" s="2" t="s">
        <v>1541</v>
      </c>
      <c r="G150" s="2" t="s">
        <v>1001</v>
      </c>
      <c r="H150" s="22" t="str">
        <f>VLOOKUP(E150,'Lista Infomoney'!B:H,2,FALSE)</f>
        <v>HBOR3F</v>
      </c>
      <c r="I150" s="22" t="str">
        <f>VLOOKUP(E150,'Lista Infomoney'!B:F,3,FALSE)</f>
        <v>HBOR3</v>
      </c>
      <c r="J150" s="2" t="s">
        <v>1542</v>
      </c>
      <c r="K150" s="6" t="str">
        <f>VLOOKUP(E150,'Lista Infomoney'!B:F,5,FALSE)</f>
        <v/>
      </c>
      <c r="V150" s="6" t="str">
        <f>H150&amp;" OR "&amp;I150&amp;" OR "&amp;J150</f>
        <v>HBOR3F OR HBOR3 OR HBOR9F</v>
      </c>
      <c r="W15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v>
      </c>
      <c r="X150"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v>
      </c>
    </row>
    <row r="151">
      <c r="A151" s="2">
        <v>2.0</v>
      </c>
      <c r="B151" s="2" t="s">
        <v>165</v>
      </c>
      <c r="C151" s="2" t="s">
        <v>1521</v>
      </c>
      <c r="D151" s="2" t="s">
        <v>1522</v>
      </c>
      <c r="E151" s="2" t="s">
        <v>1543</v>
      </c>
      <c r="F151" s="2" t="s">
        <v>1544</v>
      </c>
      <c r="G151" s="2" t="s">
        <v>1107</v>
      </c>
      <c r="H151" s="2" t="s">
        <v>1545</v>
      </c>
      <c r="V151" s="6" t="str">
        <f>H151</f>
        <v>INTT3</v>
      </c>
      <c r="W15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v>
      </c>
      <c r="X151"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v>
      </c>
    </row>
    <row r="152">
      <c r="A152" s="2">
        <v>1.0</v>
      </c>
      <c r="B152" s="2" t="s">
        <v>165</v>
      </c>
      <c r="C152" s="2" t="s">
        <v>1521</v>
      </c>
      <c r="D152" s="2" t="s">
        <v>1522</v>
      </c>
      <c r="E152" s="2" t="s">
        <v>252</v>
      </c>
      <c r="F152" s="2" t="s">
        <v>252</v>
      </c>
      <c r="G152" s="2" t="s">
        <v>1001</v>
      </c>
      <c r="H152" s="22" t="str">
        <f>VLOOKUP(E152,'Lista Infomoney'!B:H,2,FALSE)</f>
        <v>JHSF3F</v>
      </c>
      <c r="I152" s="22" t="str">
        <f>VLOOKUP(E152,'Lista Infomoney'!B:F,3,FALSE)</f>
        <v>JHSF3</v>
      </c>
      <c r="J152" s="6" t="str">
        <f>VLOOKUP(E152,'Lista Infomoney'!B:F,4,FALSE)</f>
        <v/>
      </c>
      <c r="K152" s="6" t="str">
        <f>VLOOKUP(E152,'Lista Infomoney'!B:F,5,FALSE)</f>
        <v/>
      </c>
      <c r="V152" s="6" t="str">
        <f>H152&amp;" OR "&amp;I152</f>
        <v>JHSF3F OR JHSF3</v>
      </c>
      <c r="W15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v>
      </c>
      <c r="X152"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v>
      </c>
    </row>
    <row r="153">
      <c r="A153" s="2">
        <v>2.0</v>
      </c>
      <c r="B153" s="2" t="s">
        <v>165</v>
      </c>
      <c r="C153" s="2" t="s">
        <v>1521</v>
      </c>
      <c r="D153" s="2" t="s">
        <v>1522</v>
      </c>
      <c r="E153" s="2" t="s">
        <v>1546</v>
      </c>
      <c r="F153" s="2" t="s">
        <v>1547</v>
      </c>
      <c r="G153" s="2"/>
      <c r="H153" s="2" t="s">
        <v>1548</v>
      </c>
      <c r="V153" s="6" t="str">
        <f t="shared" ref="V153:V157" si="29">H153</f>
        <v>JFEN3</v>
      </c>
      <c r="W15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v>
      </c>
      <c r="X153"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v>
      </c>
    </row>
    <row r="154">
      <c r="A154" s="2">
        <v>1.0</v>
      </c>
      <c r="B154" s="2" t="s">
        <v>165</v>
      </c>
      <c r="C154" s="2" t="s">
        <v>1521</v>
      </c>
      <c r="D154" s="2" t="s">
        <v>1522</v>
      </c>
      <c r="E154" s="2" t="s">
        <v>24</v>
      </c>
      <c r="F154" s="2" t="s">
        <v>1549</v>
      </c>
      <c r="G154" s="2" t="s">
        <v>1001</v>
      </c>
      <c r="H154" s="22" t="str">
        <f>VLOOKUP(E154,'Lista Infomoney'!B:H,2,FALSE)</f>
        <v>LAVV3</v>
      </c>
      <c r="I154" s="6" t="str">
        <f>VLOOKUP(E154,'Lista Infomoney'!B:F,3,FALSE)</f>
        <v/>
      </c>
      <c r="J154" s="6" t="str">
        <f>VLOOKUP(E154,'Lista Infomoney'!B:F,4,FALSE)</f>
        <v/>
      </c>
      <c r="K154" s="6" t="str">
        <f>VLOOKUP(E154,'Lista Infomoney'!B:F,5,FALSE)</f>
        <v/>
      </c>
      <c r="V154" s="22" t="str">
        <f t="shared" si="29"/>
        <v>LAVV3</v>
      </c>
      <c r="W15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v>
      </c>
      <c r="X154"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v>
      </c>
    </row>
    <row r="155">
      <c r="A155" s="2">
        <v>1.0</v>
      </c>
      <c r="B155" s="2" t="s">
        <v>165</v>
      </c>
      <c r="C155" s="2" t="s">
        <v>1521</v>
      </c>
      <c r="D155" s="2" t="s">
        <v>1522</v>
      </c>
      <c r="E155" s="2" t="s">
        <v>1550</v>
      </c>
      <c r="F155" s="2" t="s">
        <v>1551</v>
      </c>
      <c r="G155" s="2" t="s">
        <v>1001</v>
      </c>
      <c r="H155" s="22" t="str">
        <f>VLOOKUP(E155,'Lista Infomoney'!B:H,2,FALSE)</f>
        <v>MELK3</v>
      </c>
      <c r="I155" s="6" t="str">
        <f>VLOOKUP(E155,'Lista Infomoney'!B:F,3,FALSE)</f>
        <v/>
      </c>
      <c r="J155" s="6" t="str">
        <f>VLOOKUP(E155,'Lista Infomoney'!B:F,4,FALSE)</f>
        <v/>
      </c>
      <c r="K155" s="6" t="str">
        <f>VLOOKUP(E155,'Lista Infomoney'!B:F,5,FALSE)</f>
        <v/>
      </c>
      <c r="V155" s="22" t="str">
        <f t="shared" si="29"/>
        <v>MELK3</v>
      </c>
      <c r="W15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v>
      </c>
      <c r="X155"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v>
      </c>
    </row>
    <row r="156">
      <c r="A156" s="2">
        <v>1.0</v>
      </c>
      <c r="B156" s="2" t="s">
        <v>165</v>
      </c>
      <c r="C156" s="2" t="s">
        <v>1521</v>
      </c>
      <c r="D156" s="2" t="s">
        <v>1522</v>
      </c>
      <c r="E156" s="2" t="s">
        <v>1552</v>
      </c>
      <c r="F156" s="2" t="s">
        <v>1553</v>
      </c>
      <c r="G156" s="2" t="s">
        <v>1001</v>
      </c>
      <c r="H156" s="22" t="str">
        <f>VLOOKUP(E156,'Lista Infomoney'!B:H,2,FALSE)</f>
        <v>MTRE3</v>
      </c>
      <c r="I156" s="6" t="str">
        <f>VLOOKUP(E156,'Lista Infomoney'!B:F,3,FALSE)</f>
        <v/>
      </c>
      <c r="J156" s="6" t="str">
        <f>VLOOKUP(E156,'Lista Infomoney'!B:F,4,FALSE)</f>
        <v/>
      </c>
      <c r="K156" s="6" t="str">
        <f>VLOOKUP(E156,'Lista Infomoney'!B:F,5,FALSE)</f>
        <v/>
      </c>
      <c r="V156" s="22" t="str">
        <f t="shared" si="29"/>
        <v>MTRE3</v>
      </c>
      <c r="W15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v>
      </c>
      <c r="X156"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v>
      </c>
    </row>
    <row r="157">
      <c r="A157" s="2">
        <v>1.0</v>
      </c>
      <c r="B157" s="2" t="s">
        <v>165</v>
      </c>
      <c r="C157" s="2" t="s">
        <v>1521</v>
      </c>
      <c r="D157" s="2" t="s">
        <v>1522</v>
      </c>
      <c r="E157" s="2" t="s">
        <v>1554</v>
      </c>
      <c r="F157" s="2" t="s">
        <v>1555</v>
      </c>
      <c r="G157" s="2" t="s">
        <v>1001</v>
      </c>
      <c r="H157" s="22" t="str">
        <f>VLOOKUP(E157,'Lista Infomoney'!B:H,2,FALSE)</f>
        <v>MDNE3</v>
      </c>
      <c r="I157" s="6" t="str">
        <f>VLOOKUP(E157,'Lista Infomoney'!B:F,3,FALSE)</f>
        <v/>
      </c>
      <c r="J157" s="6" t="str">
        <f>VLOOKUP(E157,'Lista Infomoney'!B:F,4,FALSE)</f>
        <v/>
      </c>
      <c r="K157" s="6" t="str">
        <f>VLOOKUP(E157,'Lista Infomoney'!B:F,5,FALSE)</f>
        <v/>
      </c>
      <c r="V157" s="22" t="str">
        <f t="shared" si="29"/>
        <v>MDNE3</v>
      </c>
      <c r="W15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v>
      </c>
      <c r="X157"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v>
      </c>
    </row>
    <row r="158">
      <c r="A158" s="2">
        <v>1.0</v>
      </c>
      <c r="B158" s="2" t="s">
        <v>165</v>
      </c>
      <c r="C158" s="2" t="s">
        <v>1521</v>
      </c>
      <c r="D158" s="2" t="s">
        <v>1522</v>
      </c>
      <c r="E158" s="2" t="s">
        <v>277</v>
      </c>
      <c r="F158" s="2" t="s">
        <v>1556</v>
      </c>
      <c r="G158" s="2" t="s">
        <v>1001</v>
      </c>
      <c r="H158" s="22" t="str">
        <f>VLOOKUP(E158,'Lista Infomoney'!B:H,2,FALSE)</f>
        <v>MRVE3F</v>
      </c>
      <c r="I158" s="22" t="str">
        <f>VLOOKUP(E158,'Lista Infomoney'!B:F,3,FALSE)</f>
        <v>MRVE3</v>
      </c>
      <c r="J158" s="6" t="str">
        <f>VLOOKUP(E158,'Lista Infomoney'!B:F,4,FALSE)</f>
        <v/>
      </c>
      <c r="K158" s="6" t="str">
        <f>VLOOKUP(E158,'Lista Infomoney'!B:F,5,FALSE)</f>
        <v/>
      </c>
      <c r="V158" s="6" t="str">
        <f>H158&amp;" OR "&amp;I158</f>
        <v>MRVE3F OR MRVE3</v>
      </c>
      <c r="W15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v>
      </c>
      <c r="X158"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v>
      </c>
    </row>
    <row r="159">
      <c r="A159" s="2">
        <v>1.0</v>
      </c>
      <c r="B159" s="2" t="s">
        <v>165</v>
      </c>
      <c r="C159" s="2" t="s">
        <v>1521</v>
      </c>
      <c r="D159" s="2" t="s">
        <v>1522</v>
      </c>
      <c r="E159" s="2" t="s">
        <v>258</v>
      </c>
      <c r="F159" s="2" t="s">
        <v>1557</v>
      </c>
      <c r="G159" s="2" t="s">
        <v>1001</v>
      </c>
      <c r="H159" s="22" t="str">
        <f>VLOOKUP(E159,'Lista Infomoney'!B:H,2,FALSE)</f>
        <v>PDGR3F</v>
      </c>
      <c r="I159" s="22" t="str">
        <f>VLOOKUP(E159,'Lista Infomoney'!B:F,3,FALSE)</f>
        <v>PDGR3</v>
      </c>
      <c r="J159" s="2" t="s">
        <v>1558</v>
      </c>
      <c r="K159" s="6" t="str">
        <f>VLOOKUP(E159,'Lista Infomoney'!B:F,5,FALSE)</f>
        <v/>
      </c>
      <c r="V159" s="6" t="str">
        <f>H159&amp;" OR "&amp;I159&amp;" OR "&amp;J159</f>
        <v>PDGR3F OR PDGR3 OR PDGR11F</v>
      </c>
      <c r="W15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v>
      </c>
      <c r="X159"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v>
      </c>
    </row>
    <row r="160">
      <c r="A160" s="2">
        <v>1.0</v>
      </c>
      <c r="B160" s="2" t="s">
        <v>165</v>
      </c>
      <c r="C160" s="2" t="s">
        <v>1521</v>
      </c>
      <c r="D160" s="2" t="s">
        <v>1522</v>
      </c>
      <c r="E160" s="2" t="s">
        <v>18</v>
      </c>
      <c r="F160" s="2" t="s">
        <v>1559</v>
      </c>
      <c r="G160" s="2" t="s">
        <v>1001</v>
      </c>
      <c r="H160" s="22" t="str">
        <f>VLOOKUP(E160,'Lista Infomoney'!B:H,2,FALSE)</f>
        <v>PLPL3</v>
      </c>
      <c r="I160" s="6" t="str">
        <f>VLOOKUP(E160,'Lista Infomoney'!B:F,3,FALSE)</f>
        <v/>
      </c>
      <c r="J160" s="6" t="str">
        <f>VLOOKUP(E160,'Lista Infomoney'!B:F,4,FALSE)</f>
        <v/>
      </c>
      <c r="K160" s="6" t="str">
        <f>VLOOKUP(E160,'Lista Infomoney'!B:F,5,FALSE)</f>
        <v/>
      </c>
      <c r="V160" s="22" t="str">
        <f>H160</f>
        <v>PLPL3</v>
      </c>
      <c r="W16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v>
      </c>
      <c r="X160"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v>
      </c>
    </row>
    <row r="161">
      <c r="A161" s="2">
        <v>1.0</v>
      </c>
      <c r="B161" s="2" t="s">
        <v>165</v>
      </c>
      <c r="C161" s="2" t="s">
        <v>1521</v>
      </c>
      <c r="D161" s="2" t="s">
        <v>1522</v>
      </c>
      <c r="E161" s="2" t="s">
        <v>188</v>
      </c>
      <c r="F161" s="2" t="s">
        <v>1560</v>
      </c>
      <c r="G161" s="2" t="s">
        <v>1001</v>
      </c>
      <c r="H161" s="22" t="str">
        <f>VLOOKUP(E161,'Lista Infomoney'!B:H,2,FALSE)</f>
        <v>RDNI3F</v>
      </c>
      <c r="I161" s="22" t="str">
        <f>VLOOKUP(E161,'Lista Infomoney'!B:F,3,FALSE)</f>
        <v>RDNI3</v>
      </c>
      <c r="J161" s="6" t="str">
        <f>VLOOKUP(E161,'Lista Infomoney'!B:F,4,FALSE)</f>
        <v/>
      </c>
      <c r="K161" s="6" t="str">
        <f>VLOOKUP(E161,'Lista Infomoney'!B:F,5,FALSE)</f>
        <v/>
      </c>
      <c r="V161" s="6" t="str">
        <f t="shared" ref="V161:V163" si="30">H161&amp;" OR "&amp;I161</f>
        <v>RDNI3F OR RDNI3</v>
      </c>
      <c r="W16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v>
      </c>
      <c r="X161"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v>
      </c>
    </row>
    <row r="162">
      <c r="A162" s="2">
        <v>1.0</v>
      </c>
      <c r="B162" s="2" t="s">
        <v>165</v>
      </c>
      <c r="C162" s="2" t="s">
        <v>1521</v>
      </c>
      <c r="D162" s="2" t="s">
        <v>1522</v>
      </c>
      <c r="E162" s="2" t="s">
        <v>1561</v>
      </c>
      <c r="F162" s="2" t="s">
        <v>1562</v>
      </c>
      <c r="G162" s="2" t="s">
        <v>1001</v>
      </c>
      <c r="H162" s="22" t="str">
        <f>VLOOKUP(E162,'Lista Infomoney'!B:H,2,FALSE)</f>
        <v>RSID3F</v>
      </c>
      <c r="I162" s="22" t="str">
        <f>VLOOKUP(E162,'Lista Infomoney'!B:F,3,FALSE)</f>
        <v>RSID3</v>
      </c>
      <c r="J162" s="6" t="str">
        <f>VLOOKUP(E162,'Lista Infomoney'!B:F,4,FALSE)</f>
        <v/>
      </c>
      <c r="K162" s="6" t="str">
        <f>VLOOKUP(E162,'Lista Infomoney'!B:F,5,FALSE)</f>
        <v/>
      </c>
      <c r="V162" s="6" t="str">
        <f t="shared" si="30"/>
        <v>RSID3F OR RSID3</v>
      </c>
      <c r="W16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v>
      </c>
      <c r="X162"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v>
      </c>
    </row>
    <row r="163">
      <c r="A163" s="2">
        <v>1.0</v>
      </c>
      <c r="B163" s="2" t="s">
        <v>165</v>
      </c>
      <c r="C163" s="2" t="s">
        <v>1521</v>
      </c>
      <c r="D163" s="2" t="s">
        <v>1522</v>
      </c>
      <c r="E163" s="2" t="s">
        <v>1563</v>
      </c>
      <c r="F163" s="2" t="s">
        <v>1564</v>
      </c>
      <c r="G163" s="2" t="s">
        <v>1001</v>
      </c>
      <c r="H163" s="22" t="str">
        <f>VLOOKUP(E163,'Lista Infomoney'!B:H,2,FALSE)</f>
        <v>TCSA3F</v>
      </c>
      <c r="I163" s="2" t="s">
        <v>293</v>
      </c>
      <c r="J163" s="6" t="str">
        <f>VLOOKUP(E163,'Lista Infomoney'!B:F,4,FALSE)</f>
        <v/>
      </c>
      <c r="K163" s="6" t="str">
        <f>VLOOKUP(E163,'Lista Infomoney'!B:F,5,FALSE)</f>
        <v/>
      </c>
      <c r="V163" s="6" t="str">
        <f t="shared" si="30"/>
        <v>TCSA3F OR TCSA3</v>
      </c>
      <c r="W16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v>
      </c>
      <c r="X163"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v>
      </c>
    </row>
    <row r="164">
      <c r="A164" s="2">
        <v>2.0</v>
      </c>
      <c r="B164" s="2" t="s">
        <v>165</v>
      </c>
      <c r="C164" s="2" t="s">
        <v>1521</v>
      </c>
      <c r="D164" s="2" t="s">
        <v>1522</v>
      </c>
      <c r="E164" s="2" t="s">
        <v>1565</v>
      </c>
      <c r="F164" s="2" t="s">
        <v>1566</v>
      </c>
      <c r="G164" s="2" t="s">
        <v>1001</v>
      </c>
      <c r="H164" s="2" t="s">
        <v>1567</v>
      </c>
      <c r="V164" s="6" t="str">
        <f t="shared" ref="V164:V166" si="31">H164</f>
        <v>TEND3</v>
      </c>
      <c r="W16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v>
      </c>
      <c r="X164"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v>
      </c>
    </row>
    <row r="165">
      <c r="A165" s="2">
        <v>2.0</v>
      </c>
      <c r="B165" s="2" t="s">
        <v>165</v>
      </c>
      <c r="C165" s="2" t="s">
        <v>1521</v>
      </c>
      <c r="D165" s="2" t="s">
        <v>1522</v>
      </c>
      <c r="E165" s="2" t="s">
        <v>1568</v>
      </c>
      <c r="F165" s="2" t="s">
        <v>1569</v>
      </c>
      <c r="G165" s="2" t="s">
        <v>1001</v>
      </c>
      <c r="H165" s="2" t="s">
        <v>1570</v>
      </c>
      <c r="V165" s="6" t="str">
        <f t="shared" si="31"/>
        <v>TRIS3</v>
      </c>
      <c r="W16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v>
      </c>
      <c r="X165"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v>
      </c>
    </row>
    <row r="166">
      <c r="A166" s="2">
        <v>2.0</v>
      </c>
      <c r="B166" s="2" t="s">
        <v>165</v>
      </c>
      <c r="C166" s="2" t="s">
        <v>1521</v>
      </c>
      <c r="D166" s="2" t="s">
        <v>1522</v>
      </c>
      <c r="E166" s="2" t="s">
        <v>1571</v>
      </c>
      <c r="F166" s="2" t="s">
        <v>1572</v>
      </c>
      <c r="G166" s="2" t="s">
        <v>1001</v>
      </c>
      <c r="H166" s="2" t="s">
        <v>1573</v>
      </c>
      <c r="V166" s="6" t="str">
        <f t="shared" si="31"/>
        <v>VIVR3</v>
      </c>
      <c r="W16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v>
      </c>
      <c r="X166"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v>
      </c>
    </row>
    <row r="167">
      <c r="A167" s="2">
        <v>1.0</v>
      </c>
      <c r="B167" s="2" t="s">
        <v>165</v>
      </c>
      <c r="C167" s="2" t="s">
        <v>1574</v>
      </c>
      <c r="D167" s="2" t="s">
        <v>1575</v>
      </c>
      <c r="E167" s="2" t="s">
        <v>1576</v>
      </c>
      <c r="F167" s="2" t="s">
        <v>1577</v>
      </c>
      <c r="G167" s="2" t="s">
        <v>1029</v>
      </c>
      <c r="H167" s="22" t="str">
        <f>VLOOKUP(E167,'Lista Infomoney'!B:H,2,FALSE)</f>
        <v>CEDO4F</v>
      </c>
      <c r="I167" s="22" t="str">
        <f>VLOOKUP(E167,'Lista Infomoney'!B:F,3,FALSE)</f>
        <v>CEDO3F</v>
      </c>
      <c r="J167" s="2" t="s">
        <v>1578</v>
      </c>
      <c r="K167" s="2" t="s">
        <v>1579</v>
      </c>
      <c r="V167" s="6" t="str">
        <f t="shared" ref="V167:V168" si="32">H167&amp;" OR "&amp;I167&amp;" OR "&amp;J167&amp;" OR "&amp;K167</f>
        <v>CEDO4F OR CEDO3F OR CEDO4 OR CEDO3</v>
      </c>
      <c r="W16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v>
      </c>
      <c r="X167"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v>
      </c>
    </row>
    <row r="168">
      <c r="A168" s="2">
        <v>1.0</v>
      </c>
      <c r="B168" s="2" t="s">
        <v>165</v>
      </c>
      <c r="C168" s="2" t="s">
        <v>1574</v>
      </c>
      <c r="D168" s="2" t="s">
        <v>1575</v>
      </c>
      <c r="E168" s="2" t="s">
        <v>1580</v>
      </c>
      <c r="F168" s="2" t="s">
        <v>1581</v>
      </c>
      <c r="G168" s="2"/>
      <c r="H168" s="22" t="str">
        <f>VLOOKUP(E168,'Lista Infomoney'!B:H,2,FALSE)</f>
        <v>CTNM3F</v>
      </c>
      <c r="I168" s="22" t="str">
        <f>VLOOKUP(E168,'Lista Infomoney'!B:F,3,FALSE)</f>
        <v>CTNM4F</v>
      </c>
      <c r="J168" s="22" t="str">
        <f>VLOOKUP(E168,'Lista Infomoney'!B:F,4,FALSE)</f>
        <v>CTNM4</v>
      </c>
      <c r="K168" s="22" t="str">
        <f>VLOOKUP(E168,'Lista Infomoney'!B:F,5,FALSE)</f>
        <v>CTNM3</v>
      </c>
      <c r="V168" s="6" t="str">
        <f t="shared" si="32"/>
        <v>CTNM3F OR CTNM4F OR CTNM4 OR CTNM3</v>
      </c>
      <c r="W16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v>
      </c>
      <c r="X168"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v>
      </c>
    </row>
    <row r="169">
      <c r="A169" s="2">
        <v>2.0</v>
      </c>
      <c r="B169" s="2" t="s">
        <v>165</v>
      </c>
      <c r="C169" s="2" t="s">
        <v>1574</v>
      </c>
      <c r="D169" s="2" t="s">
        <v>1575</v>
      </c>
      <c r="E169" s="2" t="s">
        <v>1582</v>
      </c>
      <c r="F169" s="2" t="s">
        <v>1583</v>
      </c>
      <c r="G169" s="2"/>
      <c r="H169" s="2" t="s">
        <v>1584</v>
      </c>
      <c r="V169" s="6" t="str">
        <f t="shared" ref="V169:V170" si="33">H169</f>
        <v>DOHL3</v>
      </c>
      <c r="W16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v>
      </c>
      <c r="X169"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v>
      </c>
    </row>
    <row r="170">
      <c r="A170" s="2">
        <v>2.0</v>
      </c>
      <c r="B170" s="2" t="s">
        <v>165</v>
      </c>
      <c r="C170" s="2" t="s">
        <v>1574</v>
      </c>
      <c r="D170" s="2" t="s">
        <v>1575</v>
      </c>
      <c r="E170" s="2" t="s">
        <v>1585</v>
      </c>
      <c r="F170" s="2" t="s">
        <v>1586</v>
      </c>
      <c r="G170" s="2"/>
      <c r="H170" s="2" t="s">
        <v>1587</v>
      </c>
      <c r="V170" s="6" t="str">
        <f t="shared" si="33"/>
        <v>ECPR3</v>
      </c>
      <c r="W17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v>
      </c>
      <c r="X170"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v>
      </c>
    </row>
    <row r="171">
      <c r="A171" s="2">
        <v>2.0</v>
      </c>
      <c r="B171" s="2" t="s">
        <v>165</v>
      </c>
      <c r="C171" s="2" t="s">
        <v>1574</v>
      </c>
      <c r="D171" s="2" t="s">
        <v>1575</v>
      </c>
      <c r="E171" s="2" t="s">
        <v>1588</v>
      </c>
      <c r="F171" s="2" t="s">
        <v>1589</v>
      </c>
      <c r="G171" s="2"/>
      <c r="H171" s="2" t="s">
        <v>1590</v>
      </c>
      <c r="I171" s="2" t="s">
        <v>1591</v>
      </c>
      <c r="V171" s="6" t="str">
        <f>H171&amp;" OR "&amp;I171</f>
        <v>CATA3 OR CATA4</v>
      </c>
      <c r="W17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v>
      </c>
      <c r="X171"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v>
      </c>
    </row>
    <row r="172">
      <c r="A172" s="2">
        <v>1.0</v>
      </c>
      <c r="B172" s="2" t="s">
        <v>165</v>
      </c>
      <c r="C172" s="2" t="s">
        <v>1574</v>
      </c>
      <c r="D172" s="2" t="s">
        <v>1575</v>
      </c>
      <c r="E172" s="2" t="s">
        <v>1592</v>
      </c>
      <c r="F172" s="2" t="s">
        <v>1593</v>
      </c>
      <c r="G172" s="2"/>
      <c r="H172" s="22" t="str">
        <f>VLOOKUP(E172,'Lista Infomoney'!B:H,2,FALSE)</f>
        <v>CTKA4F</v>
      </c>
      <c r="I172" s="22" t="str">
        <f>VLOOKUP(E172,'Lista Infomoney'!B:F,3,FALSE)</f>
        <v>CTKA3F</v>
      </c>
      <c r="J172" s="22" t="str">
        <f>VLOOKUP(E172,'Lista Infomoney'!B:F,4,FALSE)</f>
        <v>CTKA4</v>
      </c>
      <c r="K172" s="22" t="str">
        <f>VLOOKUP(E172,'Lista Infomoney'!B:F,5,FALSE)</f>
        <v>CTKA3</v>
      </c>
      <c r="V172" s="6" t="str">
        <f>H172&amp;" OR "&amp;I172&amp;" OR "&amp;J172&amp;" OR "&amp;K172</f>
        <v>CTKA4F OR CTKA3F OR CTKA4 OR CTKA3</v>
      </c>
      <c r="W17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v>
      </c>
      <c r="X172"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v>
      </c>
    </row>
    <row r="173">
      <c r="A173" s="2">
        <v>2.0</v>
      </c>
      <c r="B173" s="2" t="s">
        <v>165</v>
      </c>
      <c r="C173" s="2" t="s">
        <v>1574</v>
      </c>
      <c r="D173" s="2" t="s">
        <v>1575</v>
      </c>
      <c r="E173" s="2" t="s">
        <v>1594</v>
      </c>
      <c r="F173" s="2" t="s">
        <v>1595</v>
      </c>
      <c r="G173" s="2"/>
      <c r="H173" s="2" t="s">
        <v>1596</v>
      </c>
      <c r="V173" s="6" t="str">
        <f t="shared" ref="V173:V177" si="34">H173</f>
        <v>PTNT4</v>
      </c>
      <c r="W17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v>
      </c>
      <c r="X173"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v>
      </c>
    </row>
    <row r="174">
      <c r="A174" s="2">
        <v>2.0</v>
      </c>
      <c r="B174" s="2" t="s">
        <v>165</v>
      </c>
      <c r="C174" s="2" t="s">
        <v>1574</v>
      </c>
      <c r="D174" s="2" t="s">
        <v>1575</v>
      </c>
      <c r="E174" s="2" t="s">
        <v>1597</v>
      </c>
      <c r="F174" s="2" t="s">
        <v>1598</v>
      </c>
      <c r="G174" s="2"/>
      <c r="H174" s="2" t="s">
        <v>1599</v>
      </c>
      <c r="V174" s="6" t="str">
        <f t="shared" si="34"/>
        <v>CTSA3</v>
      </c>
      <c r="W17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v>
      </c>
      <c r="X174"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v>
      </c>
    </row>
    <row r="175">
      <c r="A175" s="2">
        <v>2.0</v>
      </c>
      <c r="B175" s="2" t="s">
        <v>165</v>
      </c>
      <c r="C175" s="2" t="s">
        <v>1574</v>
      </c>
      <c r="D175" s="2" t="s">
        <v>1575</v>
      </c>
      <c r="E175" s="2" t="s">
        <v>1600</v>
      </c>
      <c r="F175" s="2" t="s">
        <v>1601</v>
      </c>
      <c r="G175" s="2" t="s">
        <v>1001</v>
      </c>
      <c r="H175" s="2" t="s">
        <v>1602</v>
      </c>
      <c r="V175" s="6" t="str">
        <f t="shared" si="34"/>
        <v>SGPS3</v>
      </c>
      <c r="W17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v>
      </c>
      <c r="X175"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v>
      </c>
    </row>
    <row r="176">
      <c r="A176" s="2">
        <v>2.0</v>
      </c>
      <c r="B176" s="2" t="s">
        <v>165</v>
      </c>
      <c r="C176" s="2" t="s">
        <v>1574</v>
      </c>
      <c r="D176" s="2" t="s">
        <v>1575</v>
      </c>
      <c r="E176" s="2" t="s">
        <v>1603</v>
      </c>
      <c r="F176" s="2" t="s">
        <v>1603</v>
      </c>
      <c r="G176" s="2"/>
      <c r="H176" s="2" t="s">
        <v>1604</v>
      </c>
      <c r="V176" s="6" t="str">
        <f t="shared" si="34"/>
        <v>TEKA4</v>
      </c>
      <c r="W17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v>
      </c>
      <c r="X176"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v>
      </c>
    </row>
    <row r="177">
      <c r="A177" s="2">
        <v>2.0</v>
      </c>
      <c r="B177" s="2" t="s">
        <v>165</v>
      </c>
      <c r="C177" s="2" t="s">
        <v>1574</v>
      </c>
      <c r="D177" s="2" t="s">
        <v>1575</v>
      </c>
      <c r="E177" s="2" t="s">
        <v>1605</v>
      </c>
      <c r="F177" s="2" t="s">
        <v>1606</v>
      </c>
      <c r="G177" s="2"/>
      <c r="H177" s="2" t="s">
        <v>1607</v>
      </c>
      <c r="V177" s="6" t="str">
        <f t="shared" si="34"/>
        <v>TXRX4</v>
      </c>
      <c r="W17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v>
      </c>
      <c r="X177"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v>
      </c>
    </row>
    <row r="178">
      <c r="A178" s="2">
        <v>1.0</v>
      </c>
      <c r="B178" s="2" t="s">
        <v>165</v>
      </c>
      <c r="C178" s="2" t="s">
        <v>1574</v>
      </c>
      <c r="D178" s="2" t="s">
        <v>1608</v>
      </c>
      <c r="E178" s="2" t="s">
        <v>1609</v>
      </c>
      <c r="F178" s="2" t="s">
        <v>1610</v>
      </c>
      <c r="G178" s="2" t="s">
        <v>1001</v>
      </c>
      <c r="H178" s="22" t="str">
        <f>VLOOKUP(E178,'Lista Infomoney'!B:H,2,FALSE)</f>
        <v>HGTX3F</v>
      </c>
      <c r="I178" s="2" t="s">
        <v>1611</v>
      </c>
      <c r="J178" s="6" t="str">
        <f>VLOOKUP(E178,'Lista Infomoney'!B:F,4,FALSE)</f>
        <v/>
      </c>
      <c r="K178" s="6" t="str">
        <f>VLOOKUP(E178,'Lista Infomoney'!B:F,5,FALSE)</f>
        <v/>
      </c>
      <c r="V178" s="6" t="str">
        <f>H178&amp;" OR "&amp;I178</f>
        <v>HGTX3F OR HGTX3</v>
      </c>
      <c r="W17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v>
      </c>
      <c r="X178" s="6" t="str">
        <f t="shared" si="14"/>
        <v>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v>
      </c>
    </row>
    <row r="179">
      <c r="A179" s="2">
        <v>1.0</v>
      </c>
      <c r="B179" s="2" t="s">
        <v>165</v>
      </c>
      <c r="C179" s="2" t="s">
        <v>1574</v>
      </c>
      <c r="D179" s="2" t="s">
        <v>1612</v>
      </c>
      <c r="E179" s="2" t="s">
        <v>1613</v>
      </c>
      <c r="F179" s="2" t="s">
        <v>1614</v>
      </c>
      <c r="G179" s="2" t="s">
        <v>1029</v>
      </c>
      <c r="H179" s="22" t="str">
        <f>VLOOKUP(E179,'Lista Infomoney'!B:H,2,FALSE)</f>
        <v>ALPA3F</v>
      </c>
      <c r="I179" s="22" t="str">
        <f>VLOOKUP(E179,'Lista Infomoney'!B:F,3,FALSE)</f>
        <v>ALPA4F</v>
      </c>
      <c r="J179" s="2" t="s">
        <v>1615</v>
      </c>
      <c r="K179" s="2" t="s">
        <v>1616</v>
      </c>
      <c r="V179" s="6" t="str">
        <f>H179&amp;" OR "&amp;I179&amp;" OR "&amp;J179&amp;" OR "&amp;K179</f>
        <v>ALPA3F OR ALPA4F OR ALPA3 OR ALPA4</v>
      </c>
      <c r="W17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v>
      </c>
      <c r="Y179" s="6" t="str">
        <f>V179&amp;" OR "&amp;V180</f>
        <v>ALPA3F OR ALPA4F OR ALPA3 OR ALPA4 OR CAMB3</v>
      </c>
    </row>
    <row r="180">
      <c r="A180" s="2">
        <v>2.0</v>
      </c>
      <c r="B180" s="2" t="s">
        <v>165</v>
      </c>
      <c r="C180" s="2" t="s">
        <v>1574</v>
      </c>
      <c r="D180" s="2" t="s">
        <v>1612</v>
      </c>
      <c r="E180" s="2" t="s">
        <v>1617</v>
      </c>
      <c r="F180" s="2" t="s">
        <v>1618</v>
      </c>
      <c r="G180" s="2"/>
      <c r="H180" s="2" t="s">
        <v>1619</v>
      </c>
      <c r="V180" s="6" t="str">
        <f>H180</f>
        <v>CAMB3</v>
      </c>
      <c r="W18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v>
      </c>
      <c r="Y180" s="6" t="str">
        <f t="shared" ref="Y180:Y277" si="35">Y179&amp;" OR "&amp;V181</f>
        <v>ALPA3F OR ALPA4F OR ALPA3 OR ALPA4 OR CAMB3 OR GRND3F OR GRND3</v>
      </c>
    </row>
    <row r="181">
      <c r="A181" s="2">
        <v>1.0</v>
      </c>
      <c r="B181" s="2" t="s">
        <v>165</v>
      </c>
      <c r="C181" s="2" t="s">
        <v>1574</v>
      </c>
      <c r="D181" s="2" t="s">
        <v>1612</v>
      </c>
      <c r="E181" s="2" t="s">
        <v>1620</v>
      </c>
      <c r="F181" s="2" t="s">
        <v>1621</v>
      </c>
      <c r="G181" s="2" t="s">
        <v>1001</v>
      </c>
      <c r="H181" s="22" t="str">
        <f>VLOOKUP(E181,'Lista Infomoney'!B:H,2,FALSE)</f>
        <v>GRND3F</v>
      </c>
      <c r="I181" s="22" t="str">
        <f>VLOOKUP(E181,'Lista Infomoney'!B:F,3,FALSE)</f>
        <v>GRND3</v>
      </c>
      <c r="J181" s="6" t="str">
        <f>VLOOKUP(E181,'Lista Infomoney'!B:F,4,FALSE)</f>
        <v/>
      </c>
      <c r="K181" s="6" t="str">
        <f>VLOOKUP(E181,'Lista Infomoney'!B:F,5,FALSE)</f>
        <v/>
      </c>
      <c r="V181" s="6" t="str">
        <f>H181&amp;" OR "&amp;I181</f>
        <v>GRND3F OR GRND3</v>
      </c>
      <c r="W18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v>
      </c>
      <c r="Y181" s="6" t="str">
        <f t="shared" si="35"/>
        <v>ALPA3F OR ALPA4F OR ALPA3 OR ALPA4 OR CAMB3 OR GRND3F OR GRND3 OR VULC3</v>
      </c>
    </row>
    <row r="182">
      <c r="A182" s="2">
        <v>2.0</v>
      </c>
      <c r="B182" s="2" t="s">
        <v>165</v>
      </c>
      <c r="C182" s="2" t="s">
        <v>1574</v>
      </c>
      <c r="D182" s="2" t="s">
        <v>1612</v>
      </c>
      <c r="E182" s="2" t="s">
        <v>1622</v>
      </c>
      <c r="F182" s="2" t="s">
        <v>1623</v>
      </c>
      <c r="G182" s="2" t="s">
        <v>1001</v>
      </c>
      <c r="H182" s="2" t="s">
        <v>1624</v>
      </c>
      <c r="V182" s="6" t="str">
        <f>H182</f>
        <v>VULC3</v>
      </c>
      <c r="W18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v>
      </c>
      <c r="Y182" s="6" t="str">
        <f t="shared" si="35"/>
        <v>ALPA3F OR ALPA4F OR ALPA3 OR ALPA4 OR CAMB3 OR GRND3F OR GRND3 OR VULC3 OR MNDL3F OR MNDL3</v>
      </c>
    </row>
    <row r="183">
      <c r="A183" s="2">
        <v>1.0</v>
      </c>
      <c r="B183" s="2" t="s">
        <v>165</v>
      </c>
      <c r="C183" s="2" t="s">
        <v>1574</v>
      </c>
      <c r="D183" s="2" t="s">
        <v>1625</v>
      </c>
      <c r="E183" s="2" t="s">
        <v>1626</v>
      </c>
      <c r="F183" s="2" t="s">
        <v>1627</v>
      </c>
      <c r="G183" s="2"/>
      <c r="H183" s="22" t="str">
        <f>VLOOKUP(E183,'Lista Infomoney'!B:H,2,FALSE)</f>
        <v>MNDL3F</v>
      </c>
      <c r="I183" s="22" t="str">
        <f>VLOOKUP(E183,'Lista Infomoney'!B:F,3,FALSE)</f>
        <v>MNDL3</v>
      </c>
      <c r="J183" s="6" t="str">
        <f>VLOOKUP(E183,'Lista Infomoney'!B:F,4,FALSE)</f>
        <v/>
      </c>
      <c r="K183" s="6" t="str">
        <f>VLOOKUP(E183,'Lista Infomoney'!B:F,5,FALSE)</f>
        <v/>
      </c>
      <c r="V183" s="6" t="str">
        <f>H183&amp;" OR "&amp;I183</f>
        <v>MNDL3F OR MNDL3</v>
      </c>
      <c r="W18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v>
      </c>
      <c r="Y183" s="6" t="str">
        <f t="shared" si="35"/>
        <v>ALPA3F OR ALPA4F OR ALPA3 OR ALPA4 OR CAMB3 OR GRND3F OR GRND3 OR VULC3 OR MNDL3F OR MNDL3 OR TECN3</v>
      </c>
    </row>
    <row r="184">
      <c r="A184" s="2">
        <v>2.0</v>
      </c>
      <c r="B184" s="2" t="s">
        <v>165</v>
      </c>
      <c r="C184" s="2" t="s">
        <v>1574</v>
      </c>
      <c r="D184" s="2" t="s">
        <v>1625</v>
      </c>
      <c r="E184" s="2" t="s">
        <v>1628</v>
      </c>
      <c r="F184" s="2" t="s">
        <v>1629</v>
      </c>
      <c r="G184" s="2" t="s">
        <v>1001</v>
      </c>
      <c r="H184" s="2" t="s">
        <v>1630</v>
      </c>
      <c r="V184" s="6" t="str">
        <f t="shared" ref="V184:V185" si="36">H184</f>
        <v>TECN3</v>
      </c>
      <c r="W18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v>
      </c>
      <c r="Y184" s="6" t="str">
        <f t="shared" si="35"/>
        <v>ALPA3F OR ALPA4F OR ALPA3 OR ALPA4 OR CAMB3 OR GRND3F OR GRND3 OR VULC3 OR MNDL3F OR MNDL3 OR TECN3 OR VIVA3</v>
      </c>
    </row>
    <row r="185">
      <c r="A185" s="2">
        <v>1.0</v>
      </c>
      <c r="B185" s="2" t="s">
        <v>165</v>
      </c>
      <c r="C185" s="2" t="s">
        <v>1574</v>
      </c>
      <c r="D185" s="2" t="s">
        <v>1625</v>
      </c>
      <c r="E185" s="2" t="s">
        <v>354</v>
      </c>
      <c r="F185" s="2" t="s">
        <v>1631</v>
      </c>
      <c r="G185" s="2" t="s">
        <v>1001</v>
      </c>
      <c r="H185" s="22" t="str">
        <f>VLOOKUP(E185,'Lista Infomoney'!B:H,2,FALSE)</f>
        <v>VIVA3</v>
      </c>
      <c r="I185" s="6" t="str">
        <f>VLOOKUP(E185,'Lista Infomoney'!B:F,3,FALSE)</f>
        <v/>
      </c>
      <c r="J185" s="6" t="str">
        <f>VLOOKUP(E185,'Lista Infomoney'!B:F,4,FALSE)</f>
        <v/>
      </c>
      <c r="K185" s="6" t="str">
        <f>VLOOKUP(E185,'Lista Infomoney'!B:F,5,FALSE)</f>
        <v/>
      </c>
      <c r="V185" s="22" t="str">
        <f t="shared" si="36"/>
        <v>VIVA3</v>
      </c>
      <c r="W18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v>
      </c>
      <c r="Y185" s="6" t="str">
        <f t="shared" si="35"/>
        <v>ALPA3F OR ALPA4F OR ALPA3 OR ALPA4 OR CAMB3 OR GRND3F OR GRND3 OR VULC3 OR MNDL3F OR MNDL3 OR TECN3 OR VIVA3 OR WHRL4F OR WHRL3F OR WHRL4 OR WHRL3</v>
      </c>
    </row>
    <row r="186">
      <c r="A186" s="2">
        <v>1.0</v>
      </c>
      <c r="B186" s="2" t="s">
        <v>165</v>
      </c>
      <c r="C186" s="2" t="s">
        <v>1632</v>
      </c>
      <c r="D186" s="2" t="s">
        <v>1633</v>
      </c>
      <c r="E186" s="2" t="s">
        <v>113</v>
      </c>
      <c r="F186" s="2" t="s">
        <v>1634</v>
      </c>
      <c r="G186" s="2"/>
      <c r="H186" s="22" t="str">
        <f>VLOOKUP(E186,'Lista Infomoney'!B:H,2,FALSE)</f>
        <v>WHRL4F</v>
      </c>
      <c r="I186" s="5" t="s">
        <v>115</v>
      </c>
      <c r="J186" s="5" t="s">
        <v>289</v>
      </c>
      <c r="K186" s="2" t="s">
        <v>290</v>
      </c>
      <c r="V186" s="6" t="str">
        <f>H186&amp;" OR "&amp;I186&amp;" OR "&amp;J186&amp;" OR "&amp;K186</f>
        <v>WHRL4F OR WHRL3F OR WHRL4 OR WHRL3</v>
      </c>
      <c r="W18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v>
      </c>
      <c r="Y186" s="6" t="str">
        <f t="shared" si="35"/>
        <v>ALPA3F OR ALPA4F OR ALPA3 OR ALPA4 OR CAMB3 OR GRND3F OR GRND3 OR VULC3 OR MNDL3F OR MNDL3 OR TECN3 OR VIVA3 OR WHRL4F OR WHRL3F OR WHRL4 OR WHRL3 OR UCAS3</v>
      </c>
    </row>
    <row r="187">
      <c r="A187" s="2">
        <v>2.0</v>
      </c>
      <c r="B187" s="2" t="s">
        <v>165</v>
      </c>
      <c r="C187" s="2" t="s">
        <v>1632</v>
      </c>
      <c r="D187" s="2" t="s">
        <v>1635</v>
      </c>
      <c r="E187" s="2" t="s">
        <v>1636</v>
      </c>
      <c r="F187" s="2" t="s">
        <v>1637</v>
      </c>
      <c r="G187" s="2" t="s">
        <v>1001</v>
      </c>
      <c r="H187" s="2" t="s">
        <v>1638</v>
      </c>
      <c r="V187" s="6" t="str">
        <f t="shared" ref="V187:V188" si="37">H187</f>
        <v>UCAS3</v>
      </c>
      <c r="W18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v>
      </c>
      <c r="Y187" s="6" t="str">
        <f t="shared" si="35"/>
        <v>ALPA3F OR ALPA4F OR ALPA3 OR ALPA4 OR CAMB3 OR GRND3F OR GRND3 OR VULC3 OR MNDL3F OR MNDL3 OR TECN3 OR VIVA3 OR WHRL4F OR WHRL3F OR WHRL4 OR WHRL3 OR UCAS3 OR HETA4</v>
      </c>
    </row>
    <row r="188">
      <c r="A188" s="2">
        <v>2.0</v>
      </c>
      <c r="B188" s="2" t="s">
        <v>165</v>
      </c>
      <c r="C188" s="2" t="s">
        <v>1632</v>
      </c>
      <c r="D188" s="2" t="s">
        <v>1639</v>
      </c>
      <c r="E188" s="2" t="s">
        <v>1640</v>
      </c>
      <c r="F188" s="2" t="s">
        <v>1641</v>
      </c>
      <c r="G188" s="2"/>
      <c r="H188" s="2" t="s">
        <v>1642</v>
      </c>
      <c r="V188" s="6" t="str">
        <f t="shared" si="37"/>
        <v>HETA4</v>
      </c>
      <c r="W18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v>
      </c>
      <c r="Y188" s="6" t="str">
        <f t="shared" si="35"/>
        <v>ALPA3F OR ALPA4F OR ALPA3 OR ALPA4 OR CAMB3 OR GRND3F OR GRND3 OR VULC3 OR MNDL3F OR MNDL3 OR TECN3 OR VIVA3 OR WHRL4F OR WHRL3F OR WHRL4 OR WHRL3 OR UCAS3 OR HETA4 OR MYPK3F OR MYPK3 OR MYPK11F OR MYPK12F</v>
      </c>
    </row>
    <row r="189">
      <c r="A189" s="2">
        <v>1.0</v>
      </c>
      <c r="B189" s="2" t="s">
        <v>165</v>
      </c>
      <c r="C189" s="2" t="s">
        <v>1643</v>
      </c>
      <c r="D189" s="2" t="s">
        <v>1643</v>
      </c>
      <c r="E189" s="2" t="s">
        <v>209</v>
      </c>
      <c r="F189" s="2" t="s">
        <v>1644</v>
      </c>
      <c r="G189" s="2" t="s">
        <v>1001</v>
      </c>
      <c r="H189" s="22" t="str">
        <f>VLOOKUP(E189,'Lista Infomoney'!B:H,2,FALSE)</f>
        <v>MYPK3F</v>
      </c>
      <c r="I189" s="22" t="str">
        <f>VLOOKUP(E189,'Lista Infomoney'!B:F,3,FALSE)</f>
        <v>MYPK3</v>
      </c>
      <c r="J189" s="2" t="s">
        <v>1645</v>
      </c>
      <c r="K189" s="2" t="s">
        <v>1646</v>
      </c>
      <c r="V189" s="6" t="str">
        <f>H189&amp;" OR "&amp;I189&amp;" OR "&amp;J189&amp;" OR "&amp;K189</f>
        <v>MYPK3F OR MYPK3 OR MYPK11F OR MYPK12F</v>
      </c>
      <c r="W18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v>
      </c>
      <c r="Y189" s="6" t="str">
        <f t="shared" si="35"/>
        <v>ALPA3F OR ALPA4F OR ALPA3 OR ALPA4 OR CAMB3 OR GRND3F OR GRND3 OR VULC3 OR MNDL3F OR MNDL3 OR TECN3 OR VIVA3 OR WHRL4F OR WHRL3F OR WHRL4 OR WHRL3 OR UCAS3 OR HETA4 OR MYPK3F OR MYPK3 OR MYPK11F OR MYPK12F OR LEVE3F OR LEVE3</v>
      </c>
    </row>
    <row r="190">
      <c r="A190" s="2">
        <v>1.0</v>
      </c>
      <c r="B190" s="2" t="s">
        <v>165</v>
      </c>
      <c r="C190" s="2" t="s">
        <v>1643</v>
      </c>
      <c r="D190" s="2" t="s">
        <v>1643</v>
      </c>
      <c r="E190" s="2" t="s">
        <v>1647</v>
      </c>
      <c r="F190" s="2" t="s">
        <v>1648</v>
      </c>
      <c r="G190" s="2" t="s">
        <v>1001</v>
      </c>
      <c r="H190" s="22" t="str">
        <f>VLOOKUP(E190,'Lista Infomoney'!B:H,2,FALSE)</f>
        <v>LEVE3F</v>
      </c>
      <c r="I190" s="22" t="str">
        <f>VLOOKUP(E190,'Lista Infomoney'!B:F,3,FALSE)</f>
        <v>LEVE3</v>
      </c>
      <c r="J190" s="6" t="str">
        <f>VLOOKUP(E190,'Lista Infomoney'!B:F,4,FALSE)</f>
        <v/>
      </c>
      <c r="K190" s="6" t="str">
        <f>VLOOKUP(E190,'Lista Infomoney'!B:F,5,FALSE)</f>
        <v/>
      </c>
      <c r="V190" s="6" t="str">
        <f t="shared" ref="V190:V191" si="38">H190&amp;" OR "&amp;I190</f>
        <v>LEVE3F OR LEVE3</v>
      </c>
      <c r="W19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v>
      </c>
      <c r="Y190" s="6" t="str">
        <f t="shared" si="35"/>
        <v>ALPA3F OR ALPA4F OR ALPA3 OR ALPA4 OR CAMB3 OR GRND3F OR GRND3 OR VULC3 OR MNDL3F OR MNDL3 OR TECN3 OR VIVA3 OR WHRL4F OR WHRL3F OR WHRL4 OR WHRL3 OR UCAS3 OR HETA4 OR MYPK3F OR MYPK3 OR MYPK11F OR MYPK12F OR LEVE3F OR LEVE3 OR PLAS3 OR PLAS11</v>
      </c>
    </row>
    <row r="191">
      <c r="A191" s="2">
        <v>2.0</v>
      </c>
      <c r="B191" s="2" t="s">
        <v>165</v>
      </c>
      <c r="C191" s="2" t="s">
        <v>1643</v>
      </c>
      <c r="D191" s="2" t="s">
        <v>1643</v>
      </c>
      <c r="E191" s="2" t="s">
        <v>1649</v>
      </c>
      <c r="F191" s="2" t="s">
        <v>1650</v>
      </c>
      <c r="G191" s="2"/>
      <c r="H191" s="2" t="s">
        <v>1651</v>
      </c>
      <c r="I191" s="2" t="s">
        <v>1652</v>
      </c>
      <c r="V191" s="6" t="str">
        <f t="shared" si="38"/>
        <v>PLAS3 OR PLAS11</v>
      </c>
      <c r="W19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v>
      </c>
      <c r="Y191" s="6" t="str">
        <f t="shared" si="35"/>
        <v>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v>
      </c>
    </row>
    <row r="192">
      <c r="A192" s="2">
        <v>1.0</v>
      </c>
      <c r="B192" s="2" t="s">
        <v>165</v>
      </c>
      <c r="C192" s="2" t="s">
        <v>1653</v>
      </c>
      <c r="D192" s="2" t="s">
        <v>1654</v>
      </c>
      <c r="E192" s="2" t="s">
        <v>1655</v>
      </c>
      <c r="F192" s="2" t="s">
        <v>1656</v>
      </c>
      <c r="G192" s="2"/>
      <c r="H192" s="22" t="str">
        <f>VLOOKUP(E192,'Lista Infomoney'!B:H,2,FALSE)</f>
        <v>HOOT4</v>
      </c>
      <c r="I192" s="2" t="s">
        <v>1657</v>
      </c>
      <c r="J192" s="2" t="s">
        <v>1658</v>
      </c>
      <c r="K192" s="2" t="s">
        <v>1659</v>
      </c>
      <c r="V192" s="6" t="str">
        <f>H192&amp;" OR "&amp;I192&amp;" OR "&amp;J192&amp;" OR "&amp;K192</f>
        <v>HOOT4 OR HOOT3 OR HOOT4F OR HOOT3F</v>
      </c>
      <c r="W19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v>
      </c>
      <c r="Y192" s="6" t="str">
        <f t="shared" si="35"/>
        <v>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v>
      </c>
    </row>
    <row r="193">
      <c r="A193" s="2">
        <v>2.0</v>
      </c>
      <c r="B193" s="2" t="s">
        <v>165</v>
      </c>
      <c r="C193" s="2" t="s">
        <v>1653</v>
      </c>
      <c r="D193" s="2" t="s">
        <v>1660</v>
      </c>
      <c r="E193" s="2" t="s">
        <v>1661</v>
      </c>
      <c r="F193" s="2" t="s">
        <v>1662</v>
      </c>
      <c r="G193" s="2" t="s">
        <v>1001</v>
      </c>
      <c r="H193" s="2" t="s">
        <v>1663</v>
      </c>
      <c r="V193" s="6" t="str">
        <f t="shared" ref="V193:V195" si="39">H193</f>
        <v>BKBR3</v>
      </c>
      <c r="W19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v>
      </c>
      <c r="Y193" s="6" t="str">
        <f t="shared" si="35"/>
        <v>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v>
      </c>
    </row>
    <row r="194">
      <c r="A194" s="2">
        <v>2.0</v>
      </c>
      <c r="B194" s="2" t="s">
        <v>165</v>
      </c>
      <c r="C194" s="2" t="s">
        <v>1653</v>
      </c>
      <c r="D194" s="2" t="s">
        <v>1660</v>
      </c>
      <c r="E194" s="2" t="s">
        <v>1664</v>
      </c>
      <c r="F194" s="2" t="s">
        <v>1665</v>
      </c>
      <c r="G194" s="2" t="s">
        <v>1001</v>
      </c>
      <c r="H194" s="2" t="s">
        <v>1666</v>
      </c>
      <c r="V194" s="6" t="str">
        <f t="shared" si="39"/>
        <v>MEAL3</v>
      </c>
      <c r="W19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v>
      </c>
      <c r="Y194" s="6" t="str">
        <f t="shared" si="35"/>
        <v>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v>
      </c>
    </row>
    <row r="195">
      <c r="A195" s="2">
        <v>2.0</v>
      </c>
      <c r="B195" s="2" t="s">
        <v>165</v>
      </c>
      <c r="C195" s="2" t="s">
        <v>1667</v>
      </c>
      <c r="D195" s="2" t="s">
        <v>1668</v>
      </c>
      <c r="E195" s="2" t="s">
        <v>1669</v>
      </c>
      <c r="F195" s="2" t="s">
        <v>1670</v>
      </c>
      <c r="G195" s="2"/>
      <c r="H195" s="2" t="s">
        <v>1671</v>
      </c>
      <c r="V195" s="6" t="str">
        <f t="shared" si="39"/>
        <v>BMKS3</v>
      </c>
      <c r="W19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v>
      </c>
      <c r="Y195" s="6" t="str">
        <f t="shared" si="35"/>
        <v>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v>
      </c>
    </row>
    <row r="196">
      <c r="A196" s="2">
        <v>1.0</v>
      </c>
      <c r="B196" s="2" t="s">
        <v>165</v>
      </c>
      <c r="C196" s="2" t="s">
        <v>1667</v>
      </c>
      <c r="D196" s="2" t="s">
        <v>1672</v>
      </c>
      <c r="E196" s="2" t="s">
        <v>1673</v>
      </c>
      <c r="F196" s="2" t="s">
        <v>1674</v>
      </c>
      <c r="G196" s="2"/>
      <c r="H196" s="22" t="str">
        <f>VLOOKUP(E196,'Lista Infomoney'!B:H,2,FALSE)</f>
        <v>ESTR4F</v>
      </c>
      <c r="I196" s="22" t="str">
        <f>VLOOKUP(E196,'Lista Infomoney'!B:F,3,FALSE)</f>
        <v>ESTR3F</v>
      </c>
      <c r="J196" s="22" t="str">
        <f>VLOOKUP(E196,'Lista Infomoney'!B:F,4,FALSE)</f>
        <v>ESTR4</v>
      </c>
      <c r="K196" s="22" t="str">
        <f>VLOOKUP(E196,'Lista Infomoney'!B:F,5,FALSE)</f>
        <v>ESTR3</v>
      </c>
      <c r="V196" s="6" t="str">
        <f>H196&amp;" OR "&amp;I196&amp;" OR "&amp;J196&amp;" OR "&amp;K196</f>
        <v>ESTR4F OR ESTR3F OR ESTR4 OR ESTR3</v>
      </c>
      <c r="W19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v>
      </c>
      <c r="Y196" s="6" t="str">
        <f t="shared" si="35"/>
        <v>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v>
      </c>
    </row>
    <row r="197">
      <c r="A197" s="2">
        <v>2.0</v>
      </c>
      <c r="B197" s="2" t="s">
        <v>165</v>
      </c>
      <c r="C197" s="2" t="s">
        <v>1667</v>
      </c>
      <c r="D197" s="2" t="s">
        <v>1675</v>
      </c>
      <c r="E197" s="2" t="s">
        <v>1676</v>
      </c>
      <c r="F197" s="2" t="s">
        <v>1677</v>
      </c>
      <c r="G197" s="2"/>
      <c r="H197" s="2" t="s">
        <v>1678</v>
      </c>
      <c r="V197" s="6" t="str">
        <f t="shared" ref="V197:V198" si="40">H197</f>
        <v>AHEB3</v>
      </c>
      <c r="W19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v>
      </c>
      <c r="Y197" s="6" t="str">
        <f t="shared" si="35"/>
        <v>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v>
      </c>
    </row>
    <row r="198">
      <c r="A198" s="2">
        <v>2.0</v>
      </c>
      <c r="B198" s="2" t="s">
        <v>165</v>
      </c>
      <c r="C198" s="2" t="s">
        <v>1667</v>
      </c>
      <c r="D198" s="2" t="s">
        <v>1675</v>
      </c>
      <c r="E198" s="2" t="s">
        <v>1679</v>
      </c>
      <c r="F198" s="2" t="s">
        <v>1680</v>
      </c>
      <c r="G198" s="2" t="s">
        <v>1001</v>
      </c>
      <c r="H198" s="2" t="s">
        <v>1681</v>
      </c>
      <c r="V198" s="6" t="str">
        <f t="shared" si="40"/>
        <v>SHOW3</v>
      </c>
      <c r="W19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v>
      </c>
      <c r="Y198" s="6" t="str">
        <f t="shared" si="35"/>
        <v>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v>
      </c>
    </row>
    <row r="199">
      <c r="A199" s="2">
        <v>1.0</v>
      </c>
      <c r="B199" s="2" t="s">
        <v>165</v>
      </c>
      <c r="C199" s="2" t="s">
        <v>1667</v>
      </c>
      <c r="D199" s="2" t="s">
        <v>1682</v>
      </c>
      <c r="E199" s="2" t="s">
        <v>314</v>
      </c>
      <c r="F199" s="2" t="s">
        <v>1683</v>
      </c>
      <c r="G199" s="2" t="s">
        <v>1001</v>
      </c>
      <c r="H199" s="22" t="str">
        <f>VLOOKUP(E199,'Lista Infomoney'!B:H,2,FALSE)</f>
        <v>CVCB3</v>
      </c>
      <c r="I199" s="2" t="s">
        <v>1684</v>
      </c>
      <c r="J199" s="2" t="s">
        <v>1685</v>
      </c>
      <c r="K199" s="6" t="str">
        <f>VLOOKUP(E199,'Lista Infomoney'!B:F,5,FALSE)</f>
        <v/>
      </c>
      <c r="V199" s="6" t="str">
        <f>H199&amp;" OR "&amp;I199&amp;" OR "&amp;J199</f>
        <v>CVCB3 OR CVCB3F OR CVCB11</v>
      </c>
      <c r="W19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v>
      </c>
      <c r="Y199" s="6" t="str">
        <f t="shared" si="35"/>
        <v>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v>
      </c>
    </row>
    <row r="200">
      <c r="A200" s="2">
        <v>2.0</v>
      </c>
      <c r="B200" s="2" t="s">
        <v>165</v>
      </c>
      <c r="C200" s="2" t="s">
        <v>1667</v>
      </c>
      <c r="D200" s="2" t="s">
        <v>1686</v>
      </c>
      <c r="E200" s="2" t="s">
        <v>1687</v>
      </c>
      <c r="F200" s="2" t="s">
        <v>1688</v>
      </c>
      <c r="G200" s="2" t="s">
        <v>1274</v>
      </c>
      <c r="H200" s="2" t="s">
        <v>1689</v>
      </c>
      <c r="V200" s="6" t="str">
        <f>H200</f>
        <v>SMTF3</v>
      </c>
      <c r="W20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v>
      </c>
      <c r="Y200" s="6" t="str">
        <f t="shared" si="35"/>
        <v>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v>
      </c>
    </row>
    <row r="201">
      <c r="A201" s="2">
        <v>1.0</v>
      </c>
      <c r="B201" s="2" t="s">
        <v>165</v>
      </c>
      <c r="C201" s="2" t="s">
        <v>1690</v>
      </c>
      <c r="D201" s="2" t="s">
        <v>1691</v>
      </c>
      <c r="E201" s="2" t="s">
        <v>1692</v>
      </c>
      <c r="F201" s="2" t="s">
        <v>1693</v>
      </c>
      <c r="G201" s="2" t="s">
        <v>1001</v>
      </c>
      <c r="H201" s="22" t="str">
        <f>VLOOKUP(E201,'Lista Infomoney'!B:H,2,FALSE)</f>
        <v>ANIM3F</v>
      </c>
      <c r="I201" s="2" t="s">
        <v>1694</v>
      </c>
      <c r="J201" s="6" t="str">
        <f>VLOOKUP(E201,'Lista Infomoney'!B:F,4,FALSE)</f>
        <v/>
      </c>
      <c r="K201" s="6" t="str">
        <f>VLOOKUP(E201,'Lista Infomoney'!B:F,5,FALSE)</f>
        <v/>
      </c>
      <c r="V201" s="6" t="str">
        <f>H201&amp;" OR "&amp;I201</f>
        <v>ANIM3F OR ANIM3</v>
      </c>
      <c r="W20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v>
      </c>
      <c r="Y201" s="6" t="str">
        <f t="shared" si="35"/>
        <v>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v>
      </c>
    </row>
    <row r="202">
      <c r="A202" s="2">
        <v>2.0</v>
      </c>
      <c r="B202" s="2" t="s">
        <v>165</v>
      </c>
      <c r="C202" s="2" t="s">
        <v>1690</v>
      </c>
      <c r="D202" s="2" t="s">
        <v>1691</v>
      </c>
      <c r="E202" s="2" t="s">
        <v>1695</v>
      </c>
      <c r="F202" s="2" t="s">
        <v>1696</v>
      </c>
      <c r="G202" s="2" t="s">
        <v>1107</v>
      </c>
      <c r="H202" s="2" t="s">
        <v>1697</v>
      </c>
      <c r="V202" s="6" t="str">
        <f>H202</f>
        <v>BAHI3</v>
      </c>
      <c r="W20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v>
      </c>
      <c r="Y202" s="6" t="str">
        <f t="shared" si="35"/>
        <v>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v>
      </c>
    </row>
    <row r="203">
      <c r="A203" s="2">
        <v>1.0</v>
      </c>
      <c r="B203" s="2" t="s">
        <v>165</v>
      </c>
      <c r="C203" s="2" t="s">
        <v>1690</v>
      </c>
      <c r="D203" s="2" t="s">
        <v>1691</v>
      </c>
      <c r="E203" s="2" t="s">
        <v>1698</v>
      </c>
      <c r="F203" s="2" t="s">
        <v>1699</v>
      </c>
      <c r="G203" s="2" t="s">
        <v>1001</v>
      </c>
      <c r="H203" s="22" t="str">
        <f>VLOOKUP(E203,'Lista Infomoney'!B:H,2,FALSE)</f>
        <v>COGN3F</v>
      </c>
      <c r="I203" s="22" t="str">
        <f>VLOOKUP(E203,'Lista Infomoney'!B:F,3,FALSE)</f>
        <v>COGN3</v>
      </c>
      <c r="J203" s="6" t="str">
        <f>VLOOKUP(E203,'Lista Infomoney'!B:F,4,FALSE)</f>
        <v/>
      </c>
      <c r="K203" s="6" t="str">
        <f>VLOOKUP(E203,'Lista Infomoney'!B:F,5,FALSE)</f>
        <v/>
      </c>
      <c r="V203" s="6" t="str">
        <f t="shared" ref="V203:V204" si="41">H203&amp;" OR "&amp;I203</f>
        <v>COGN3F OR COGN3</v>
      </c>
      <c r="W20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v>
      </c>
      <c r="Y203" s="6" t="str">
        <f t="shared" si="35"/>
        <v>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v>
      </c>
    </row>
    <row r="204">
      <c r="A204" s="2">
        <v>1.0</v>
      </c>
      <c r="B204" s="2" t="s">
        <v>165</v>
      </c>
      <c r="C204" s="2" t="s">
        <v>1690</v>
      </c>
      <c r="D204" s="2" t="s">
        <v>1691</v>
      </c>
      <c r="E204" s="2" t="s">
        <v>296</v>
      </c>
      <c r="F204" s="2" t="s">
        <v>1700</v>
      </c>
      <c r="G204" s="2" t="s">
        <v>1001</v>
      </c>
      <c r="H204" s="22" t="str">
        <f>VLOOKUP(E204,'Lista Infomoney'!B:H,2,FALSE)</f>
        <v>SEER3</v>
      </c>
      <c r="I204" s="2" t="s">
        <v>1701</v>
      </c>
      <c r="J204" s="6" t="str">
        <f>VLOOKUP(E204,'Lista Infomoney'!B:F,4,FALSE)</f>
        <v/>
      </c>
      <c r="K204" s="6" t="str">
        <f>VLOOKUP(E204,'Lista Infomoney'!B:F,5,FALSE)</f>
        <v/>
      </c>
      <c r="V204" s="6" t="str">
        <f t="shared" si="41"/>
        <v>SEER3 OR SEER3F</v>
      </c>
      <c r="W20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v>
      </c>
      <c r="Y204" s="6" t="str">
        <f t="shared" si="35"/>
        <v>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v>
      </c>
    </row>
    <row r="205">
      <c r="A205" s="2">
        <v>1.0</v>
      </c>
      <c r="B205" s="2" t="s">
        <v>165</v>
      </c>
      <c r="C205" s="2" t="s">
        <v>1690</v>
      </c>
      <c r="D205" s="2" t="s">
        <v>1691</v>
      </c>
      <c r="E205" s="2" t="s">
        <v>310</v>
      </c>
      <c r="F205" s="2" t="s">
        <v>1702</v>
      </c>
      <c r="G205" s="2" t="s">
        <v>1001</v>
      </c>
      <c r="H205" s="22" t="str">
        <f>VLOOKUP(E205,'Lista Infomoney'!B:H,2,FALSE)</f>
        <v>YDUQ3</v>
      </c>
      <c r="I205" s="6" t="str">
        <f>VLOOKUP(E205,'Lista Infomoney'!B:F,3,FALSE)</f>
        <v/>
      </c>
      <c r="J205" s="6" t="str">
        <f>VLOOKUP(E205,'Lista Infomoney'!B:F,4,FALSE)</f>
        <v/>
      </c>
      <c r="K205" s="6" t="str">
        <f>VLOOKUP(E205,'Lista Infomoney'!B:F,5,FALSE)</f>
        <v/>
      </c>
      <c r="V205" s="22" t="str">
        <f>H205</f>
        <v>YDUQ3</v>
      </c>
      <c r="W20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v>
      </c>
      <c r="Y205" s="6" t="str">
        <f t="shared" si="35"/>
        <v>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v>
      </c>
    </row>
    <row r="206">
      <c r="A206" s="2">
        <v>1.0</v>
      </c>
      <c r="B206" s="2" t="s">
        <v>165</v>
      </c>
      <c r="C206" s="2" t="s">
        <v>1690</v>
      </c>
      <c r="D206" s="2" t="s">
        <v>1703</v>
      </c>
      <c r="E206" s="2" t="s">
        <v>1704</v>
      </c>
      <c r="F206" s="2" t="s">
        <v>1705</v>
      </c>
      <c r="G206" s="2" t="s">
        <v>1001</v>
      </c>
      <c r="H206" s="22" t="str">
        <f>VLOOKUP(E206,'Lista Infomoney'!B:H,2,FALSE)</f>
        <v>RENT3F</v>
      </c>
      <c r="I206" s="22" t="str">
        <f>VLOOKUP(E206,'Lista Infomoney'!B:F,3,FALSE)</f>
        <v>RENT3</v>
      </c>
      <c r="J206" s="6" t="str">
        <f>VLOOKUP(E206,'Lista Infomoney'!B:F,4,FALSE)</f>
        <v/>
      </c>
      <c r="K206" s="6" t="str">
        <f>VLOOKUP(E206,'Lista Infomoney'!B:F,5,FALSE)</f>
        <v/>
      </c>
      <c r="V206" s="6" t="str">
        <f t="shared" ref="V206:V207" si="42">H206&amp;" OR "&amp;I206</f>
        <v>RENT3F OR RENT3</v>
      </c>
      <c r="W20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v>
      </c>
      <c r="Y206" s="6" t="str">
        <f t="shared" si="35"/>
        <v>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v>
      </c>
    </row>
    <row r="207">
      <c r="A207" s="2">
        <v>1.0</v>
      </c>
      <c r="B207" s="2" t="s">
        <v>165</v>
      </c>
      <c r="C207" s="2" t="s">
        <v>1690</v>
      </c>
      <c r="D207" s="2" t="s">
        <v>1703</v>
      </c>
      <c r="E207" s="2" t="s">
        <v>1706</v>
      </c>
      <c r="F207" s="2" t="s">
        <v>1707</v>
      </c>
      <c r="G207" s="2" t="s">
        <v>1001</v>
      </c>
      <c r="H207" s="22" t="str">
        <f>VLOOKUP(E207,'Lista Infomoney'!B:H,2,FALSE)</f>
        <v>LCAM3F</v>
      </c>
      <c r="I207" s="22" t="str">
        <f>VLOOKUP(E207,'Lista Infomoney'!B:F,3,FALSE)</f>
        <v>LCAM3</v>
      </c>
      <c r="J207" s="6" t="str">
        <f>VLOOKUP(E207,'Lista Infomoney'!B:F,4,FALSE)</f>
        <v/>
      </c>
      <c r="K207" s="6" t="str">
        <f>VLOOKUP(E207,'Lista Infomoney'!B:F,5,FALSE)</f>
        <v/>
      </c>
      <c r="V207" s="6" t="str">
        <f t="shared" si="42"/>
        <v>LCAM3F OR LCAM3</v>
      </c>
      <c r="W20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v>
      </c>
      <c r="Y207" s="6" t="str">
        <f t="shared" si="35"/>
        <v>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v>
      </c>
    </row>
    <row r="208">
      <c r="A208" s="2">
        <v>2.0</v>
      </c>
      <c r="B208" s="2" t="s">
        <v>165</v>
      </c>
      <c r="C208" s="2" t="s">
        <v>1690</v>
      </c>
      <c r="D208" s="2" t="s">
        <v>1703</v>
      </c>
      <c r="E208" s="2" t="s">
        <v>1708</v>
      </c>
      <c r="F208" s="2" t="s">
        <v>1709</v>
      </c>
      <c r="G208" s="2" t="s">
        <v>1274</v>
      </c>
      <c r="H208" s="2" t="s">
        <v>1710</v>
      </c>
      <c r="V208" s="6" t="str">
        <f>H208</f>
        <v>MSRO3</v>
      </c>
      <c r="W20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v>
      </c>
      <c r="Y208" s="6" t="str">
        <f t="shared" si="35"/>
        <v>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v>
      </c>
    </row>
    <row r="209">
      <c r="A209" s="2">
        <v>1.0</v>
      </c>
      <c r="B209" s="2" t="s">
        <v>165</v>
      </c>
      <c r="C209" s="2" t="s">
        <v>1690</v>
      </c>
      <c r="D209" s="2" t="s">
        <v>1703</v>
      </c>
      <c r="E209" s="2" t="s">
        <v>1711</v>
      </c>
      <c r="F209" s="2" t="s">
        <v>1712</v>
      </c>
      <c r="G209" s="2" t="s">
        <v>1001</v>
      </c>
      <c r="H209" s="22" t="str">
        <f>VLOOKUP(E209,'Lista Infomoney'!B:H,2,FALSE)</f>
        <v>MOVI3F</v>
      </c>
      <c r="I209" s="22" t="str">
        <f>VLOOKUP(E209,'Lista Infomoney'!B:F,3,FALSE)</f>
        <v>MOVI3</v>
      </c>
      <c r="J209" s="6" t="str">
        <f>VLOOKUP(E209,'Lista Infomoney'!B:F,4,FALSE)</f>
        <v/>
      </c>
      <c r="K209" s="6" t="str">
        <f>VLOOKUP(E209,'Lista Infomoney'!B:F,5,FALSE)</f>
        <v/>
      </c>
      <c r="V209" s="6" t="str">
        <f>H209&amp;" OR "&amp;I209</f>
        <v>MOVI3F OR MOVI3</v>
      </c>
      <c r="W20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v>
      </c>
      <c r="Y209" s="6" t="str">
        <f t="shared" si="35"/>
        <v>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v>
      </c>
    </row>
    <row r="210">
      <c r="A210" s="2">
        <v>2.0</v>
      </c>
      <c r="B210" s="2" t="s">
        <v>165</v>
      </c>
      <c r="C210" s="2" t="s">
        <v>1690</v>
      </c>
      <c r="D210" s="2" t="s">
        <v>1703</v>
      </c>
      <c r="E210" s="2" t="s">
        <v>1713</v>
      </c>
      <c r="F210" s="24" t="s">
        <v>1714</v>
      </c>
      <c r="G210" s="2"/>
      <c r="H210" s="2" t="s">
        <v>217</v>
      </c>
      <c r="V210" s="6" t="str">
        <f>H210</f>
        <v>LCAM3</v>
      </c>
      <c r="W21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v>
      </c>
      <c r="Y210" s="6" t="str">
        <f t="shared" si="35"/>
        <v>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v>
      </c>
    </row>
    <row r="211">
      <c r="A211" s="2">
        <v>1.0</v>
      </c>
      <c r="B211" s="2" t="s">
        <v>165</v>
      </c>
      <c r="C211" s="2" t="s">
        <v>1690</v>
      </c>
      <c r="D211" s="2" t="s">
        <v>1715</v>
      </c>
      <c r="E211" s="2" t="s">
        <v>1716</v>
      </c>
      <c r="F211" s="2" t="s">
        <v>1717</v>
      </c>
      <c r="G211" s="2" t="s">
        <v>1001</v>
      </c>
      <c r="H211" s="22" t="str">
        <f>VLOOKUP(E211,'Lista Infomoney'!B:H,2,FALSE)</f>
        <v>SMLS3F</v>
      </c>
      <c r="I211" s="22" t="str">
        <f>VLOOKUP(E211,'Lista Infomoney'!B:F,3,FALSE)</f>
        <v>SMLS3</v>
      </c>
      <c r="J211" s="6" t="str">
        <f>VLOOKUP(E211,'Lista Infomoney'!B:F,4,FALSE)</f>
        <v/>
      </c>
      <c r="K211" s="6" t="str">
        <f>VLOOKUP(E211,'Lista Infomoney'!B:F,5,FALSE)</f>
        <v/>
      </c>
      <c r="V211" s="6" t="str">
        <f t="shared" ref="V211:V212" si="43">H211&amp;" OR "&amp;I211</f>
        <v>SMLS3F OR SMLS3</v>
      </c>
      <c r="W21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v>
      </c>
      <c r="Y211" s="6" t="str">
        <f t="shared" si="35"/>
        <v>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v>
      </c>
    </row>
    <row r="212">
      <c r="A212" s="2">
        <v>1.0</v>
      </c>
      <c r="B212" s="2" t="s">
        <v>165</v>
      </c>
      <c r="C212" s="2" t="s">
        <v>1430</v>
      </c>
      <c r="D212" s="2" t="s">
        <v>1574</v>
      </c>
      <c r="E212" s="2" t="s">
        <v>261</v>
      </c>
      <c r="F212" s="2" t="s">
        <v>1718</v>
      </c>
      <c r="G212" s="2" t="s">
        <v>1001</v>
      </c>
      <c r="H212" s="22" t="str">
        <f>VLOOKUP(E212,'Lista Infomoney'!B:H,2,FALSE)</f>
        <v>ARZZ3F</v>
      </c>
      <c r="I212" s="2" t="s">
        <v>1719</v>
      </c>
      <c r="J212" s="6" t="str">
        <f>VLOOKUP(E212,'Lista Infomoney'!B:F,4,FALSE)</f>
        <v/>
      </c>
      <c r="K212" s="6" t="str">
        <f>VLOOKUP(E212,'Lista Infomoney'!B:F,5,FALSE)</f>
        <v/>
      </c>
      <c r="V212" s="6" t="str">
        <f t="shared" si="43"/>
        <v>ARZZ3F OR ARZZ3</v>
      </c>
      <c r="W21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v>
      </c>
      <c r="Y212" s="6" t="str">
        <f t="shared" si="35"/>
        <v>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v>
      </c>
    </row>
    <row r="213">
      <c r="A213" s="2">
        <v>1.0</v>
      </c>
      <c r="B213" s="2" t="s">
        <v>165</v>
      </c>
      <c r="C213" s="2" t="s">
        <v>1430</v>
      </c>
      <c r="D213" s="2" t="s">
        <v>1574</v>
      </c>
      <c r="E213" s="2" t="s">
        <v>218</v>
      </c>
      <c r="F213" s="2" t="s">
        <v>1720</v>
      </c>
      <c r="G213" s="2" t="s">
        <v>1001</v>
      </c>
      <c r="H213" s="22" t="str">
        <f>VLOOKUP(E213,'Lista Infomoney'!B:H,2,FALSE)</f>
        <v>CEAB3</v>
      </c>
      <c r="I213" s="6" t="str">
        <f>VLOOKUP(E213,'Lista Infomoney'!B:F,3,FALSE)</f>
        <v/>
      </c>
      <c r="J213" s="6" t="str">
        <f>VLOOKUP(E213,'Lista Infomoney'!B:F,4,FALSE)</f>
        <v/>
      </c>
      <c r="K213" s="6" t="str">
        <f>VLOOKUP(E213,'Lista Infomoney'!B:F,5,FALSE)</f>
        <v/>
      </c>
      <c r="V213" s="22" t="str">
        <f>H213</f>
        <v>CEAB3</v>
      </c>
      <c r="W21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v>
      </c>
      <c r="Y213" s="6" t="str">
        <f t="shared" si="35"/>
        <v>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v>
      </c>
    </row>
    <row r="214">
      <c r="A214" s="2">
        <v>1.0</v>
      </c>
      <c r="B214" s="2" t="s">
        <v>165</v>
      </c>
      <c r="C214" s="2" t="s">
        <v>1430</v>
      </c>
      <c r="D214" s="2" t="s">
        <v>1574</v>
      </c>
      <c r="E214" s="2" t="s">
        <v>1721</v>
      </c>
      <c r="F214" s="2" t="s">
        <v>1722</v>
      </c>
      <c r="G214" s="2"/>
      <c r="H214" s="22" t="str">
        <f>VLOOKUP(E214,'Lista Infomoney'!B:H,2,FALSE)</f>
        <v>CGRA3F</v>
      </c>
      <c r="I214" s="22" t="str">
        <f>VLOOKUP(E214,'Lista Infomoney'!B:F,3,FALSE)</f>
        <v>CGRA4F</v>
      </c>
      <c r="J214" s="22" t="str">
        <f>VLOOKUP(E214,'Lista Infomoney'!B:F,4,FALSE)</f>
        <v>CGRA4</v>
      </c>
      <c r="K214" s="22" t="str">
        <f>VLOOKUP(E214,'Lista Infomoney'!B:F,5,FALSE)</f>
        <v>CGRA3</v>
      </c>
      <c r="V214" s="6" t="str">
        <f>H214&amp;" OR "&amp;I214&amp;" OR "&amp;J214&amp;" OR "&amp;K214</f>
        <v>CGRA3F OR CGRA4F OR CGRA4 OR CGRA3</v>
      </c>
      <c r="W21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v>
      </c>
      <c r="Y214" s="6" t="str">
        <f t="shared" si="35"/>
        <v>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v>
      </c>
    </row>
    <row r="215">
      <c r="A215" s="2">
        <v>1.0</v>
      </c>
      <c r="B215" s="2" t="s">
        <v>165</v>
      </c>
      <c r="C215" s="2" t="s">
        <v>1430</v>
      </c>
      <c r="D215" s="2" t="s">
        <v>1574</v>
      </c>
      <c r="E215" s="2" t="s">
        <v>1723</v>
      </c>
      <c r="F215" s="2" t="s">
        <v>1724</v>
      </c>
      <c r="G215" s="2" t="s">
        <v>1001</v>
      </c>
      <c r="H215" s="22" t="str">
        <f>VLOOKUP(E215,'Lista Infomoney'!B:H,2,FALSE)</f>
        <v>SOMA3</v>
      </c>
      <c r="I215" s="6" t="str">
        <f>VLOOKUP(E215,'Lista Infomoney'!B:F,3,FALSE)</f>
        <v/>
      </c>
      <c r="J215" s="6" t="str">
        <f>VLOOKUP(E215,'Lista Infomoney'!B:F,4,FALSE)</f>
        <v/>
      </c>
      <c r="K215" s="6" t="str">
        <f>VLOOKUP(E215,'Lista Infomoney'!B:F,5,FALSE)</f>
        <v/>
      </c>
      <c r="V215" s="22" t="str">
        <f t="shared" ref="V215:V216" si="44">H215</f>
        <v>SOMA3</v>
      </c>
      <c r="W21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v>
      </c>
      <c r="Y215" s="6" t="str">
        <f t="shared" si="35"/>
        <v>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v>
      </c>
    </row>
    <row r="216">
      <c r="A216" s="2">
        <v>2.0</v>
      </c>
      <c r="B216" s="2" t="s">
        <v>165</v>
      </c>
      <c r="C216" s="2" t="s">
        <v>1430</v>
      </c>
      <c r="D216" s="2" t="s">
        <v>1574</v>
      </c>
      <c r="E216" s="2" t="s">
        <v>1725</v>
      </c>
      <c r="F216" s="2" t="s">
        <v>1726</v>
      </c>
      <c r="G216" s="2"/>
      <c r="H216" s="2" t="s">
        <v>1727</v>
      </c>
      <c r="V216" s="6" t="str">
        <f t="shared" si="44"/>
        <v>GUAR3</v>
      </c>
      <c r="W21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v>
      </c>
      <c r="Y216" s="6" t="str">
        <f t="shared" si="35"/>
        <v>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v>
      </c>
    </row>
    <row r="217">
      <c r="A217" s="2">
        <v>1.0</v>
      </c>
      <c r="B217" s="2" t="s">
        <v>165</v>
      </c>
      <c r="C217" s="2" t="s">
        <v>1430</v>
      </c>
      <c r="D217" s="2" t="s">
        <v>1574</v>
      </c>
      <c r="E217" s="2" t="s">
        <v>1728</v>
      </c>
      <c r="F217" s="2" t="s">
        <v>1729</v>
      </c>
      <c r="G217" s="2" t="s">
        <v>1001</v>
      </c>
      <c r="H217" s="22" t="str">
        <f>VLOOKUP(E217,'Lista Infomoney'!B:H,2,FALSE)</f>
        <v>LLIS3F</v>
      </c>
      <c r="I217" s="22" t="str">
        <f>VLOOKUP(E217,'Lista Infomoney'!B:F,3,FALSE)</f>
        <v>LLIS3</v>
      </c>
      <c r="J217" s="6" t="str">
        <f>VLOOKUP(E217,'Lista Infomoney'!B:F,4,FALSE)</f>
        <v/>
      </c>
      <c r="K217" s="6" t="str">
        <f>VLOOKUP(E217,'Lista Infomoney'!B:F,5,FALSE)</f>
        <v/>
      </c>
      <c r="V217" s="6" t="str">
        <f t="shared" ref="V217:V220" si="45">H217&amp;" OR "&amp;I217</f>
        <v>LLIS3F OR LLIS3</v>
      </c>
      <c r="W21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v>
      </c>
      <c r="Y217" s="6" t="str">
        <f t="shared" si="35"/>
        <v>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v>
      </c>
    </row>
    <row r="218">
      <c r="A218" s="2">
        <v>1.0</v>
      </c>
      <c r="B218" s="2" t="s">
        <v>165</v>
      </c>
      <c r="C218" s="2" t="s">
        <v>1430</v>
      </c>
      <c r="D218" s="2" t="s">
        <v>1574</v>
      </c>
      <c r="E218" s="2" t="s">
        <v>246</v>
      </c>
      <c r="F218" s="2" t="s">
        <v>1730</v>
      </c>
      <c r="G218" s="2" t="s">
        <v>1001</v>
      </c>
      <c r="H218" s="22" t="str">
        <f>VLOOKUP(E218,'Lista Infomoney'!B:H,2,FALSE)</f>
        <v>AMAR3F</v>
      </c>
      <c r="I218" s="22" t="str">
        <f>VLOOKUP(E218,'Lista Infomoney'!B:F,3,FALSE)</f>
        <v>AMAR3</v>
      </c>
      <c r="J218" s="6" t="str">
        <f>VLOOKUP(E218,'Lista Infomoney'!B:F,4,FALSE)</f>
        <v/>
      </c>
      <c r="K218" s="6" t="str">
        <f>VLOOKUP(E218,'Lista Infomoney'!B:F,5,FALSE)</f>
        <v/>
      </c>
      <c r="V218" s="6" t="str">
        <f t="shared" si="45"/>
        <v>AMAR3F OR AMAR3</v>
      </c>
      <c r="W21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v>
      </c>
      <c r="Y218" s="6" t="str">
        <f t="shared" si="35"/>
        <v>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v>
      </c>
    </row>
    <row r="219">
      <c r="A219" s="2">
        <v>1.0</v>
      </c>
      <c r="B219" s="2" t="s">
        <v>165</v>
      </c>
      <c r="C219" s="2" t="s">
        <v>1430</v>
      </c>
      <c r="D219" s="2" t="s">
        <v>1574</v>
      </c>
      <c r="E219" s="2" t="s">
        <v>1731</v>
      </c>
      <c r="F219" s="2" t="s">
        <v>1732</v>
      </c>
      <c r="G219" s="2" t="s">
        <v>1001</v>
      </c>
      <c r="H219" s="22" t="str">
        <f>VLOOKUP(E219,'Lista Infomoney'!B:H,2,FALSE)</f>
        <v>LREN3F</v>
      </c>
      <c r="I219" s="22" t="str">
        <f>VLOOKUP(E219,'Lista Infomoney'!B:F,3,FALSE)</f>
        <v>LREN3</v>
      </c>
      <c r="J219" s="6" t="str">
        <f>VLOOKUP(E219,'Lista Infomoney'!B:F,4,FALSE)</f>
        <v/>
      </c>
      <c r="K219" s="6" t="str">
        <f>VLOOKUP(E219,'Lista Infomoney'!B:F,5,FALSE)</f>
        <v/>
      </c>
      <c r="V219" s="6" t="str">
        <f t="shared" si="45"/>
        <v>LREN3F OR LREN3</v>
      </c>
      <c r="W21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v>
      </c>
      <c r="Y219" s="6" t="str">
        <f t="shared" si="35"/>
        <v>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v>
      </c>
    </row>
    <row r="220">
      <c r="A220" s="2">
        <v>1.0</v>
      </c>
      <c r="B220" s="2" t="s">
        <v>165</v>
      </c>
      <c r="C220" s="2" t="s">
        <v>1430</v>
      </c>
      <c r="D220" s="2" t="s">
        <v>1633</v>
      </c>
      <c r="E220" s="2" t="s">
        <v>280</v>
      </c>
      <c r="F220" s="2" t="s">
        <v>1733</v>
      </c>
      <c r="G220" s="2" t="s">
        <v>1001</v>
      </c>
      <c r="H220" s="22" t="str">
        <f>VLOOKUP(E220,'Lista Infomoney'!B:H,2,FALSE)</f>
        <v>MGLU3F</v>
      </c>
      <c r="I220" s="22" t="str">
        <f>VLOOKUP(E220,'Lista Infomoney'!B:F,3,FALSE)</f>
        <v>MGLU3</v>
      </c>
      <c r="J220" s="6" t="str">
        <f>VLOOKUP(E220,'Lista Infomoney'!B:F,4,FALSE)</f>
        <v/>
      </c>
      <c r="K220" s="6" t="str">
        <f>VLOOKUP(E220,'Lista Infomoney'!B:F,5,FALSE)</f>
        <v/>
      </c>
      <c r="V220" s="6" t="str">
        <f t="shared" si="45"/>
        <v>MGLU3F OR MGLU3</v>
      </c>
      <c r="W22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v>
      </c>
      <c r="Y220" s="6" t="str">
        <f t="shared" si="35"/>
        <v>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v>
      </c>
    </row>
    <row r="221">
      <c r="A221" s="2">
        <v>1.0</v>
      </c>
      <c r="B221" s="2" t="s">
        <v>165</v>
      </c>
      <c r="C221" s="2" t="s">
        <v>1430</v>
      </c>
      <c r="D221" s="2" t="s">
        <v>1633</v>
      </c>
      <c r="E221" s="2" t="s">
        <v>152</v>
      </c>
      <c r="F221" s="2" t="s">
        <v>1734</v>
      </c>
      <c r="G221" s="2" t="s">
        <v>1001</v>
      </c>
      <c r="H221" s="22" t="str">
        <f>VLOOKUP(E221,'Lista Infomoney'!B:H,2,FALSE)</f>
        <v>VVAR3F</v>
      </c>
      <c r="I221" s="12" t="s">
        <v>292</v>
      </c>
      <c r="J221" s="2" t="s">
        <v>1735</v>
      </c>
      <c r="K221" s="2" t="s">
        <v>1736</v>
      </c>
      <c r="L221" s="2" t="s">
        <v>1737</v>
      </c>
      <c r="V221" s="6" t="str">
        <f>H221&amp;" OR "&amp;I221&amp;" OR "&amp;J221&amp;" OR "&amp;K221&amp;" OR "&amp;L221</f>
        <v>VVAR3F OR VVAR3 OR VVAR11F OR VVAR4F OR VIIA3</v>
      </c>
      <c r="W22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v>
      </c>
      <c r="Y221" s="6" t="str">
        <f t="shared" si="35"/>
        <v>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v>
      </c>
    </row>
    <row r="222">
      <c r="A222" s="2">
        <v>2.0</v>
      </c>
      <c r="B222" s="2" t="s">
        <v>165</v>
      </c>
      <c r="C222" s="2" t="s">
        <v>1430</v>
      </c>
      <c r="D222" s="2" t="s">
        <v>1738</v>
      </c>
      <c r="E222" s="2" t="s">
        <v>1739</v>
      </c>
      <c r="F222" s="2" t="s">
        <v>1740</v>
      </c>
      <c r="G222" s="2" t="s">
        <v>1001</v>
      </c>
      <c r="H222" s="2" t="s">
        <v>1741</v>
      </c>
      <c r="V222" s="6" t="str">
        <f t="shared" ref="V222:V223" si="46">H222</f>
        <v>BTOW3</v>
      </c>
      <c r="W22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v>
      </c>
      <c r="Y222" s="6" t="str">
        <f t="shared" si="35"/>
        <v>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v>
      </c>
    </row>
    <row r="223">
      <c r="A223" s="2">
        <v>2.0</v>
      </c>
      <c r="B223" s="2" t="s">
        <v>165</v>
      </c>
      <c r="C223" s="2" t="s">
        <v>1430</v>
      </c>
      <c r="D223" s="2" t="s">
        <v>1738</v>
      </c>
      <c r="E223" s="2" t="s">
        <v>1742</v>
      </c>
      <c r="F223" s="2" t="s">
        <v>1743</v>
      </c>
      <c r="G223" s="2" t="s">
        <v>1001</v>
      </c>
      <c r="H223" s="2" t="s">
        <v>1744</v>
      </c>
      <c r="V223" s="6" t="str">
        <f t="shared" si="46"/>
        <v>CNTO3</v>
      </c>
      <c r="W22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v>
      </c>
      <c r="Y223" s="6" t="str">
        <f t="shared" si="35"/>
        <v>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v>
      </c>
    </row>
    <row r="224">
      <c r="A224" s="2">
        <v>1.0</v>
      </c>
      <c r="B224" s="2" t="s">
        <v>165</v>
      </c>
      <c r="C224" s="2" t="s">
        <v>1430</v>
      </c>
      <c r="D224" s="2" t="s">
        <v>1738</v>
      </c>
      <c r="E224" s="2" t="s">
        <v>300</v>
      </c>
      <c r="F224" s="2" t="s">
        <v>1745</v>
      </c>
      <c r="G224" s="2" t="s">
        <v>1029</v>
      </c>
      <c r="H224" s="22" t="str">
        <f>VLOOKUP(E224,'Lista Infomoney'!B:H,2,FALSE)</f>
        <v>LAME4F</v>
      </c>
      <c r="I224" s="22" t="str">
        <f>VLOOKUP(E224,'Lista Infomoney'!B:F,3,FALSE)</f>
        <v>LAME4</v>
      </c>
      <c r="J224" s="22" t="str">
        <f>VLOOKUP(E224,'Lista Infomoney'!B:F,4,FALSE)</f>
        <v>LAME3F</v>
      </c>
      <c r="K224" s="22" t="str">
        <f>VLOOKUP(E224,'Lista Infomoney'!B:F,5,FALSE)</f>
        <v>LAME3</v>
      </c>
      <c r="V224" s="6" t="str">
        <f>H224&amp;" OR "&amp;I224&amp;" OR "&amp;J224&amp;" OR "&amp;K224</f>
        <v>LAME4F OR LAME4 OR LAME3F OR LAME3</v>
      </c>
      <c r="W22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v>
      </c>
      <c r="Y224" s="6" t="str">
        <f t="shared" si="35"/>
        <v>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v>
      </c>
    </row>
    <row r="225">
      <c r="A225" s="2">
        <v>1.0</v>
      </c>
      <c r="B225" s="2" t="s">
        <v>165</v>
      </c>
      <c r="C225" s="2" t="s">
        <v>1430</v>
      </c>
      <c r="D225" s="2" t="s">
        <v>1738</v>
      </c>
      <c r="E225" s="2" t="s">
        <v>1746</v>
      </c>
      <c r="F225" s="2" t="s">
        <v>1746</v>
      </c>
      <c r="G225" s="2" t="s">
        <v>1001</v>
      </c>
      <c r="H225" s="22" t="str">
        <f>VLOOKUP(E225,'Lista Infomoney'!B:H,2,FALSE)</f>
        <v>PETZ3</v>
      </c>
      <c r="I225" s="6" t="str">
        <f>VLOOKUP(E225,'Lista Infomoney'!B:F,3,FALSE)</f>
        <v/>
      </c>
      <c r="J225" s="6" t="str">
        <f>VLOOKUP(E225,'Lista Infomoney'!B:F,4,FALSE)</f>
        <v/>
      </c>
      <c r="K225" s="6" t="str">
        <f>VLOOKUP(E225,'Lista Infomoney'!B:F,5,FALSE)</f>
        <v/>
      </c>
      <c r="V225" s="22" t="str">
        <f t="shared" ref="V225:V226" si="47">H225</f>
        <v>PETZ3</v>
      </c>
      <c r="W22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v>
      </c>
      <c r="Y225" s="6" t="str">
        <f t="shared" si="35"/>
        <v>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v>
      </c>
    </row>
    <row r="226">
      <c r="A226" s="2">
        <v>1.0</v>
      </c>
      <c r="B226" s="2" t="s">
        <v>165</v>
      </c>
      <c r="C226" s="2" t="s">
        <v>1430</v>
      </c>
      <c r="D226" s="2" t="s">
        <v>1738</v>
      </c>
      <c r="E226" s="2" t="s">
        <v>1747</v>
      </c>
      <c r="F226" s="2" t="s">
        <v>1748</v>
      </c>
      <c r="G226" s="2" t="s">
        <v>1001</v>
      </c>
      <c r="H226" s="22" t="str">
        <f>VLOOKUP(E226,'Lista Infomoney'!B:H,2,FALSE)</f>
        <v>LJQQ3</v>
      </c>
      <c r="I226" s="6" t="str">
        <f>VLOOKUP(E226,'Lista Infomoney'!B:F,3,FALSE)</f>
        <v/>
      </c>
      <c r="J226" s="6" t="str">
        <f>VLOOKUP(E226,'Lista Infomoney'!B:F,4,FALSE)</f>
        <v/>
      </c>
      <c r="K226" s="6" t="str">
        <f>VLOOKUP(E226,'Lista Infomoney'!B:F,5,FALSE)</f>
        <v/>
      </c>
      <c r="V226" s="22" t="str">
        <f t="shared" si="47"/>
        <v>LJQQ3</v>
      </c>
      <c r="W22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v>
      </c>
      <c r="Y226" s="6" t="str">
        <f t="shared" si="35"/>
        <v>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v>
      </c>
    </row>
    <row r="227">
      <c r="A227" s="2">
        <v>1.0</v>
      </c>
      <c r="B227" s="2" t="s">
        <v>165</v>
      </c>
      <c r="C227" s="2" t="s">
        <v>1430</v>
      </c>
      <c r="D227" s="2" t="s">
        <v>1738</v>
      </c>
      <c r="E227" s="2" t="s">
        <v>1749</v>
      </c>
      <c r="F227" s="2" t="s">
        <v>1750</v>
      </c>
      <c r="G227" s="2" t="s">
        <v>1013</v>
      </c>
      <c r="H227" s="22" t="str">
        <f>VLOOKUP(E227,'Lista Infomoney'!B:H,2,FALSE)</f>
        <v>SLED4F</v>
      </c>
      <c r="I227" s="22" t="str">
        <f>VLOOKUP(E227,'Lista Infomoney'!B:F,3,FALSE)</f>
        <v>SLED3F</v>
      </c>
      <c r="J227" s="22" t="str">
        <f>VLOOKUP(E227,'Lista Infomoney'!B:F,4,FALSE)</f>
        <v>SLED3</v>
      </c>
      <c r="K227" s="2" t="s">
        <v>1751</v>
      </c>
      <c r="L227" s="2" t="s">
        <v>1752</v>
      </c>
      <c r="M227" s="2" t="s">
        <v>299</v>
      </c>
      <c r="V227" s="6" t="str">
        <f>H227&amp;" OR "&amp;I227&amp;" OR "&amp;J227&amp;" OR "&amp;K227&amp;" OR "&amp;L227&amp;" OR "&amp;M227</f>
        <v>SLED4F OR SLED3F OR SLED3 OR SLED11 OR SLED12 OR SLED4</v>
      </c>
      <c r="W22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v>
      </c>
      <c r="Y227" s="6" t="str">
        <f t="shared" si="35"/>
        <v>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v>
      </c>
    </row>
    <row r="228">
      <c r="A228" s="2">
        <v>1.0</v>
      </c>
      <c r="B228" s="2" t="s">
        <v>756</v>
      </c>
      <c r="C228" s="2" t="s">
        <v>1753</v>
      </c>
      <c r="D228" s="2" t="s">
        <v>1753</v>
      </c>
      <c r="E228" s="2" t="s">
        <v>1754</v>
      </c>
      <c r="F228" s="2" t="s">
        <v>1755</v>
      </c>
      <c r="G228" s="2" t="s">
        <v>1107</v>
      </c>
      <c r="H228" s="22" t="str">
        <f>VLOOKUP(E228,'Lista Infomoney'!B:H,2,FALSE)</f>
        <v>BIOM3F</v>
      </c>
      <c r="I228" s="22" t="str">
        <f>VLOOKUP(E228,'Lista Infomoney'!B:F,3,FALSE)</f>
        <v>BIOM3</v>
      </c>
      <c r="J228" s="2" t="s">
        <v>1756</v>
      </c>
      <c r="K228" s="6" t="str">
        <f>VLOOKUP(E228,'Lista Infomoney'!B:F,5,FALSE)</f>
        <v/>
      </c>
      <c r="V228" s="6" t="str">
        <f>H228&amp;" OR "&amp;I228&amp;" OR "&amp;J228</f>
        <v>BIOM3F OR BIOM3 OR BIOM1</v>
      </c>
      <c r="W22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v>
      </c>
      <c r="Y228" s="6" t="str">
        <f t="shared" si="35"/>
        <v>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v>
      </c>
    </row>
    <row r="229">
      <c r="A229" s="2">
        <v>1.0</v>
      </c>
      <c r="B229" s="2" t="s">
        <v>756</v>
      </c>
      <c r="C229" s="2" t="s">
        <v>1753</v>
      </c>
      <c r="D229" s="2" t="s">
        <v>1753</v>
      </c>
      <c r="E229" s="2" t="s">
        <v>1757</v>
      </c>
      <c r="F229" s="2" t="s">
        <v>1758</v>
      </c>
      <c r="G229" s="2" t="s">
        <v>1401</v>
      </c>
      <c r="H229" s="22" t="str">
        <f>VLOOKUP(E229,'Lista Infomoney'!B:H,2,FALSE)</f>
        <v>GBIO33F</v>
      </c>
      <c r="I229" s="22" t="str">
        <f>VLOOKUP(E229,'Lista Infomoney'!B:F,3,FALSE)</f>
        <v>GBIO33</v>
      </c>
      <c r="J229" s="6" t="str">
        <f>VLOOKUP(E229,'Lista Infomoney'!B:F,4,FALSE)</f>
        <v/>
      </c>
      <c r="K229" s="6" t="str">
        <f>VLOOKUP(E229,'Lista Infomoney'!B:F,5,FALSE)</f>
        <v/>
      </c>
      <c r="V229" s="6" t="str">
        <f>H229&amp;" OR "&amp;I229</f>
        <v>GBIO33F OR GBIO33</v>
      </c>
      <c r="W22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v>
      </c>
      <c r="Y229" s="6" t="str">
        <f t="shared" si="35"/>
        <v>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v>
      </c>
    </row>
    <row r="230">
      <c r="A230" s="2">
        <v>2.0</v>
      </c>
      <c r="B230" s="2" t="s">
        <v>756</v>
      </c>
      <c r="C230" s="2" t="s">
        <v>1753</v>
      </c>
      <c r="D230" s="2" t="s">
        <v>1753</v>
      </c>
      <c r="E230" s="2" t="s">
        <v>1759</v>
      </c>
      <c r="F230" s="2" t="s">
        <v>1760</v>
      </c>
      <c r="G230" s="2" t="s">
        <v>1107</v>
      </c>
      <c r="H230" s="2" t="s">
        <v>1761</v>
      </c>
      <c r="V230" s="6" t="str">
        <f>H230</f>
        <v>NRTQ3</v>
      </c>
      <c r="W23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v>
      </c>
      <c r="Y230" s="6" t="str">
        <f t="shared" si="35"/>
        <v>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v>
      </c>
    </row>
    <row r="231">
      <c r="A231" s="2">
        <v>1.0</v>
      </c>
      <c r="B231" s="2" t="s">
        <v>756</v>
      </c>
      <c r="C231" s="2" t="s">
        <v>1753</v>
      </c>
      <c r="D231" s="2" t="s">
        <v>1753</v>
      </c>
      <c r="E231" s="2" t="s">
        <v>1762</v>
      </c>
      <c r="F231" s="2" t="s">
        <v>1763</v>
      </c>
      <c r="G231" s="2" t="s">
        <v>1001</v>
      </c>
      <c r="H231" s="22" t="str">
        <f>VLOOKUP(E231,'Lista Infomoney'!B:H,2,FALSE)</f>
        <v>OFSA3F</v>
      </c>
      <c r="I231" s="2" t="s">
        <v>793</v>
      </c>
      <c r="J231" s="6" t="str">
        <f>VLOOKUP(E231,'Lista Infomoney'!B:F,4,FALSE)</f>
        <v/>
      </c>
      <c r="K231" s="6" t="str">
        <f>VLOOKUP(E231,'Lista Infomoney'!B:F,5,FALSE)</f>
        <v/>
      </c>
      <c r="V231" s="6" t="str">
        <f>H231&amp;" OR "&amp;I231</f>
        <v>OFSA3F OR OFSA3</v>
      </c>
      <c r="W23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v>
      </c>
      <c r="Y231" s="6" t="str">
        <f t="shared" si="35"/>
        <v>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v>
      </c>
    </row>
    <row r="232">
      <c r="A232" s="2">
        <v>2.0</v>
      </c>
      <c r="B232" s="2" t="s">
        <v>756</v>
      </c>
      <c r="C232" s="2" t="s">
        <v>1764</v>
      </c>
      <c r="D232" s="2" t="s">
        <v>1764</v>
      </c>
      <c r="E232" s="2" t="s">
        <v>1765</v>
      </c>
      <c r="F232" s="2" t="s">
        <v>1766</v>
      </c>
      <c r="G232" s="2"/>
      <c r="H232" s="2" t="s">
        <v>1767</v>
      </c>
      <c r="V232" s="6" t="str">
        <f>H232</f>
        <v>ADHM3</v>
      </c>
      <c r="W23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v>
      </c>
      <c r="Y232" s="6" t="str">
        <f t="shared" si="35"/>
        <v>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v>
      </c>
    </row>
    <row r="233">
      <c r="A233" s="2">
        <v>1.0</v>
      </c>
      <c r="B233" s="2" t="s">
        <v>756</v>
      </c>
      <c r="C233" s="2" t="s">
        <v>1764</v>
      </c>
      <c r="D233" s="2" t="s">
        <v>1764</v>
      </c>
      <c r="E233" s="2" t="s">
        <v>1768</v>
      </c>
      <c r="F233" s="2" t="s">
        <v>1769</v>
      </c>
      <c r="G233" s="2" t="s">
        <v>1001</v>
      </c>
      <c r="H233" s="22" t="str">
        <f>VLOOKUP(E233,'Lista Infomoney'!B:H,2,FALSE)</f>
        <v>AALR3F</v>
      </c>
      <c r="I233" s="22" t="str">
        <f>VLOOKUP(E233,'Lista Infomoney'!B:F,3,FALSE)</f>
        <v>AALR3</v>
      </c>
      <c r="J233" s="6" t="str">
        <f>VLOOKUP(E233,'Lista Infomoney'!B:F,4,FALSE)</f>
        <v/>
      </c>
      <c r="K233" s="6" t="str">
        <f>VLOOKUP(E233,'Lista Infomoney'!B:F,5,FALSE)</f>
        <v/>
      </c>
      <c r="V233" s="6" t="str">
        <f>H233&amp;" OR "&amp;I233</f>
        <v>AALR3F OR AALR3</v>
      </c>
      <c r="W23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v>
      </c>
      <c r="Y233" s="6" t="str">
        <f t="shared" si="35"/>
        <v>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v>
      </c>
    </row>
    <row r="234">
      <c r="A234" s="2">
        <v>2.0</v>
      </c>
      <c r="B234" s="2" t="s">
        <v>756</v>
      </c>
      <c r="C234" s="2" t="s">
        <v>1764</v>
      </c>
      <c r="D234" s="2" t="s">
        <v>1764</v>
      </c>
      <c r="E234" s="2" t="s">
        <v>1770</v>
      </c>
      <c r="F234" s="2" t="s">
        <v>1770</v>
      </c>
      <c r="G234" s="2"/>
      <c r="H234" s="2" t="s">
        <v>1771</v>
      </c>
      <c r="V234" s="6" t="str">
        <f>H234</f>
        <v>DASA3</v>
      </c>
      <c r="W23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v>
      </c>
      <c r="Y234" s="6" t="str">
        <f t="shared" si="35"/>
        <v>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v>
      </c>
    </row>
    <row r="235">
      <c r="A235" s="2">
        <v>1.0</v>
      </c>
      <c r="B235" s="2" t="s">
        <v>756</v>
      </c>
      <c r="C235" s="2" t="s">
        <v>1764</v>
      </c>
      <c r="D235" s="2" t="s">
        <v>1764</v>
      </c>
      <c r="E235" s="2" t="s">
        <v>1772</v>
      </c>
      <c r="F235" s="2" t="s">
        <v>1773</v>
      </c>
      <c r="G235" s="2" t="s">
        <v>1001</v>
      </c>
      <c r="H235" s="22" t="str">
        <f>VLOOKUP(E235,'Lista Infomoney'!B:H,2,FALSE)</f>
        <v>FLRY3</v>
      </c>
      <c r="I235" s="2" t="s">
        <v>1774</v>
      </c>
      <c r="J235" s="6" t="str">
        <f>VLOOKUP(E235,'Lista Infomoney'!B:F,4,FALSE)</f>
        <v/>
      </c>
      <c r="K235" s="6" t="str">
        <f>VLOOKUP(E235,'Lista Infomoney'!B:F,5,FALSE)</f>
        <v/>
      </c>
      <c r="V235" s="6" t="str">
        <f>H235&amp;" OR "&amp;I235</f>
        <v>FLRY3 OR FLRY3F</v>
      </c>
      <c r="W23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v>
      </c>
      <c r="Y235" s="6" t="str">
        <f t="shared" si="35"/>
        <v>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v>
      </c>
    </row>
    <row r="236">
      <c r="A236" s="2">
        <v>2.0</v>
      </c>
      <c r="B236" s="2" t="s">
        <v>756</v>
      </c>
      <c r="C236" s="2" t="s">
        <v>1764</v>
      </c>
      <c r="D236" s="2" t="s">
        <v>1764</v>
      </c>
      <c r="E236" s="2" t="s">
        <v>1775</v>
      </c>
      <c r="F236" s="2" t="s">
        <v>1776</v>
      </c>
      <c r="G236" s="2" t="s">
        <v>1001</v>
      </c>
      <c r="H236" s="2" t="s">
        <v>1777</v>
      </c>
      <c r="V236" s="6" t="str">
        <f>H236</f>
        <v>HAPV3</v>
      </c>
      <c r="W23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v>
      </c>
      <c r="Y236" s="6" t="str">
        <f t="shared" si="35"/>
        <v>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v>
      </c>
    </row>
    <row r="237">
      <c r="A237" s="2">
        <v>1.0</v>
      </c>
      <c r="B237" s="2" t="s">
        <v>756</v>
      </c>
      <c r="C237" s="2" t="s">
        <v>1764</v>
      </c>
      <c r="D237" s="2" t="s">
        <v>1764</v>
      </c>
      <c r="E237" s="2" t="s">
        <v>757</v>
      </c>
      <c r="F237" s="2" t="s">
        <v>1778</v>
      </c>
      <c r="G237" s="2" t="s">
        <v>1001</v>
      </c>
      <c r="H237" s="22" t="str">
        <f>VLOOKUP(E237,'Lista Infomoney'!B:H,2,FALSE)</f>
        <v>PARD3</v>
      </c>
      <c r="I237" s="2" t="s">
        <v>1774</v>
      </c>
      <c r="J237" s="6" t="str">
        <f>VLOOKUP(E237,'Lista Infomoney'!B:F,4,FALSE)</f>
        <v/>
      </c>
      <c r="K237" s="6" t="str">
        <f>VLOOKUP(E237,'Lista Infomoney'!B:F,5,FALSE)</f>
        <v/>
      </c>
      <c r="V237" s="6" t="str">
        <f>H237&amp;" OR "&amp;I237</f>
        <v>PARD3 OR FLRY3F</v>
      </c>
      <c r="W23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v>
      </c>
      <c r="Y237" s="6" t="str">
        <f t="shared" si="35"/>
        <v>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v>
      </c>
    </row>
    <row r="238">
      <c r="A238" s="2">
        <v>2.0</v>
      </c>
      <c r="B238" s="2" t="s">
        <v>756</v>
      </c>
      <c r="C238" s="2" t="s">
        <v>1764</v>
      </c>
      <c r="D238" s="2" t="s">
        <v>1764</v>
      </c>
      <c r="E238" s="2" t="s">
        <v>1779</v>
      </c>
      <c r="F238" s="2" t="s">
        <v>1780</v>
      </c>
      <c r="G238" s="2" t="s">
        <v>1001</v>
      </c>
      <c r="H238" s="2" t="s">
        <v>1781</v>
      </c>
      <c r="V238" s="6" t="str">
        <f>H238</f>
        <v>GNDI3</v>
      </c>
      <c r="W23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v>
      </c>
      <c r="Y238" s="6" t="str">
        <f t="shared" si="35"/>
        <v>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v>
      </c>
    </row>
    <row r="239">
      <c r="A239" s="2">
        <v>1.0</v>
      </c>
      <c r="B239" s="2" t="s">
        <v>756</v>
      </c>
      <c r="C239" s="2" t="s">
        <v>1764</v>
      </c>
      <c r="D239" s="2" t="s">
        <v>1764</v>
      </c>
      <c r="E239" s="2" t="s">
        <v>1782</v>
      </c>
      <c r="F239" s="2" t="s">
        <v>1783</v>
      </c>
      <c r="G239" s="2" t="s">
        <v>1001</v>
      </c>
      <c r="H239" s="22" t="str">
        <f>VLOOKUP(E239,'Lista Infomoney'!B:H,2,FALSE)</f>
        <v>ODPV3F</v>
      </c>
      <c r="I239" s="22" t="str">
        <f>VLOOKUP(E239,'Lista Infomoney'!B:F,3,FALSE)</f>
        <v>ODPV3</v>
      </c>
      <c r="J239" s="6" t="str">
        <f>VLOOKUP(E239,'Lista Infomoney'!B:F,4,FALSE)</f>
        <v/>
      </c>
      <c r="K239" s="6" t="str">
        <f>VLOOKUP(E239,'Lista Infomoney'!B:F,5,FALSE)</f>
        <v/>
      </c>
      <c r="V239" s="6" t="str">
        <f t="shared" ref="V239:V240" si="48">H239&amp;" OR "&amp;I239</f>
        <v>ODPV3F OR ODPV3</v>
      </c>
      <c r="W23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v>
      </c>
      <c r="Y239" s="6" t="str">
        <f t="shared" si="35"/>
        <v>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v>
      </c>
    </row>
    <row r="240">
      <c r="A240" s="2">
        <v>1.0</v>
      </c>
      <c r="B240" s="2" t="s">
        <v>756</v>
      </c>
      <c r="C240" s="2" t="s">
        <v>1764</v>
      </c>
      <c r="D240" s="2" t="s">
        <v>1764</v>
      </c>
      <c r="E240" s="2" t="s">
        <v>1784</v>
      </c>
      <c r="F240" s="2" t="s">
        <v>1785</v>
      </c>
      <c r="G240" s="2" t="s">
        <v>1001</v>
      </c>
      <c r="H240" s="22" t="str">
        <f>VLOOKUP(E240,'Lista Infomoney'!B:H,2,FALSE)</f>
        <v>QUAL3F</v>
      </c>
      <c r="I240" s="22" t="str">
        <f>VLOOKUP(E240,'Lista Infomoney'!B:F,3,FALSE)</f>
        <v>QUAL3</v>
      </c>
      <c r="J240" s="6" t="str">
        <f>VLOOKUP(E240,'Lista Infomoney'!B:F,4,FALSE)</f>
        <v/>
      </c>
      <c r="K240" s="6" t="str">
        <f>VLOOKUP(E240,'Lista Infomoney'!B:F,5,FALSE)</f>
        <v/>
      </c>
      <c r="V240" s="6" t="str">
        <f t="shared" si="48"/>
        <v>QUAL3F OR QUAL3</v>
      </c>
      <c r="W24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v>
      </c>
      <c r="Y240" s="6" t="str">
        <f t="shared" si="35"/>
        <v>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v>
      </c>
    </row>
    <row r="241">
      <c r="A241" s="2">
        <v>1.0</v>
      </c>
      <c r="B241" s="2" t="s">
        <v>756</v>
      </c>
      <c r="C241" s="2" t="s">
        <v>1786</v>
      </c>
      <c r="D241" s="2" t="s">
        <v>1786</v>
      </c>
      <c r="E241" s="2" t="s">
        <v>1787</v>
      </c>
      <c r="F241" s="2" t="s">
        <v>1788</v>
      </c>
      <c r="G241" s="2"/>
      <c r="H241" s="22" t="str">
        <f>VLOOKUP(E241,'Lista Infomoney'!B:H,2,FALSE)</f>
        <v>BALM3F</v>
      </c>
      <c r="I241" s="22" t="str">
        <f>VLOOKUP(E241,'Lista Infomoney'!B:F,3,FALSE)</f>
        <v>BALM4F</v>
      </c>
      <c r="J241" s="22" t="str">
        <f>VLOOKUP(E241,'Lista Infomoney'!B:F,4,FALSE)</f>
        <v>BALM4</v>
      </c>
      <c r="K241" s="22" t="str">
        <f>VLOOKUP(E241,'Lista Infomoney'!B:F,5,FALSE)</f>
        <v>BALM3</v>
      </c>
      <c r="V241" s="6" t="str">
        <f>H241&amp;" OR "&amp;I241&amp;" OR "&amp;J241&amp;" OR "&amp;K241</f>
        <v>BALM3F OR BALM4F OR BALM4 OR BALM3</v>
      </c>
      <c r="W24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v>
      </c>
      <c r="Y241" s="6" t="str">
        <f t="shared" si="35"/>
        <v>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v>
      </c>
    </row>
    <row r="242">
      <c r="A242" s="2">
        <v>2.0</v>
      </c>
      <c r="B242" s="2" t="s">
        <v>756</v>
      </c>
      <c r="C242" s="2" t="s">
        <v>1786</v>
      </c>
      <c r="D242" s="2" t="s">
        <v>1786</v>
      </c>
      <c r="E242" s="2" t="s">
        <v>1789</v>
      </c>
      <c r="F242" s="2" t="s">
        <v>1790</v>
      </c>
      <c r="G242" s="2" t="s">
        <v>1107</v>
      </c>
      <c r="H242" s="2" t="s">
        <v>1791</v>
      </c>
      <c r="V242" s="6" t="str">
        <f>H242</f>
        <v>LMED3</v>
      </c>
      <c r="W24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v>
      </c>
      <c r="Y242" s="6" t="str">
        <f t="shared" si="35"/>
        <v>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v>
      </c>
    </row>
    <row r="243">
      <c r="A243" s="2">
        <v>1.0</v>
      </c>
      <c r="B243" s="2" t="s">
        <v>756</v>
      </c>
      <c r="C243" s="2" t="s">
        <v>1514</v>
      </c>
      <c r="D243" s="2" t="s">
        <v>1753</v>
      </c>
      <c r="E243" s="2" t="s">
        <v>1792</v>
      </c>
      <c r="F243" s="2" t="s">
        <v>1793</v>
      </c>
      <c r="G243" s="2"/>
      <c r="H243" s="22" t="str">
        <f>VLOOKUP(E243,'Lista Infomoney'!B:H,2,FALSE)</f>
        <v>PNVL4F</v>
      </c>
      <c r="I243" s="22" t="str">
        <f>VLOOKUP(E243,'Lista Infomoney'!B:F,3,FALSE)</f>
        <v>PNVL3F</v>
      </c>
      <c r="J243" s="22" t="str">
        <f>VLOOKUP(E243,'Lista Infomoney'!B:F,4,FALSE)</f>
        <v>PNVL4</v>
      </c>
      <c r="K243" s="22" t="str">
        <f>VLOOKUP(E243,'Lista Infomoney'!B:F,5,FALSE)</f>
        <v>PNVL3</v>
      </c>
      <c r="V243" s="6" t="str">
        <f>H243&amp;" OR "&amp;I243&amp;" OR "&amp;J243&amp;" OR "&amp;K243</f>
        <v>PNVL4F OR PNVL3F OR PNVL4 OR PNVL3</v>
      </c>
      <c r="W24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v>
      </c>
      <c r="Y243" s="6" t="str">
        <f t="shared" si="35"/>
        <v>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v>
      </c>
    </row>
    <row r="244">
      <c r="A244" s="2">
        <v>1.0</v>
      </c>
      <c r="B244" s="2" t="s">
        <v>756</v>
      </c>
      <c r="C244" s="2" t="s">
        <v>1514</v>
      </c>
      <c r="D244" s="2" t="s">
        <v>1753</v>
      </c>
      <c r="E244" s="2" t="s">
        <v>28</v>
      </c>
      <c r="F244" s="2" t="s">
        <v>1794</v>
      </c>
      <c r="G244" s="2" t="s">
        <v>1001</v>
      </c>
      <c r="H244" s="22" t="str">
        <f>VLOOKUP(E244,'Lista Infomoney'!B:H,2,FALSE)</f>
        <v>DMVF3</v>
      </c>
      <c r="I244" s="6" t="str">
        <f>VLOOKUP(E244,'Lista Infomoney'!B:F,3,FALSE)</f>
        <v/>
      </c>
      <c r="J244" s="6" t="str">
        <f>VLOOKUP(E244,'Lista Infomoney'!B:F,4,FALSE)</f>
        <v/>
      </c>
      <c r="K244" s="6" t="str">
        <f>VLOOKUP(E244,'Lista Infomoney'!B:F,5,FALSE)</f>
        <v/>
      </c>
      <c r="V244" s="22" t="str">
        <f>H244</f>
        <v>DMVF3</v>
      </c>
      <c r="W24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v>
      </c>
      <c r="Y244" s="6" t="str">
        <f t="shared" si="35"/>
        <v>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v>
      </c>
    </row>
    <row r="245">
      <c r="A245" s="2">
        <v>1.0</v>
      </c>
      <c r="B245" s="2" t="s">
        <v>756</v>
      </c>
      <c r="C245" s="2" t="s">
        <v>1514</v>
      </c>
      <c r="D245" s="2" t="s">
        <v>1753</v>
      </c>
      <c r="E245" s="2" t="s">
        <v>795</v>
      </c>
      <c r="F245" s="2" t="s">
        <v>1795</v>
      </c>
      <c r="G245" s="2" t="s">
        <v>1001</v>
      </c>
      <c r="H245" s="22" t="str">
        <f>VLOOKUP(E245,'Lista Infomoney'!B:H,2,FALSE)</f>
        <v>HYPE3</v>
      </c>
      <c r="I245" s="2" t="s">
        <v>1796</v>
      </c>
      <c r="J245" s="6" t="str">
        <f>VLOOKUP(E245,'Lista Infomoney'!B:F,4,FALSE)</f>
        <v/>
      </c>
      <c r="K245" s="6" t="str">
        <f>VLOOKUP(E245,'Lista Infomoney'!B:F,5,FALSE)</f>
        <v/>
      </c>
      <c r="V245" s="6" t="str">
        <f>H245&amp;" OR "&amp;I245</f>
        <v>HYPE3 OR HYPE3F</v>
      </c>
      <c r="W24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v>
      </c>
      <c r="Y245" s="6" t="str">
        <f t="shared" si="35"/>
        <v>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v>
      </c>
    </row>
    <row r="246">
      <c r="A246" s="2">
        <v>1.0</v>
      </c>
      <c r="B246" s="2" t="s">
        <v>756</v>
      </c>
      <c r="C246" s="2" t="s">
        <v>1514</v>
      </c>
      <c r="D246" s="2" t="s">
        <v>1753</v>
      </c>
      <c r="E246" s="2" t="s">
        <v>1797</v>
      </c>
      <c r="F246" s="2" t="s">
        <v>1798</v>
      </c>
      <c r="G246" s="2" t="s">
        <v>1001</v>
      </c>
      <c r="H246" s="22" t="str">
        <f>VLOOKUP(E246,'Lista Infomoney'!B:H,2,FALSE)</f>
        <v>PGMN3</v>
      </c>
      <c r="I246" s="6" t="str">
        <f>VLOOKUP(E246,'Lista Infomoney'!B:F,3,FALSE)</f>
        <v/>
      </c>
      <c r="J246" s="6" t="str">
        <f>VLOOKUP(E246,'Lista Infomoney'!B:F,4,FALSE)</f>
        <v/>
      </c>
      <c r="K246" s="6" t="str">
        <f>VLOOKUP(E246,'Lista Infomoney'!B:F,5,FALSE)</f>
        <v/>
      </c>
      <c r="V246" s="22" t="str">
        <f>H246</f>
        <v>PGMN3</v>
      </c>
      <c r="W24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v>
      </c>
      <c r="Y246" s="6" t="str">
        <f t="shared" si="35"/>
        <v>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v>
      </c>
    </row>
    <row r="247">
      <c r="A247" s="2">
        <v>2.0</v>
      </c>
      <c r="B247" s="2" t="s">
        <v>756</v>
      </c>
      <c r="C247" s="2" t="s">
        <v>1514</v>
      </c>
      <c r="D247" s="2" t="s">
        <v>1753</v>
      </c>
      <c r="E247" s="2" t="s">
        <v>1799</v>
      </c>
      <c r="F247" s="2" t="s">
        <v>1800</v>
      </c>
      <c r="G247" s="2" t="s">
        <v>1001</v>
      </c>
      <c r="H247" s="2" t="s">
        <v>1801</v>
      </c>
      <c r="I247" s="2" t="s">
        <v>1802</v>
      </c>
      <c r="V247" s="6" t="str">
        <f t="shared" ref="V247:V251" si="49">H247&amp;" OR "&amp;I247</f>
        <v>PFRM3 OR PFRM3F</v>
      </c>
      <c r="W24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v>
      </c>
      <c r="Y247" s="6" t="str">
        <f t="shared" si="35"/>
        <v>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v>
      </c>
    </row>
    <row r="248">
      <c r="A248" s="2">
        <v>1.0</v>
      </c>
      <c r="B248" s="2" t="s">
        <v>756</v>
      </c>
      <c r="C248" s="2" t="s">
        <v>1514</v>
      </c>
      <c r="D248" s="2" t="s">
        <v>1753</v>
      </c>
      <c r="E248" s="2" t="s">
        <v>787</v>
      </c>
      <c r="F248" s="2" t="s">
        <v>1803</v>
      </c>
      <c r="G248" s="2" t="s">
        <v>1001</v>
      </c>
      <c r="H248" s="22" t="str">
        <f>VLOOKUP(E248,'Lista Infomoney'!B:H,2,FALSE)</f>
        <v>RADL3F</v>
      </c>
      <c r="I248" s="22" t="str">
        <f>VLOOKUP(E248,'Lista Infomoney'!B:F,3,FALSE)</f>
        <v>RADL3</v>
      </c>
      <c r="J248" s="6" t="str">
        <f>VLOOKUP(E248,'Lista Infomoney'!B:F,4,FALSE)</f>
        <v/>
      </c>
      <c r="K248" s="6" t="str">
        <f>VLOOKUP(E248,'Lista Infomoney'!B:F,5,FALSE)</f>
        <v/>
      </c>
      <c r="V248" s="6" t="str">
        <f t="shared" si="49"/>
        <v>RADL3F OR RADL3</v>
      </c>
      <c r="W24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v>
      </c>
      <c r="Y248" s="6" t="str">
        <f t="shared" si="35"/>
        <v>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v>
      </c>
    </row>
    <row r="249">
      <c r="A249" s="2">
        <v>1.0</v>
      </c>
      <c r="B249" s="2" t="s">
        <v>800</v>
      </c>
      <c r="C249" s="2" t="s">
        <v>1804</v>
      </c>
      <c r="D249" s="2" t="s">
        <v>1804</v>
      </c>
      <c r="E249" s="2" t="s">
        <v>840</v>
      </c>
      <c r="F249" s="27" t="s">
        <v>1805</v>
      </c>
      <c r="G249" s="2" t="s">
        <v>1001</v>
      </c>
      <c r="H249" s="22" t="str">
        <f>VLOOKUP(E249,'Lista Infomoney'!B:H,2,FALSE)</f>
        <v>POSI3F</v>
      </c>
      <c r="I249" s="22" t="str">
        <f>VLOOKUP(E249,'Lista Infomoney'!B:F,3,FALSE)</f>
        <v>POSI3</v>
      </c>
      <c r="J249" s="6" t="str">
        <f>VLOOKUP(E249,'Lista Infomoney'!B:F,4,FALSE)</f>
        <v/>
      </c>
      <c r="K249" s="6" t="str">
        <f>VLOOKUP(E249,'Lista Infomoney'!B:F,5,FALSE)</f>
        <v/>
      </c>
      <c r="V249" s="6" t="str">
        <f t="shared" si="49"/>
        <v>POSI3F OR POSI3</v>
      </c>
      <c r="W24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v>
      </c>
      <c r="Y249" s="6" t="str">
        <f t="shared" si="35"/>
        <v>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v>
      </c>
    </row>
    <row r="250">
      <c r="A250" s="2">
        <v>2.0</v>
      </c>
      <c r="B250" s="2" t="s">
        <v>800</v>
      </c>
      <c r="C250" s="2" t="s">
        <v>1806</v>
      </c>
      <c r="D250" s="2" t="s">
        <v>1806</v>
      </c>
      <c r="E250" s="2" t="s">
        <v>1807</v>
      </c>
      <c r="F250" s="2" t="s">
        <v>1808</v>
      </c>
      <c r="G250" s="2" t="s">
        <v>1107</v>
      </c>
      <c r="H250" s="2" t="s">
        <v>1809</v>
      </c>
      <c r="I250" s="2" t="s">
        <v>1810</v>
      </c>
      <c r="V250" s="6" t="str">
        <f t="shared" si="49"/>
        <v>BRQB3 OR BRQB3F</v>
      </c>
      <c r="W25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v>
      </c>
      <c r="Y250" s="6" t="str">
        <f t="shared" si="35"/>
        <v>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v>
      </c>
    </row>
    <row r="251">
      <c r="A251" s="2">
        <v>1.0</v>
      </c>
      <c r="B251" s="2" t="s">
        <v>800</v>
      </c>
      <c r="C251" s="2" t="s">
        <v>1806</v>
      </c>
      <c r="D251" s="2" t="s">
        <v>1806</v>
      </c>
      <c r="E251" s="2" t="s">
        <v>1811</v>
      </c>
      <c r="F251" s="2" t="s">
        <v>1811</v>
      </c>
      <c r="G251" s="2" t="s">
        <v>1001</v>
      </c>
      <c r="H251" s="22" t="str">
        <f>VLOOKUP(E251,'Lista Infomoney'!B:H,2,FALSE)</f>
        <v>LINX3F</v>
      </c>
      <c r="I251" s="22" t="str">
        <f>VLOOKUP(E251,'Lista Infomoney'!B:F,3,FALSE)</f>
        <v>LINX3</v>
      </c>
      <c r="J251" s="6" t="str">
        <f>VLOOKUP(E251,'Lista Infomoney'!B:F,4,FALSE)</f>
        <v/>
      </c>
      <c r="K251" s="6" t="str">
        <f>VLOOKUP(E251,'Lista Infomoney'!B:F,5,FALSE)</f>
        <v/>
      </c>
      <c r="V251" s="6" t="str">
        <f t="shared" si="49"/>
        <v>LINX3F OR LINX3</v>
      </c>
      <c r="W25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v>
      </c>
      <c r="Y251" s="6" t="str">
        <f t="shared" si="35"/>
        <v>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v>
      </c>
    </row>
    <row r="252">
      <c r="A252" s="2">
        <v>1.0</v>
      </c>
      <c r="B252" s="2" t="s">
        <v>800</v>
      </c>
      <c r="C252" s="2" t="s">
        <v>1806</v>
      </c>
      <c r="D252" s="2" t="s">
        <v>1806</v>
      </c>
      <c r="E252" s="2" t="s">
        <v>1812</v>
      </c>
      <c r="F252" s="2" t="s">
        <v>1813</v>
      </c>
      <c r="G252" s="2" t="s">
        <v>1001</v>
      </c>
      <c r="H252" s="22" t="str">
        <f>VLOOKUP(E252,'Lista Infomoney'!B:H,2,FALSE)</f>
        <v>LWSA3</v>
      </c>
      <c r="I252" s="6" t="str">
        <f>VLOOKUP(E252,'Lista Infomoney'!B:F,3,FALSE)</f>
        <v/>
      </c>
      <c r="J252" s="6" t="str">
        <f>VLOOKUP(E252,'Lista Infomoney'!B:F,4,FALSE)</f>
        <v/>
      </c>
      <c r="K252" s="6" t="str">
        <f>VLOOKUP(E252,'Lista Infomoney'!B:F,5,FALSE)</f>
        <v/>
      </c>
      <c r="V252" s="22" t="str">
        <f>H252</f>
        <v>LWSA3</v>
      </c>
      <c r="W25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v>
      </c>
      <c r="Y252" s="6" t="str">
        <f t="shared" si="35"/>
        <v>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v>
      </c>
    </row>
    <row r="253">
      <c r="A253" s="2">
        <v>2.0</v>
      </c>
      <c r="B253" s="2" t="s">
        <v>800</v>
      </c>
      <c r="C253" s="2" t="s">
        <v>1806</v>
      </c>
      <c r="D253" s="2" t="s">
        <v>1806</v>
      </c>
      <c r="E253" s="2" t="s">
        <v>1814</v>
      </c>
      <c r="F253" s="2" t="s">
        <v>1815</v>
      </c>
      <c r="G253" s="2" t="s">
        <v>1107</v>
      </c>
      <c r="H253" s="2" t="s">
        <v>1816</v>
      </c>
      <c r="I253" s="2" t="s">
        <v>1817</v>
      </c>
      <c r="V253" s="6" t="str">
        <f>H253&amp;" OR "&amp;I253</f>
        <v>QUSW3 OR QUSW3F</v>
      </c>
      <c r="W25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v>
      </c>
      <c r="Y253" s="6" t="str">
        <f t="shared" si="35"/>
        <v>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v>
      </c>
    </row>
    <row r="254">
      <c r="A254" s="2">
        <v>2.0</v>
      </c>
      <c r="B254" s="2" t="s">
        <v>800</v>
      </c>
      <c r="C254" s="2" t="s">
        <v>1806</v>
      </c>
      <c r="D254" s="2" t="s">
        <v>1806</v>
      </c>
      <c r="E254" s="2" t="s">
        <v>1818</v>
      </c>
      <c r="F254" s="2" t="s">
        <v>1819</v>
      </c>
      <c r="G254" s="2" t="s">
        <v>1001</v>
      </c>
      <c r="H254" s="2" t="s">
        <v>1820</v>
      </c>
      <c r="V254" s="6" t="str">
        <f>H254</f>
        <v>SQIA3</v>
      </c>
      <c r="W25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v>
      </c>
      <c r="Y254" s="6" t="str">
        <f t="shared" si="35"/>
        <v>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v>
      </c>
    </row>
    <row r="255">
      <c r="A255" s="2">
        <v>1.0</v>
      </c>
      <c r="B255" s="2" t="s">
        <v>800</v>
      </c>
      <c r="C255" s="2" t="s">
        <v>1806</v>
      </c>
      <c r="D255" s="2" t="s">
        <v>1806</v>
      </c>
      <c r="E255" s="2" t="s">
        <v>1821</v>
      </c>
      <c r="F255" s="2" t="s">
        <v>1822</v>
      </c>
      <c r="G255" s="2" t="s">
        <v>1001</v>
      </c>
      <c r="H255" s="22" t="str">
        <f>VLOOKUP(E255,'Lista Infomoney'!B:H,2,FALSE)</f>
        <v>TOTS3F</v>
      </c>
      <c r="I255" s="22" t="str">
        <f>VLOOKUP(E255,'Lista Infomoney'!B:F,3,FALSE)</f>
        <v>TOTS3</v>
      </c>
      <c r="J255" s="6" t="str">
        <f>VLOOKUP(E255,'Lista Infomoney'!B:F,4,FALSE)</f>
        <v/>
      </c>
      <c r="K255" s="6" t="str">
        <f>VLOOKUP(E255,'Lista Infomoney'!B:F,5,FALSE)</f>
        <v/>
      </c>
      <c r="V255" s="6" t="str">
        <f>H255&amp;" OR "&amp;I255</f>
        <v>TOTS3F OR TOTS3</v>
      </c>
      <c r="W25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v>
      </c>
      <c r="Y255" s="6" t="str">
        <f t="shared" si="35"/>
        <v>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v>
      </c>
    </row>
    <row r="256">
      <c r="A256" s="2">
        <v>2.0</v>
      </c>
      <c r="B256" s="2" t="s">
        <v>1823</v>
      </c>
      <c r="C256" s="2" t="s">
        <v>845</v>
      </c>
      <c r="D256" s="2" t="s">
        <v>845</v>
      </c>
      <c r="E256" s="2" t="s">
        <v>1824</v>
      </c>
      <c r="F256" s="2" t="s">
        <v>1825</v>
      </c>
      <c r="G256" s="2"/>
      <c r="H256" s="2" t="s">
        <v>1825</v>
      </c>
      <c r="V256" s="6" t="str">
        <f>H256</f>
        <v>ALGT</v>
      </c>
      <c r="W25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v>
      </c>
      <c r="Y256" s="6" t="str">
        <f t="shared" si="35"/>
        <v>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v>
      </c>
    </row>
    <row r="257">
      <c r="A257" s="2">
        <v>1.0</v>
      </c>
      <c r="B257" s="2" t="s">
        <v>1823</v>
      </c>
      <c r="C257" s="2" t="s">
        <v>845</v>
      </c>
      <c r="D257" s="2" t="s">
        <v>845</v>
      </c>
      <c r="E257" s="2" t="s">
        <v>849</v>
      </c>
      <c r="F257" s="2" t="s">
        <v>852</v>
      </c>
      <c r="G257" s="2" t="s">
        <v>1029</v>
      </c>
      <c r="H257" s="22" t="str">
        <f>VLOOKUP(E257,'Lista Infomoney'!B:H,2,FALSE)</f>
        <v>OIBR4F</v>
      </c>
      <c r="I257" s="22" t="str">
        <f>VLOOKUP(E257,'Lista Infomoney'!B:F,3,FALSE)</f>
        <v>OIBR4</v>
      </c>
      <c r="J257" s="2" t="s">
        <v>1826</v>
      </c>
      <c r="K257" s="2" t="s">
        <v>1827</v>
      </c>
      <c r="V257" s="6" t="str">
        <f t="shared" ref="V257:V259" si="50">H257&amp;" OR "&amp;I257&amp;" OR "&amp;J257&amp;" OR "&amp;K257</f>
        <v>OIBR4F OR OIBR4 OR OIBR3 OR OIBR3F</v>
      </c>
      <c r="W25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v>
      </c>
      <c r="Y257" s="6" t="str">
        <f t="shared" si="35"/>
        <v>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v>
      </c>
    </row>
    <row r="258">
      <c r="A258" s="2">
        <v>1.0</v>
      </c>
      <c r="B258" s="2" t="s">
        <v>1823</v>
      </c>
      <c r="C258" s="2" t="s">
        <v>845</v>
      </c>
      <c r="D258" s="2" t="s">
        <v>845</v>
      </c>
      <c r="E258" s="2" t="s">
        <v>1828</v>
      </c>
      <c r="F258" s="2" t="s">
        <v>1829</v>
      </c>
      <c r="G258" s="2"/>
      <c r="H258" s="22" t="str">
        <f>VLOOKUP(E258,'Lista Infomoney'!B:H,2,FALSE)</f>
        <v>TELB4F</v>
      </c>
      <c r="I258" s="22" t="str">
        <f>VLOOKUP(E258,'Lista Infomoney'!B:F,3,FALSE)</f>
        <v>TELB4</v>
      </c>
      <c r="J258" s="22" t="str">
        <f>VLOOKUP(E258,'Lista Infomoney'!B:F,4,FALSE)</f>
        <v>TELB3F</v>
      </c>
      <c r="K258" s="22" t="str">
        <f>VLOOKUP(E258,'Lista Infomoney'!B:F,5,FALSE)</f>
        <v>TELB3</v>
      </c>
      <c r="V258" s="6" t="str">
        <f t="shared" si="50"/>
        <v>TELB4F OR TELB4 OR TELB3F OR TELB3</v>
      </c>
      <c r="W25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v>
      </c>
      <c r="Y258" s="6" t="str">
        <f t="shared" si="35"/>
        <v>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v>
      </c>
    </row>
    <row r="259">
      <c r="A259" s="2">
        <v>1.0</v>
      </c>
      <c r="B259" s="2" t="s">
        <v>1823</v>
      </c>
      <c r="C259" s="2" t="s">
        <v>845</v>
      </c>
      <c r="D259" s="2" t="s">
        <v>845</v>
      </c>
      <c r="E259" s="2" t="s">
        <v>856</v>
      </c>
      <c r="F259" s="2" t="s">
        <v>1830</v>
      </c>
      <c r="G259" s="2"/>
      <c r="H259" s="22" t="str">
        <f>VLOOKUP(E259,'Lista Infomoney'!B:H,2,FALSE)</f>
        <v>VIVT4F</v>
      </c>
      <c r="I259" s="22" t="str">
        <f>VLOOKUP(E259,'Lista Infomoney'!B:F,3,FALSE)</f>
        <v>VIVT4</v>
      </c>
      <c r="J259" s="22" t="str">
        <f>VLOOKUP(E259,'Lista Infomoney'!B:F,4,FALSE)</f>
        <v>VIVT3F</v>
      </c>
      <c r="K259" s="22" t="str">
        <f>VLOOKUP(E259,'Lista Infomoney'!B:F,5,FALSE)</f>
        <v>VIVT3</v>
      </c>
      <c r="V259" s="6" t="str">
        <f t="shared" si="50"/>
        <v>VIVT4F OR VIVT4 OR VIVT3F OR VIVT3</v>
      </c>
      <c r="W25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v>
      </c>
      <c r="Y259" s="6" t="str">
        <f t="shared" si="35"/>
        <v>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v>
      </c>
    </row>
    <row r="260">
      <c r="A260" s="2">
        <v>2.0</v>
      </c>
      <c r="B260" s="2" t="s">
        <v>1823</v>
      </c>
      <c r="C260" s="2" t="s">
        <v>845</v>
      </c>
      <c r="D260" s="2" t="s">
        <v>845</v>
      </c>
      <c r="E260" s="2" t="s">
        <v>1831</v>
      </c>
      <c r="F260" s="2" t="s">
        <v>1832</v>
      </c>
      <c r="G260" s="2" t="s">
        <v>1001</v>
      </c>
      <c r="H260" s="2" t="s">
        <v>1833</v>
      </c>
      <c r="V260" s="6" t="str">
        <f>H260</f>
        <v>TIMS3</v>
      </c>
      <c r="W26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v>
      </c>
      <c r="Y260" s="6" t="str">
        <f t="shared" si="35"/>
        <v>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v>
      </c>
    </row>
    <row r="261">
      <c r="A261" s="2">
        <v>1.0</v>
      </c>
      <c r="B261" s="2" t="s">
        <v>1823</v>
      </c>
      <c r="C261" s="2" t="s">
        <v>845</v>
      </c>
      <c r="D261" s="2" t="s">
        <v>845</v>
      </c>
      <c r="E261" s="2" t="s">
        <v>853</v>
      </c>
      <c r="F261" s="2" t="s">
        <v>1834</v>
      </c>
      <c r="G261" s="2" t="s">
        <v>1001</v>
      </c>
      <c r="H261" s="22" t="str">
        <f>VLOOKUP(E261,'Lista Infomoney'!B:H,2,FALSE)</f>
        <v>TIMP3F</v>
      </c>
      <c r="I261" s="22" t="str">
        <f>VLOOKUP(E261,'Lista Infomoney'!B:F,3,FALSE)</f>
        <v>TIMP3</v>
      </c>
      <c r="J261" s="6" t="str">
        <f>VLOOKUP(E261,'Lista Infomoney'!B:F,4,FALSE)</f>
        <v/>
      </c>
      <c r="K261" s="6" t="str">
        <f>VLOOKUP(E261,'Lista Infomoney'!B:F,5,FALSE)</f>
        <v/>
      </c>
      <c r="V261" s="6" t="str">
        <f t="shared" ref="V261:V262" si="51">H261&amp;" OR "&amp;I261</f>
        <v>TIMP3F OR TIMP3</v>
      </c>
      <c r="W26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v>
      </c>
      <c r="Y261" s="6" t="str">
        <f t="shared" si="35"/>
        <v>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v>
      </c>
    </row>
    <row r="262">
      <c r="A262" s="2">
        <v>2.0</v>
      </c>
      <c r="B262" s="2" t="s">
        <v>1823</v>
      </c>
      <c r="C262" s="2" t="s">
        <v>1835</v>
      </c>
      <c r="D262" s="2" t="s">
        <v>1836</v>
      </c>
      <c r="E262" s="2" t="s">
        <v>1837</v>
      </c>
      <c r="F262" s="2" t="s">
        <v>1838</v>
      </c>
      <c r="G262" s="2" t="s">
        <v>1107</v>
      </c>
      <c r="H262" s="2" t="s">
        <v>1839</v>
      </c>
      <c r="I262" s="2" t="s">
        <v>1840</v>
      </c>
      <c r="V262" s="6" t="str">
        <f t="shared" si="51"/>
        <v>CNSY3 OR CNSY3F</v>
      </c>
      <c r="W26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v>
      </c>
      <c r="Y262" s="6" t="str">
        <f t="shared" si="35"/>
        <v>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v>
      </c>
    </row>
    <row r="263">
      <c r="A263" s="2">
        <v>2.0</v>
      </c>
      <c r="B263" s="2" t="s">
        <v>867</v>
      </c>
      <c r="C263" s="2" t="s">
        <v>1841</v>
      </c>
      <c r="D263" s="2" t="s">
        <v>1841</v>
      </c>
      <c r="E263" s="2" t="s">
        <v>1842</v>
      </c>
      <c r="F263" s="2" t="s">
        <v>1843</v>
      </c>
      <c r="G263" s="2"/>
      <c r="H263" s="2" t="s">
        <v>1844</v>
      </c>
      <c r="V263" s="6" t="str">
        <f>H263</f>
        <v>AESL3</v>
      </c>
      <c r="W26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v>
      </c>
      <c r="Y263" s="6" t="str">
        <f t="shared" si="35"/>
        <v>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v>
      </c>
    </row>
    <row r="264">
      <c r="A264" s="2">
        <v>1.0</v>
      </c>
      <c r="B264" s="2" t="s">
        <v>867</v>
      </c>
      <c r="C264" s="2" t="s">
        <v>1841</v>
      </c>
      <c r="D264" s="2" t="s">
        <v>1841</v>
      </c>
      <c r="E264" s="2" t="s">
        <v>949</v>
      </c>
      <c r="F264" s="2" t="s">
        <v>1845</v>
      </c>
      <c r="G264" s="2" t="s">
        <v>1013</v>
      </c>
      <c r="H264" s="22" t="str">
        <f>VLOOKUP(E264,'Lista Infomoney'!B:H,2,FALSE)</f>
        <v>TIET11F</v>
      </c>
      <c r="I264" s="22" t="str">
        <f>VLOOKUP(E264,'Lista Infomoney'!B:F,3,FALSE)</f>
        <v>TIET3F</v>
      </c>
      <c r="J264" s="22" t="str">
        <f>VLOOKUP(E264,'Lista Infomoney'!B:F,4,FALSE)</f>
        <v>TIET4F</v>
      </c>
      <c r="K264" s="22" t="str">
        <f>VLOOKUP(E264,'Lista Infomoney'!B:F,5,FALSE)</f>
        <v>TIET4</v>
      </c>
      <c r="L264" s="2" t="s">
        <v>955</v>
      </c>
      <c r="M264" s="2" t="s">
        <v>954</v>
      </c>
      <c r="V264" s="6" t="str">
        <f>H264&amp;" OR "&amp;I264&amp;" OR "&amp;J264&amp;" OR "&amp;K264&amp;" OR "&amp;L264&amp;" OR "&amp;M264</f>
        <v>TIET11F OR TIET3F OR TIET4F OR TIET4 OR TIET11 OR TIET3</v>
      </c>
      <c r="W26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v>
      </c>
      <c r="Y264" s="6" t="str">
        <f t="shared" si="35"/>
        <v>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v>
      </c>
    </row>
    <row r="265">
      <c r="A265" s="2">
        <v>1.0</v>
      </c>
      <c r="B265" s="2" t="s">
        <v>867</v>
      </c>
      <c r="C265" s="2" t="s">
        <v>1841</v>
      </c>
      <c r="D265" s="2" t="s">
        <v>1841</v>
      </c>
      <c r="E265" s="2" t="s">
        <v>1846</v>
      </c>
      <c r="F265" s="2" t="s">
        <v>1847</v>
      </c>
      <c r="G265" s="2"/>
      <c r="H265" s="22" t="str">
        <f>VLOOKUP(E265,'Lista Infomoney'!B:H,2,FALSE)</f>
        <v>AFLT3F</v>
      </c>
      <c r="I265" s="2" t="s">
        <v>984</v>
      </c>
      <c r="J265" s="6" t="str">
        <f>VLOOKUP(E265,'Lista Infomoney'!B:F,4,FALSE)</f>
        <v/>
      </c>
      <c r="K265" s="6" t="str">
        <f>VLOOKUP(E265,'Lista Infomoney'!B:F,5,FALSE)</f>
        <v/>
      </c>
      <c r="V265" s="6" t="str">
        <f>H265&amp;" OR "&amp;I265</f>
        <v>AFLT3F OR AFLT3</v>
      </c>
      <c r="W26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v>
      </c>
      <c r="Y265" s="6" t="str">
        <f t="shared" si="35"/>
        <v>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v>
      </c>
    </row>
    <row r="266">
      <c r="A266" s="2">
        <v>1.0</v>
      </c>
      <c r="B266" s="2" t="s">
        <v>867</v>
      </c>
      <c r="C266" s="2" t="s">
        <v>1841</v>
      </c>
      <c r="D266" s="2" t="s">
        <v>1841</v>
      </c>
      <c r="E266" s="2" t="s">
        <v>917</v>
      </c>
      <c r="F266" s="2" t="s">
        <v>1848</v>
      </c>
      <c r="G266" s="2" t="s">
        <v>1013</v>
      </c>
      <c r="H266" s="22" t="str">
        <f>VLOOKUP(E266,'Lista Infomoney'!B:H,2,FALSE)</f>
        <v>ALUP4F</v>
      </c>
      <c r="I266" s="22" t="str">
        <f>VLOOKUP(E266,'Lista Infomoney'!B:F,3,FALSE)</f>
        <v>ALUP3F</v>
      </c>
      <c r="J266" s="22" t="str">
        <f>VLOOKUP(E266,'Lista Infomoney'!B:F,4,FALSE)</f>
        <v>ALUP11F</v>
      </c>
      <c r="K266" s="22" t="str">
        <f>VLOOKUP(E266,'Lista Infomoney'!B:F,5,FALSE)</f>
        <v>ALUP4</v>
      </c>
      <c r="L266" s="2" t="s">
        <v>922</v>
      </c>
      <c r="M266" s="2" t="s">
        <v>923</v>
      </c>
      <c r="V266" s="6" t="str">
        <f>H266&amp;" OR "&amp;I266&amp;" OR "&amp;J266&amp;" OR "&amp;K266&amp;" OR "&amp;L266&amp;" OR "&amp;M266</f>
        <v>ALUP4F OR ALUP3F OR ALUP11F OR ALUP4 OR ALUP3 OR ALUP11</v>
      </c>
      <c r="W26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v>
      </c>
      <c r="Y266" s="6" t="str">
        <f t="shared" si="35"/>
        <v>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v>
      </c>
    </row>
    <row r="267">
      <c r="A267" s="2">
        <v>2.0</v>
      </c>
      <c r="B267" s="2" t="s">
        <v>867</v>
      </c>
      <c r="C267" s="2" t="s">
        <v>1841</v>
      </c>
      <c r="D267" s="2" t="s">
        <v>1841</v>
      </c>
      <c r="E267" s="2" t="s">
        <v>1849</v>
      </c>
      <c r="F267" s="2" t="s">
        <v>1850</v>
      </c>
      <c r="G267" s="2"/>
      <c r="H267" s="2" t="s">
        <v>1851</v>
      </c>
      <c r="V267" s="6" t="str">
        <f t="shared" ref="V267:V268" si="52">H267</f>
        <v>CBEE3</v>
      </c>
      <c r="W26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v>
      </c>
      <c r="Y267" s="6" t="str">
        <f t="shared" si="35"/>
        <v>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v>
      </c>
    </row>
    <row r="268">
      <c r="A268" s="2">
        <v>2.0</v>
      </c>
      <c r="B268" s="2" t="s">
        <v>867</v>
      </c>
      <c r="C268" s="2" t="s">
        <v>1841</v>
      </c>
      <c r="D268" s="2" t="s">
        <v>1841</v>
      </c>
      <c r="E268" s="2" t="s">
        <v>1852</v>
      </c>
      <c r="F268" s="24" t="s">
        <v>1853</v>
      </c>
      <c r="G268" s="2" t="s">
        <v>1032</v>
      </c>
      <c r="H268" s="6" t="s">
        <v>1853</v>
      </c>
      <c r="V268" s="6" t="str">
        <f t="shared" si="52"/>
        <v>CPTE</v>
      </c>
      <c r="W26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v>
      </c>
      <c r="Y268" s="6" t="str">
        <f t="shared" si="35"/>
        <v>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v>
      </c>
    </row>
    <row r="269">
      <c r="A269" s="2">
        <v>1.0</v>
      </c>
      <c r="B269" s="2" t="s">
        <v>867</v>
      </c>
      <c r="C269" s="2" t="s">
        <v>1841</v>
      </c>
      <c r="D269" s="2" t="s">
        <v>1841</v>
      </c>
      <c r="E269" s="2" t="s">
        <v>893</v>
      </c>
      <c r="F269" s="2" t="s">
        <v>1854</v>
      </c>
      <c r="G269" s="2"/>
      <c r="H269" s="22" t="str">
        <f>VLOOKUP(E269,'Lista Infomoney'!B:H,2,FALSE)</f>
        <v>CEBR3F</v>
      </c>
      <c r="I269" s="22" t="str">
        <f>VLOOKUP(E269,'Lista Infomoney'!B:F,3,FALSE)</f>
        <v>CEBR6F</v>
      </c>
      <c r="J269" s="22" t="str">
        <f>VLOOKUP(E269,'Lista Infomoney'!B:F,4,FALSE)</f>
        <v>CEBR5F</v>
      </c>
      <c r="K269" s="22" t="str">
        <f>VLOOKUP(E269,'Lista Infomoney'!B:F,5,FALSE)</f>
        <v>CEBR6</v>
      </c>
      <c r="L269" s="2" t="s">
        <v>899</v>
      </c>
      <c r="M269" s="2" t="s">
        <v>898</v>
      </c>
      <c r="V269" s="6" t="str">
        <f>H269&amp;" OR "&amp;I269&amp;" OR "&amp;J269&amp;" OR "&amp;K269&amp;" OR "&amp;L269&amp;" OR "&amp;M269</f>
        <v>CEBR3F OR CEBR6F OR CEBR5F OR CEBR6 OR CEBR3 OR CEBR5</v>
      </c>
      <c r="W26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v>
      </c>
      <c r="Y269" s="6" t="str">
        <f t="shared" si="35"/>
        <v>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v>
      </c>
    </row>
    <row r="270">
      <c r="A270" s="2">
        <v>1.0</v>
      </c>
      <c r="B270" s="2" t="s">
        <v>867</v>
      </c>
      <c r="C270" s="2" t="s">
        <v>1841</v>
      </c>
      <c r="D270" s="2" t="s">
        <v>1841</v>
      </c>
      <c r="E270" s="2" t="s">
        <v>875</v>
      </c>
      <c r="F270" s="2" t="s">
        <v>1855</v>
      </c>
      <c r="G270" s="2" t="s">
        <v>1029</v>
      </c>
      <c r="H270" s="22" t="str">
        <f>VLOOKUP(E270,'Lista Infomoney'!B:H,2,FALSE)</f>
        <v>CEED3F</v>
      </c>
      <c r="I270" s="22" t="str">
        <f>VLOOKUP(E270,'Lista Infomoney'!B:F,3,FALSE)</f>
        <v>CEED4F</v>
      </c>
      <c r="J270" s="22" t="str">
        <f>VLOOKUP(E270,'Lista Infomoney'!B:F,4,FALSE)</f>
        <v>CEED4</v>
      </c>
      <c r="K270" s="22" t="str">
        <f>VLOOKUP(E270,'Lista Infomoney'!B:F,5,FALSE)</f>
        <v>CEED3</v>
      </c>
      <c r="V270" s="6" t="str">
        <f t="shared" ref="V270:V272" si="53">H270&amp;" OR "&amp;I270&amp;" OR "&amp;J270&amp;" OR "&amp;K270</f>
        <v>CEED3F OR CEED4F OR CEED4 OR CEED3</v>
      </c>
      <c r="W27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v>
      </c>
      <c r="Y270" s="6" t="str">
        <f t="shared" si="35"/>
        <v>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v>
      </c>
    </row>
    <row r="271">
      <c r="A271" s="2">
        <v>1.0</v>
      </c>
      <c r="B271" s="2" t="s">
        <v>867</v>
      </c>
      <c r="C271" s="2" t="s">
        <v>1841</v>
      </c>
      <c r="D271" s="2" t="s">
        <v>1841</v>
      </c>
      <c r="E271" s="2" t="s">
        <v>1856</v>
      </c>
      <c r="F271" s="2" t="s">
        <v>1857</v>
      </c>
      <c r="G271" s="2" t="s">
        <v>1029</v>
      </c>
      <c r="H271" s="22" t="str">
        <f>VLOOKUP(E271,'Lista Infomoney'!B:H,2,FALSE)</f>
        <v>EEEL4F</v>
      </c>
      <c r="I271" s="22" t="str">
        <f>VLOOKUP(E271,'Lista Infomoney'!B:F,3,FALSE)</f>
        <v>EEEL3F</v>
      </c>
      <c r="J271" s="22" t="str">
        <f>VLOOKUP(E271,'Lista Infomoney'!B:F,4,FALSE)</f>
        <v>EEEL4</v>
      </c>
      <c r="K271" s="22" t="str">
        <f>VLOOKUP(E271,'Lista Infomoney'!B:F,5,FALSE)</f>
        <v>EEEL3</v>
      </c>
      <c r="V271" s="6" t="str">
        <f t="shared" si="53"/>
        <v>EEEL4F OR EEEL3F OR EEEL4 OR EEEL3</v>
      </c>
      <c r="W27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v>
      </c>
      <c r="Y271" s="6" t="str">
        <f t="shared" si="35"/>
        <v>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v>
      </c>
    </row>
    <row r="272">
      <c r="A272" s="2">
        <v>1.0</v>
      </c>
      <c r="B272" s="2" t="s">
        <v>867</v>
      </c>
      <c r="C272" s="2" t="s">
        <v>1841</v>
      </c>
      <c r="D272" s="2" t="s">
        <v>1841</v>
      </c>
      <c r="E272" s="2" t="s">
        <v>1858</v>
      </c>
      <c r="F272" s="2" t="s">
        <v>1859</v>
      </c>
      <c r="G272" s="2" t="s">
        <v>1013</v>
      </c>
      <c r="H272" s="22" t="str">
        <f>VLOOKUP(E272,'Lista Infomoney'!B:H,2,FALSE)</f>
        <v>CLSC4F</v>
      </c>
      <c r="I272" s="22" t="str">
        <f>VLOOKUP(E272,'Lista Infomoney'!B:F,3,FALSE)</f>
        <v>CLSC3F</v>
      </c>
      <c r="J272" s="22" t="str">
        <f>VLOOKUP(E272,'Lista Infomoney'!B:F,4,FALSE)</f>
        <v>CLSC4</v>
      </c>
      <c r="K272" s="22" t="str">
        <f>VLOOKUP(E272,'Lista Infomoney'!B:F,5,FALSE)</f>
        <v>CLSC3</v>
      </c>
      <c r="V272" s="6" t="str">
        <f t="shared" si="53"/>
        <v>CLSC4F OR CLSC3F OR CLSC4 OR CLSC3</v>
      </c>
      <c r="W27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v>
      </c>
      <c r="Y272" s="6" t="str">
        <f t="shared" si="35"/>
        <v>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v>
      </c>
    </row>
    <row r="273">
      <c r="A273" s="2">
        <v>2.0</v>
      </c>
      <c r="B273" s="2" t="s">
        <v>867</v>
      </c>
      <c r="C273" s="2" t="s">
        <v>1841</v>
      </c>
      <c r="D273" s="2" t="s">
        <v>1841</v>
      </c>
      <c r="E273" s="2" t="s">
        <v>1860</v>
      </c>
      <c r="F273" s="2" t="s">
        <v>1861</v>
      </c>
      <c r="G273" s="2"/>
      <c r="H273" s="2" t="s">
        <v>1862</v>
      </c>
      <c r="V273" s="6" t="str">
        <f>H273</f>
        <v>GPAR3</v>
      </c>
      <c r="W27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v>
      </c>
      <c r="Y273" s="6" t="str">
        <f t="shared" si="35"/>
        <v>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v>
      </c>
    </row>
    <row r="274">
      <c r="A274" s="2">
        <v>1.0</v>
      </c>
      <c r="B274" s="2" t="s">
        <v>867</v>
      </c>
      <c r="C274" s="2" t="s">
        <v>1841</v>
      </c>
      <c r="D274" s="2" t="s">
        <v>1841</v>
      </c>
      <c r="E274" s="2" t="s">
        <v>1863</v>
      </c>
      <c r="F274" s="2" t="s">
        <v>1864</v>
      </c>
      <c r="G274" s="2" t="s">
        <v>1865</v>
      </c>
      <c r="H274" s="22" t="str">
        <f>VLOOKUP(E274,'Lista Infomoney'!B:H,2,FALSE)</f>
        <v>CEPE6F</v>
      </c>
      <c r="I274" s="22" t="str">
        <f>VLOOKUP(E274,'Lista Infomoney'!B:F,3,FALSE)</f>
        <v>CEPE5F</v>
      </c>
      <c r="J274" s="22" t="str">
        <f>VLOOKUP(E274,'Lista Infomoney'!B:F,4,FALSE)</f>
        <v>CEPE3F</v>
      </c>
      <c r="K274" s="22" t="str">
        <f>VLOOKUP(E274,'Lista Infomoney'!B:F,5,FALSE)</f>
        <v>CEPE6</v>
      </c>
      <c r="L274" s="2" t="s">
        <v>873</v>
      </c>
      <c r="M274" s="2" t="s">
        <v>874</v>
      </c>
      <c r="V274" s="6" t="str">
        <f t="shared" ref="V274:V275" si="54">H274&amp;" OR "&amp;I274&amp;" OR "&amp;J274&amp;" OR "&amp;K274&amp;" OR "&amp;L274&amp;" OR "&amp;M274</f>
        <v>CEPE6F OR CEPE5F OR CEPE3F OR CEPE6 OR CEPE5 OR CEPE3</v>
      </c>
      <c r="W27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v>
      </c>
      <c r="Y274" s="6" t="str">
        <f t="shared" si="35"/>
        <v>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v>
      </c>
    </row>
    <row r="275">
      <c r="A275" s="2">
        <v>1.0</v>
      </c>
      <c r="B275" s="2" t="s">
        <v>867</v>
      </c>
      <c r="C275" s="2" t="s">
        <v>1841</v>
      </c>
      <c r="D275" s="2" t="s">
        <v>1841</v>
      </c>
      <c r="E275" s="2" t="s">
        <v>1866</v>
      </c>
      <c r="F275" s="2" t="s">
        <v>1867</v>
      </c>
      <c r="G275" s="2" t="s">
        <v>1029</v>
      </c>
      <c r="H275" s="22" t="str">
        <f>VLOOKUP(E275,'Lista Infomoney'!B:H,2,FALSE)</f>
        <v>CMIG4</v>
      </c>
      <c r="I275" s="22" t="str">
        <f>VLOOKUP(E275,'Lista Infomoney'!B:F,3,FALSE)</f>
        <v>CMIG3F</v>
      </c>
      <c r="J275" s="22" t="str">
        <f>VLOOKUP(E275,'Lista Infomoney'!B:F,4,FALSE)</f>
        <v>CMIG3</v>
      </c>
      <c r="K275" s="2" t="s">
        <v>1868</v>
      </c>
      <c r="L275" s="2" t="s">
        <v>1869</v>
      </c>
      <c r="M275" s="2" t="s">
        <v>1870</v>
      </c>
      <c r="V275" s="6" t="str">
        <f t="shared" si="54"/>
        <v>CMIG4 OR CMIG3F OR CMIG3 OR CMIG4F OR CMIG10F OR CMIG9F</v>
      </c>
      <c r="W27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v>
      </c>
      <c r="Y275" s="6" t="str">
        <f t="shared" si="35"/>
        <v>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v>
      </c>
    </row>
    <row r="276">
      <c r="A276" s="2">
        <v>2.0</v>
      </c>
      <c r="B276" s="2" t="s">
        <v>867</v>
      </c>
      <c r="C276" s="2" t="s">
        <v>1841</v>
      </c>
      <c r="D276" s="2" t="s">
        <v>1841</v>
      </c>
      <c r="E276" s="2" t="s">
        <v>1871</v>
      </c>
      <c r="F276" s="24" t="s">
        <v>1872</v>
      </c>
      <c r="G276" s="2"/>
      <c r="H276" s="6" t="s">
        <v>1872</v>
      </c>
      <c r="V276" s="6" t="str">
        <f t="shared" ref="V276:V277" si="55">H276</f>
        <v>CMGD</v>
      </c>
      <c r="W27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v>
      </c>
      <c r="Y276" s="6" t="str">
        <f t="shared" si="35"/>
        <v>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v>
      </c>
    </row>
    <row r="277">
      <c r="A277" s="2">
        <v>2.0</v>
      </c>
      <c r="B277" s="2" t="s">
        <v>867</v>
      </c>
      <c r="C277" s="2" t="s">
        <v>1841</v>
      </c>
      <c r="D277" s="2" t="s">
        <v>1841</v>
      </c>
      <c r="E277" s="2" t="s">
        <v>1873</v>
      </c>
      <c r="F277" s="24" t="s">
        <v>1874</v>
      </c>
      <c r="G277" s="2"/>
      <c r="H277" s="6" t="s">
        <v>1874</v>
      </c>
      <c r="V277" s="6" t="str">
        <f t="shared" si="55"/>
        <v>CMGT</v>
      </c>
      <c r="W27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v>
      </c>
      <c r="Y277" s="6" t="str">
        <f t="shared" si="35"/>
        <v>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v>
      </c>
    </row>
    <row r="278">
      <c r="A278" s="2">
        <v>1.0</v>
      </c>
      <c r="B278" s="2" t="s">
        <v>867</v>
      </c>
      <c r="C278" s="2" t="s">
        <v>1841</v>
      </c>
      <c r="D278" s="2" t="s">
        <v>1841</v>
      </c>
      <c r="E278" s="2" t="s">
        <v>975</v>
      </c>
      <c r="F278" s="2" t="s">
        <v>975</v>
      </c>
      <c r="G278" s="2" t="s">
        <v>1029</v>
      </c>
      <c r="H278" s="22" t="str">
        <f>VLOOKUP(E278,'Lista Infomoney'!B:H,2,FALSE)</f>
        <v>CESP6</v>
      </c>
      <c r="I278" s="22" t="str">
        <f>VLOOKUP(E278,'Lista Infomoney'!B:F,3,FALSE)</f>
        <v>CESP5</v>
      </c>
      <c r="J278" s="22" t="str">
        <f>VLOOKUP(E278,'Lista Infomoney'!B:F,4,FALSE)</f>
        <v>CESP3F</v>
      </c>
      <c r="K278" s="22" t="str">
        <f>VLOOKUP(E278,'Lista Infomoney'!B:F,5,FALSE)</f>
        <v>CESP3</v>
      </c>
      <c r="L278" s="2" t="s">
        <v>1875</v>
      </c>
      <c r="M278" s="2" t="s">
        <v>1876</v>
      </c>
      <c r="V278" s="6" t="str">
        <f>H278&amp;" OR "&amp;I278&amp;" OR "&amp;J278&amp;" OR "&amp;K278&amp;" OR "&amp;L278&amp;" OR "&amp;M278</f>
        <v>CESP6 OR CESP5 OR CESP3F OR CESP3 OR CESP6F OR CESP5F</v>
      </c>
      <c r="W27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v>
      </c>
      <c r="Z278" s="6" t="str">
        <f>V278&amp;" OR "&amp;V279</f>
        <v>CESP6 OR CESP5 OR CESP3F OR CESP3 OR CESP6F OR CESP5F OR CEEB5 OR CEEB3 OR CEEB6</v>
      </c>
    </row>
    <row r="279">
      <c r="A279" s="2">
        <v>2.0</v>
      </c>
      <c r="B279" s="2" t="s">
        <v>867</v>
      </c>
      <c r="C279" s="2" t="s">
        <v>1841</v>
      </c>
      <c r="D279" s="2" t="s">
        <v>1841</v>
      </c>
      <c r="E279" s="2" t="s">
        <v>1877</v>
      </c>
      <c r="F279" s="2" t="s">
        <v>1878</v>
      </c>
      <c r="G279" s="2"/>
      <c r="H279" s="2" t="s">
        <v>1879</v>
      </c>
      <c r="I279" s="2" t="s">
        <v>1880</v>
      </c>
      <c r="J279" s="2" t="s">
        <v>1881</v>
      </c>
      <c r="V279" s="6" t="str">
        <f>H279&amp;" OR "&amp;I279&amp;" OR "&amp;J279</f>
        <v>CEEB5 OR CEEB3 OR CEEB6</v>
      </c>
      <c r="W27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v>
      </c>
      <c r="Z279" s="6" t="str">
        <f t="shared" ref="Z279:Z350" si="56">Z278&amp;" OR "&amp;V280</f>
        <v>CESP6 OR CESP5 OR CESP3F OR CESP3 OR CESP6F OR CESP5F OR CEEB5 OR CEEB3 OR CEEB6 OR COCE6F OR COCE5F OR COCE3F OR COCE6 OR COCE3 OR COCE5</v>
      </c>
    </row>
    <row r="280">
      <c r="A280" s="2">
        <v>1.0</v>
      </c>
      <c r="B280" s="2" t="s">
        <v>867</v>
      </c>
      <c r="C280" s="2" t="s">
        <v>1841</v>
      </c>
      <c r="D280" s="2" t="s">
        <v>1841</v>
      </c>
      <c r="E280" s="2" t="s">
        <v>1882</v>
      </c>
      <c r="F280" s="2" t="s">
        <v>1883</v>
      </c>
      <c r="G280" s="2" t="s">
        <v>1865</v>
      </c>
      <c r="H280" s="22" t="str">
        <f>VLOOKUP(E280,'Lista Infomoney'!B:H,2,FALSE)</f>
        <v>COCE6F</v>
      </c>
      <c r="I280" s="22" t="str">
        <f>VLOOKUP(E280,'Lista Infomoney'!B:F,3,FALSE)</f>
        <v>COCE5F</v>
      </c>
      <c r="J280" s="22" t="str">
        <f>VLOOKUP(E280,'Lista Infomoney'!B:F,4,FALSE)</f>
        <v>COCE3F</v>
      </c>
      <c r="K280" s="22" t="str">
        <f>VLOOKUP(E280,'Lista Infomoney'!B:F,5,FALSE)</f>
        <v>COCE6</v>
      </c>
      <c r="L280" s="2" t="s">
        <v>911</v>
      </c>
      <c r="M280" s="2" t="s">
        <v>910</v>
      </c>
      <c r="V280" s="6" t="str">
        <f t="shared" ref="V280:V281" si="57">H280&amp;" OR "&amp;I280&amp;" OR "&amp;J280&amp;" OR "&amp;K280&amp;" OR "&amp;L280&amp;" OR "&amp;M280</f>
        <v>COCE6F OR COCE5F OR COCE3F OR COCE6 OR COCE3 OR COCE5</v>
      </c>
      <c r="W28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v>
      </c>
      <c r="Z280" s="6" t="str">
        <f t="shared" si="56"/>
        <v>CESP6 OR CESP5 OR CESP3F OR CESP3 OR CESP6F OR CESP5F OR CEEB5 OR CEEB3 OR CEEB6 OR COCE6F OR COCE5F OR COCE3F OR COCE6 OR COCE3 OR COCE5 OR CPLE5F OR CPLE6F OR CPLE6 OR CPLE5 OR CPLE3 OR CPLE3F</v>
      </c>
    </row>
    <row r="281">
      <c r="A281" s="2">
        <v>1.0</v>
      </c>
      <c r="B281" s="2" t="s">
        <v>867</v>
      </c>
      <c r="C281" s="2" t="s">
        <v>1841</v>
      </c>
      <c r="D281" s="2" t="s">
        <v>1841</v>
      </c>
      <c r="E281" s="2" t="s">
        <v>1884</v>
      </c>
      <c r="F281" s="2" t="s">
        <v>1885</v>
      </c>
      <c r="G281" s="2" t="s">
        <v>1029</v>
      </c>
      <c r="H281" s="22" t="str">
        <f>VLOOKUP(E281,'Lista Infomoney'!B:H,2,FALSE)</f>
        <v>CPLE5F</v>
      </c>
      <c r="I281" s="22" t="str">
        <f>VLOOKUP(E281,'Lista Infomoney'!B:F,3,FALSE)</f>
        <v>CPLE6F</v>
      </c>
      <c r="J281" s="22" t="str">
        <f>VLOOKUP(E281,'Lista Infomoney'!B:F,4,FALSE)</f>
        <v>CPLE6</v>
      </c>
      <c r="K281" s="22" t="str">
        <f>VLOOKUP(E281,'Lista Infomoney'!B:F,5,FALSE)</f>
        <v>CPLE5</v>
      </c>
      <c r="L281" s="2" t="s">
        <v>940</v>
      </c>
      <c r="M281" s="2" t="s">
        <v>939</v>
      </c>
      <c r="V281" s="6" t="str">
        <f t="shared" si="57"/>
        <v>CPLE5F OR CPLE6F OR CPLE6 OR CPLE5 OR CPLE3 OR CPLE3F</v>
      </c>
      <c r="W28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v>
      </c>
      <c r="Z281" s="6" t="str">
        <f t="shared" si="56"/>
        <v>CESP6 OR CESP5 OR CESP3F OR CESP3 OR CESP6F OR CESP5F OR CEEB5 OR CEEB3 OR CEEB6 OR COCE6F OR COCE5F OR COCE3F OR COCE6 OR COCE3 OR COCE5 OR CPLE5F OR CPLE6F OR CPLE6 OR CPLE5 OR CPLE3 OR CPLE3F OR CSRN3 OR CSRN5 OR CSRN6</v>
      </c>
    </row>
    <row r="282">
      <c r="A282" s="2">
        <v>2.0</v>
      </c>
      <c r="B282" s="2" t="s">
        <v>867</v>
      </c>
      <c r="C282" s="2" t="s">
        <v>1841</v>
      </c>
      <c r="D282" s="2" t="s">
        <v>1841</v>
      </c>
      <c r="E282" s="2" t="s">
        <v>1886</v>
      </c>
      <c r="F282" s="2" t="s">
        <v>1887</v>
      </c>
      <c r="G282" s="2"/>
      <c r="H282" s="2" t="s">
        <v>1888</v>
      </c>
      <c r="I282" s="2" t="s">
        <v>1889</v>
      </c>
      <c r="J282" s="2" t="s">
        <v>1890</v>
      </c>
      <c r="V282" s="6" t="str">
        <f>H282&amp;" OR "&amp;I282&amp;" OR "&amp;J282</f>
        <v>CSRN3 OR CSRN5 OR CSRN6</v>
      </c>
      <c r="W28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v>
      </c>
      <c r="Z282" s="6" t="str">
        <f t="shared" si="56"/>
        <v>CESP6 OR CESP5 OR CESP3F OR CESP3 OR CESP6F OR CESP5F OR CEEB5 OR CEEB3 OR CEEB6 OR COCE6F OR COCE5F OR COCE3F OR COCE6 OR COCE3 OR COCE5 OR CPLE5F OR CPLE6F OR CPLE6 OR CPLE5 OR CPLE3 OR CPLE3F OR CSRN3 OR CSRN5 OR CSRN6 OR CPFE3F OR CPFE3</v>
      </c>
    </row>
    <row r="283">
      <c r="A283" s="2">
        <v>1.0</v>
      </c>
      <c r="B283" s="2" t="s">
        <v>867</v>
      </c>
      <c r="C283" s="2" t="s">
        <v>1841</v>
      </c>
      <c r="D283" s="2" t="s">
        <v>1841</v>
      </c>
      <c r="E283" s="2" t="s">
        <v>1891</v>
      </c>
      <c r="F283" s="2" t="s">
        <v>1892</v>
      </c>
      <c r="G283" s="2" t="s">
        <v>1001</v>
      </c>
      <c r="H283" s="23" t="s">
        <v>942</v>
      </c>
      <c r="I283" s="22" t="str">
        <f>VLOOKUP(E283,'Lista Infomoney'!B:F,3,FALSE)</f>
        <v>CPFE3</v>
      </c>
      <c r="J283" s="6" t="str">
        <f>VLOOKUP(E283,'Lista Infomoney'!B:F,4,FALSE)</f>
        <v/>
      </c>
      <c r="K283" s="6" t="str">
        <f>VLOOKUP(E283,'Lista Infomoney'!B:F,5,FALSE)</f>
        <v/>
      </c>
      <c r="V283" s="6" t="str">
        <f>H283&amp;" OR "&amp;I283</f>
        <v>CPFE3F OR CPFE3</v>
      </c>
      <c r="W28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v>
      </c>
      <c r="Z283" s="6" t="str">
        <f t="shared" si="56"/>
        <v>CESP6 OR CESP5 OR CESP3F OR CESP3 OR CESP6F OR CESP5F OR CEEB5 OR CEEB3 OR CEEB6 OR COCE6F OR COCE5F OR COCE3F OR COCE6 OR COCE3 OR COCE5 OR CPLE5F OR CPLE6F OR CPLE6 OR CPLE5 OR CPLE3 OR CPLE3F OR CSRN3 OR CSRN5 OR CSRN6 OR CPFE3F OR CPFE3 OR CPFG</v>
      </c>
    </row>
    <row r="284">
      <c r="A284" s="2">
        <v>2.0</v>
      </c>
      <c r="B284" s="2" t="s">
        <v>867</v>
      </c>
      <c r="C284" s="2" t="s">
        <v>1841</v>
      </c>
      <c r="D284" s="2" t="s">
        <v>1841</v>
      </c>
      <c r="E284" s="2" t="s">
        <v>1893</v>
      </c>
      <c r="F284" s="24" t="s">
        <v>1894</v>
      </c>
      <c r="G284" s="2"/>
      <c r="H284" s="6" t="s">
        <v>1894</v>
      </c>
      <c r="V284" s="6" t="str">
        <f t="shared" ref="V284:V285" si="58">H284</f>
        <v>CPFG</v>
      </c>
      <c r="W28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v>
      </c>
      <c r="Z284" s="6" t="str">
        <f t="shared" si="56"/>
        <v>CESP6 OR CESP5 OR CESP3F OR CESP3 OR CESP6F OR CESP5F OR CEEB5 OR CEEB3 OR CEEB6 OR COCE6F OR COCE5F OR COCE3F OR COCE6 OR COCE3 OR COCE5 OR CPLE5F OR CPLE6F OR CPLE6 OR CPLE5 OR CPLE3 OR CPLE3F OR CSRN3 OR CSRN5 OR CSRN6 OR CPFE3F OR CPFE3 OR CPFG OR CPFP</v>
      </c>
    </row>
    <row r="285">
      <c r="A285" s="2">
        <v>2.0</v>
      </c>
      <c r="B285" s="2" t="s">
        <v>867</v>
      </c>
      <c r="C285" s="2" t="s">
        <v>1841</v>
      </c>
      <c r="D285" s="2" t="s">
        <v>1841</v>
      </c>
      <c r="E285" s="2" t="s">
        <v>1895</v>
      </c>
      <c r="F285" s="24" t="s">
        <v>1896</v>
      </c>
      <c r="G285" s="2"/>
      <c r="H285" s="6" t="s">
        <v>1896</v>
      </c>
      <c r="V285" s="6" t="str">
        <f t="shared" si="58"/>
        <v>CPFP</v>
      </c>
      <c r="W28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v>
      </c>
      <c r="Z285" s="6" t="str">
        <f t="shared" si="56"/>
        <v>CESP6 OR CESP5 OR CESP3F OR CESP3 OR CESP6F OR CESP5F OR CEEB5 OR CEEB3 OR CEEB6 OR COCE6F OR COCE5F OR COCE3F OR COCE6 OR COCE3 OR COCE5 OR CPLE5F OR CPLE6F OR CPLE6 OR CPLE5 OR CPLE3 OR CPLE3F OR CSRN3 OR CSRN5 OR CSRN6 OR CPFE3F OR CPFE3 OR CPFG OR CPFP OR CPRE3F OR CPRE3</v>
      </c>
    </row>
    <row r="286">
      <c r="A286" s="2">
        <v>1.0</v>
      </c>
      <c r="B286" s="2" t="s">
        <v>867</v>
      </c>
      <c r="C286" s="2" t="s">
        <v>1841</v>
      </c>
      <c r="D286" s="2" t="s">
        <v>1841</v>
      </c>
      <c r="E286" s="2" t="s">
        <v>1897</v>
      </c>
      <c r="F286" s="2" t="s">
        <v>1898</v>
      </c>
      <c r="G286" s="2"/>
      <c r="H286" s="22" t="str">
        <f>VLOOKUP(E286,'Lista Infomoney'!B:H,2,FALSE)</f>
        <v>CPRE3F</v>
      </c>
      <c r="I286" s="22" t="str">
        <f>VLOOKUP(E286,'Lista Infomoney'!B:F,3,FALSE)</f>
        <v>CPRE3</v>
      </c>
      <c r="J286" s="6" t="str">
        <f>VLOOKUP(E286,'Lista Infomoney'!B:F,4,FALSE)</f>
        <v/>
      </c>
      <c r="K286" s="6" t="str">
        <f>VLOOKUP(E286,'Lista Infomoney'!B:F,5,FALSE)</f>
        <v/>
      </c>
      <c r="V286" s="6" t="str">
        <f>H286&amp;" OR "&amp;I286</f>
        <v>CPRE3F OR CPRE3</v>
      </c>
      <c r="W28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v>
      </c>
      <c r="Z286" s="6" t="str">
        <f t="shared" si="56"/>
        <v>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v>
      </c>
    </row>
    <row r="287">
      <c r="A287" s="2">
        <v>2.0</v>
      </c>
      <c r="B287" s="2" t="s">
        <v>867</v>
      </c>
      <c r="C287" s="2" t="s">
        <v>1841</v>
      </c>
      <c r="D287" s="2" t="s">
        <v>1841</v>
      </c>
      <c r="E287" s="2" t="s">
        <v>1899</v>
      </c>
      <c r="F287" s="24" t="s">
        <v>1900</v>
      </c>
      <c r="G287" s="2"/>
      <c r="H287" s="6" t="s">
        <v>1900</v>
      </c>
      <c r="V287" s="6" t="str">
        <f>H287</f>
        <v>EBEN</v>
      </c>
      <c r="W28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v>
      </c>
      <c r="Z287" s="6" t="str">
        <f t="shared" si="56"/>
        <v>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v>
      </c>
    </row>
    <row r="288">
      <c r="A288" s="2">
        <v>2.0</v>
      </c>
      <c r="B288" s="2" t="s">
        <v>867</v>
      </c>
      <c r="C288" s="2" t="s">
        <v>1841</v>
      </c>
      <c r="D288" s="2" t="s">
        <v>1841</v>
      </c>
      <c r="E288" s="2" t="s">
        <v>1901</v>
      </c>
      <c r="F288" s="2" t="s">
        <v>1902</v>
      </c>
      <c r="G288" s="2"/>
      <c r="H288" s="2" t="s">
        <v>1903</v>
      </c>
      <c r="I288" s="2" t="s">
        <v>1904</v>
      </c>
      <c r="V288" s="6" t="str">
        <f>H288&amp;" OR "&amp;I288</f>
        <v>EKTR3 OR EKTR4</v>
      </c>
      <c r="W28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v>
      </c>
      <c r="Z288" s="6" t="str">
        <f t="shared" si="56"/>
        <v>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v>
      </c>
    </row>
    <row r="289">
      <c r="A289" s="2">
        <v>2.0</v>
      </c>
      <c r="B289" s="2" t="s">
        <v>867</v>
      </c>
      <c r="C289" s="2" t="s">
        <v>1841</v>
      </c>
      <c r="D289" s="2" t="s">
        <v>1841</v>
      </c>
      <c r="E289" s="2" t="s">
        <v>1905</v>
      </c>
      <c r="F289" s="2" t="s">
        <v>1906</v>
      </c>
      <c r="G289" s="2" t="s">
        <v>1029</v>
      </c>
      <c r="H289" s="2" t="s">
        <v>1907</v>
      </c>
      <c r="I289" s="2" t="s">
        <v>1908</v>
      </c>
      <c r="J289" s="2" t="s">
        <v>1909</v>
      </c>
      <c r="K289" s="2" t="s">
        <v>1910</v>
      </c>
      <c r="L289" s="2" t="s">
        <v>1911</v>
      </c>
      <c r="M289" s="2" t="s">
        <v>1912</v>
      </c>
      <c r="V289" s="6" t="str">
        <f>H289&amp;" OR "&amp;I289&amp;" OR "&amp;J289&amp;" OR "&amp;K289&amp;" OR "&amp;L289&amp;" OR "&amp;M289</f>
        <v>ELET3 OR ELET5 OR ELET6 OR ELET3F OR ELET5F OR ELET6F</v>
      </c>
      <c r="W28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v>
      </c>
      <c r="Z289" s="6" t="str">
        <f t="shared" si="56"/>
        <v>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v>
      </c>
    </row>
    <row r="290">
      <c r="A290" s="2">
        <v>2.0</v>
      </c>
      <c r="B290" s="2" t="s">
        <v>867</v>
      </c>
      <c r="C290" s="2" t="s">
        <v>1841</v>
      </c>
      <c r="D290" s="2" t="s">
        <v>1841</v>
      </c>
      <c r="E290" s="2" t="s">
        <v>1913</v>
      </c>
      <c r="F290" s="2" t="s">
        <v>1914</v>
      </c>
      <c r="G290" s="2"/>
      <c r="H290" s="2" t="s">
        <v>1915</v>
      </c>
      <c r="V290" s="6" t="str">
        <f t="shared" ref="V290:V291" si="59">H290</f>
        <v>LIPR3</v>
      </c>
      <c r="W29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v>
      </c>
      <c r="Z290" s="6" t="str">
        <f t="shared" si="56"/>
        <v>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v>
      </c>
    </row>
    <row r="291">
      <c r="A291" s="2">
        <v>2.0</v>
      </c>
      <c r="B291" s="2" t="s">
        <v>867</v>
      </c>
      <c r="C291" s="2" t="s">
        <v>1841</v>
      </c>
      <c r="D291" s="2" t="s">
        <v>1841</v>
      </c>
      <c r="E291" s="2" t="s">
        <v>1916</v>
      </c>
      <c r="F291" s="2" t="s">
        <v>1916</v>
      </c>
      <c r="G291" s="2"/>
      <c r="H291" s="2" t="s">
        <v>1917</v>
      </c>
      <c r="V291" s="6" t="str">
        <f t="shared" si="59"/>
        <v>EMAE4</v>
      </c>
      <c r="W29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v>
      </c>
      <c r="Z291" s="6" t="str">
        <f t="shared" si="56"/>
        <v>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v>
      </c>
    </row>
    <row r="292">
      <c r="A292" s="2">
        <v>2.0</v>
      </c>
      <c r="B292" s="2" t="s">
        <v>867</v>
      </c>
      <c r="C292" s="2" t="s">
        <v>1841</v>
      </c>
      <c r="D292" s="2" t="s">
        <v>1841</v>
      </c>
      <c r="E292" s="2" t="s">
        <v>1918</v>
      </c>
      <c r="F292" s="2" t="s">
        <v>1919</v>
      </c>
      <c r="G292" s="2" t="s">
        <v>1001</v>
      </c>
      <c r="H292" s="2" t="s">
        <v>1920</v>
      </c>
      <c r="I292" s="2" t="s">
        <v>1921</v>
      </c>
      <c r="V292" s="6" t="str">
        <f>H292&amp;" OR "&amp;I292</f>
        <v>ENBR3 OR ENBR3F</v>
      </c>
      <c r="W29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v>
      </c>
      <c r="Z292" s="6" t="str">
        <f t="shared" si="56"/>
        <v>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v>
      </c>
    </row>
    <row r="293">
      <c r="A293" s="2">
        <v>2.0</v>
      </c>
      <c r="B293" s="2" t="s">
        <v>867</v>
      </c>
      <c r="C293" s="2" t="s">
        <v>1841</v>
      </c>
      <c r="D293" s="2" t="s">
        <v>1841</v>
      </c>
      <c r="E293" s="2" t="s">
        <v>1922</v>
      </c>
      <c r="F293" s="2" t="s">
        <v>1923</v>
      </c>
      <c r="G293" s="2" t="s">
        <v>1013</v>
      </c>
      <c r="H293" s="2" t="s">
        <v>1924</v>
      </c>
      <c r="I293" s="2" t="s">
        <v>1925</v>
      </c>
      <c r="J293" s="2" t="s">
        <v>1926</v>
      </c>
      <c r="V293" s="6" t="str">
        <f>H293&amp;" OR "&amp;I293&amp;" OR "&amp;J293</f>
        <v>ENGI3 OR ENGI4 OR ENGI11</v>
      </c>
      <c r="W29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v>
      </c>
      <c r="Z293" s="6" t="str">
        <f t="shared" si="56"/>
        <v>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v>
      </c>
    </row>
    <row r="294">
      <c r="A294" s="2">
        <v>2.0</v>
      </c>
      <c r="B294" s="2" t="s">
        <v>867</v>
      </c>
      <c r="C294" s="2" t="s">
        <v>1841</v>
      </c>
      <c r="D294" s="2" t="s">
        <v>1841</v>
      </c>
      <c r="E294" s="2" t="s">
        <v>1927</v>
      </c>
      <c r="F294" s="2" t="s">
        <v>1928</v>
      </c>
      <c r="G294" s="2" t="s">
        <v>1929</v>
      </c>
      <c r="H294" s="2" t="s">
        <v>1930</v>
      </c>
      <c r="V294" s="6" t="str">
        <f t="shared" ref="V294:V295" si="60">H294</f>
        <v>ENMT4</v>
      </c>
      <c r="W29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v>
      </c>
      <c r="Z294" s="6" t="str">
        <f t="shared" si="56"/>
        <v>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v>
      </c>
    </row>
    <row r="295">
      <c r="A295" s="2">
        <v>2.0</v>
      </c>
      <c r="B295" s="2" t="s">
        <v>867</v>
      </c>
      <c r="C295" s="2" t="s">
        <v>1841</v>
      </c>
      <c r="D295" s="2" t="s">
        <v>1841</v>
      </c>
      <c r="E295" s="2" t="s">
        <v>1931</v>
      </c>
      <c r="F295" s="24" t="s">
        <v>1932</v>
      </c>
      <c r="G295" s="2"/>
      <c r="H295" s="6" t="s">
        <v>1932</v>
      </c>
      <c r="V295" s="6" t="str">
        <f t="shared" si="60"/>
        <v>ENER</v>
      </c>
      <c r="W29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v>
      </c>
      <c r="Z295" s="6" t="str">
        <f t="shared" si="56"/>
        <v>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v>
      </c>
    </row>
    <row r="296">
      <c r="A296" s="2">
        <v>1.0</v>
      </c>
      <c r="B296" s="2" t="s">
        <v>867</v>
      </c>
      <c r="C296" s="2" t="s">
        <v>1841</v>
      </c>
      <c r="D296" s="2" t="s">
        <v>1841</v>
      </c>
      <c r="E296" s="2" t="s">
        <v>1933</v>
      </c>
      <c r="F296" s="2" t="s">
        <v>1934</v>
      </c>
      <c r="G296" s="2" t="s">
        <v>1001</v>
      </c>
      <c r="H296" s="22" t="str">
        <f>VLOOKUP(E296,'Lista Infomoney'!B:H,2,FALSE)</f>
        <v>ENEV3F</v>
      </c>
      <c r="I296" s="22" t="str">
        <f>VLOOKUP(E296,'Lista Infomoney'!B:F,3,FALSE)</f>
        <v>ENEV3</v>
      </c>
      <c r="J296" s="6" t="str">
        <f>VLOOKUP(E296,'Lista Infomoney'!B:F,4,FALSE)</f>
        <v/>
      </c>
      <c r="K296" s="6" t="str">
        <f>VLOOKUP(E296,'Lista Infomoney'!B:F,5,FALSE)</f>
        <v/>
      </c>
      <c r="V296" s="6" t="str">
        <f t="shared" ref="V296:V297" si="61">H296&amp;" OR "&amp;I296</f>
        <v>ENEV3F OR ENEV3</v>
      </c>
      <c r="W29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v>
      </c>
      <c r="Z296" s="6" t="str">
        <f t="shared" si="56"/>
        <v>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v>
      </c>
    </row>
    <row r="297">
      <c r="A297" s="2">
        <v>1.0</v>
      </c>
      <c r="B297" s="2" t="s">
        <v>867</v>
      </c>
      <c r="C297" s="2" t="s">
        <v>1841</v>
      </c>
      <c r="D297" s="2" t="s">
        <v>1841</v>
      </c>
      <c r="E297" s="2" t="s">
        <v>77</v>
      </c>
      <c r="F297" s="2" t="s">
        <v>1935</v>
      </c>
      <c r="G297" s="2" t="s">
        <v>1001</v>
      </c>
      <c r="H297" s="22" t="str">
        <f>VLOOKUP(E297,'Lista Infomoney'!B:H,2,FALSE)</f>
        <v>EGIE3F</v>
      </c>
      <c r="I297" s="2" t="s">
        <v>78</v>
      </c>
      <c r="J297" s="6" t="str">
        <f>VLOOKUP(E297,'Lista Infomoney'!B:F,4,FALSE)</f>
        <v/>
      </c>
      <c r="K297" s="6" t="str">
        <f>VLOOKUP(E297,'Lista Infomoney'!B:F,5,FALSE)</f>
        <v/>
      </c>
      <c r="V297" s="6" t="str">
        <f t="shared" si="61"/>
        <v>EGIE3F OR EGIE3F</v>
      </c>
      <c r="W29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v>
      </c>
      <c r="Z297" s="6" t="str">
        <f t="shared" si="56"/>
        <v>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v>
      </c>
    </row>
    <row r="298">
      <c r="A298" s="2">
        <v>2.0</v>
      </c>
      <c r="B298" s="2" t="s">
        <v>867</v>
      </c>
      <c r="C298" s="2" t="s">
        <v>1841</v>
      </c>
      <c r="D298" s="2" t="s">
        <v>1841</v>
      </c>
      <c r="E298" s="2" t="s">
        <v>1936</v>
      </c>
      <c r="F298" s="2" t="s">
        <v>1937</v>
      </c>
      <c r="G298" s="2" t="s">
        <v>1938</v>
      </c>
      <c r="H298" s="2" t="s">
        <v>1939</v>
      </c>
      <c r="I298" s="2" t="s">
        <v>1940</v>
      </c>
      <c r="J298" s="2" t="s">
        <v>1941</v>
      </c>
      <c r="V298" s="6" t="str">
        <f t="shared" ref="V298:V299" si="62">H298&amp;" OR "&amp;I298&amp;" OR "&amp;J298</f>
        <v>EQPA5 OR EQPA6 OR EQPA7</v>
      </c>
      <c r="W29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v>
      </c>
      <c r="Z298" s="6" t="str">
        <f t="shared" si="56"/>
        <v>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v>
      </c>
    </row>
    <row r="299">
      <c r="A299" s="2">
        <v>2.0</v>
      </c>
      <c r="B299" s="2" t="s">
        <v>867</v>
      </c>
      <c r="C299" s="2" t="s">
        <v>1841</v>
      </c>
      <c r="D299" s="2" t="s">
        <v>1841</v>
      </c>
      <c r="E299" s="2" t="s">
        <v>1942</v>
      </c>
      <c r="F299" s="2" t="s">
        <v>1943</v>
      </c>
      <c r="G299" s="2" t="s">
        <v>1032</v>
      </c>
      <c r="H299" s="2" t="s">
        <v>1944</v>
      </c>
      <c r="I299" s="2" t="s">
        <v>1945</v>
      </c>
      <c r="J299" s="2" t="s">
        <v>1946</v>
      </c>
      <c r="V299" s="6" t="str">
        <f t="shared" si="62"/>
        <v>EQMA3B OR EQMA5B OR EQMA6B</v>
      </c>
      <c r="W29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v>
      </c>
      <c r="Z299" s="6" t="str">
        <f t="shared" si="56"/>
        <v>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v>
      </c>
    </row>
    <row r="300">
      <c r="A300" s="2">
        <v>2.0</v>
      </c>
      <c r="B300" s="2" t="s">
        <v>867</v>
      </c>
      <c r="C300" s="2" t="s">
        <v>1841</v>
      </c>
      <c r="D300" s="2" t="s">
        <v>1841</v>
      </c>
      <c r="E300" s="2" t="s">
        <v>1947</v>
      </c>
      <c r="F300" s="2" t="s">
        <v>1948</v>
      </c>
      <c r="G300" s="2" t="s">
        <v>1001</v>
      </c>
      <c r="H300" s="2" t="s">
        <v>1949</v>
      </c>
      <c r="I300" s="2" t="s">
        <v>1950</v>
      </c>
      <c r="V300" s="6" t="str">
        <f>H300&amp;" OR "&amp;I300</f>
        <v>EQTL3 OR EQTL3F</v>
      </c>
      <c r="W30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v>
      </c>
      <c r="Z300" s="6" t="str">
        <f t="shared" si="56"/>
        <v>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v>
      </c>
    </row>
    <row r="301">
      <c r="A301" s="2">
        <v>2.0</v>
      </c>
      <c r="B301" s="2" t="s">
        <v>867</v>
      </c>
      <c r="C301" s="2" t="s">
        <v>1841</v>
      </c>
      <c r="D301" s="2" t="s">
        <v>1841</v>
      </c>
      <c r="E301" s="2" t="s">
        <v>1951</v>
      </c>
      <c r="F301" s="24" t="s">
        <v>1952</v>
      </c>
      <c r="G301" s="2"/>
      <c r="H301" s="6" t="s">
        <v>1952</v>
      </c>
      <c r="V301" s="6" t="str">
        <f t="shared" ref="V301:V302" si="63">H301</f>
        <v>ESCE</v>
      </c>
      <c r="W30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v>
      </c>
      <c r="Z301" s="6" t="str">
        <f t="shared" si="56"/>
        <v>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v>
      </c>
    </row>
    <row r="302">
      <c r="A302" s="2">
        <v>2.0</v>
      </c>
      <c r="B302" s="2" t="s">
        <v>867</v>
      </c>
      <c r="C302" s="2" t="s">
        <v>1841</v>
      </c>
      <c r="D302" s="2" t="s">
        <v>1841</v>
      </c>
      <c r="E302" s="2" t="s">
        <v>1953</v>
      </c>
      <c r="F302" s="24" t="s">
        <v>1954</v>
      </c>
      <c r="G302" s="2"/>
      <c r="H302" s="6" t="s">
        <v>1954</v>
      </c>
      <c r="V302" s="6" t="str">
        <f t="shared" si="63"/>
        <v>FGEN</v>
      </c>
      <c r="W30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v>
      </c>
      <c r="Z302" s="6" t="str">
        <f t="shared" si="56"/>
        <v>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v>
      </c>
    </row>
    <row r="303">
      <c r="A303" s="2">
        <v>1.0</v>
      </c>
      <c r="B303" s="2" t="s">
        <v>867</v>
      </c>
      <c r="C303" s="2" t="s">
        <v>1841</v>
      </c>
      <c r="D303" s="2" t="s">
        <v>1841</v>
      </c>
      <c r="E303" s="2" t="s">
        <v>90</v>
      </c>
      <c r="F303" s="2" t="s">
        <v>1955</v>
      </c>
      <c r="G303" s="2" t="s">
        <v>1956</v>
      </c>
      <c r="H303" s="22" t="str">
        <f>VLOOKUP(E303,'Lista Infomoney'!B:H,2,FALSE)</f>
        <v>GEPA4F</v>
      </c>
      <c r="I303" s="22" t="str">
        <f>VLOOKUP(E303,'Lista Infomoney'!B:F,3,FALSE)</f>
        <v>GEPA3F</v>
      </c>
      <c r="J303" s="2" t="s">
        <v>973</v>
      </c>
      <c r="K303" s="2" t="s">
        <v>974</v>
      </c>
      <c r="V303" s="6" t="str">
        <f>H303&amp;" OR "&amp;I303&amp;" OR "&amp;J303&amp;" OR "&amp;K303</f>
        <v>GEPA4F OR GEPA3F OR GEPA4 OR GEPA3</v>
      </c>
      <c r="W30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v>
      </c>
      <c r="Z303" s="6" t="str">
        <f t="shared" si="56"/>
        <v>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v>
      </c>
    </row>
    <row r="304">
      <c r="A304" s="2">
        <v>2.0</v>
      </c>
      <c r="B304" s="2" t="s">
        <v>867</v>
      </c>
      <c r="C304" s="2" t="s">
        <v>1841</v>
      </c>
      <c r="D304" s="2" t="s">
        <v>1841</v>
      </c>
      <c r="E304" s="2" t="s">
        <v>1957</v>
      </c>
      <c r="F304" s="24" t="s">
        <v>1958</v>
      </c>
      <c r="G304" s="2"/>
      <c r="H304" s="6" t="s">
        <v>1958</v>
      </c>
      <c r="V304" s="6" t="str">
        <f>H304</f>
        <v>ITPB</v>
      </c>
      <c r="W30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v>
      </c>
      <c r="Z304" s="6" t="str">
        <f t="shared" si="56"/>
        <v>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v>
      </c>
    </row>
    <row r="305">
      <c r="A305" s="2">
        <v>2.0</v>
      </c>
      <c r="B305" s="2" t="s">
        <v>867</v>
      </c>
      <c r="C305" s="2" t="s">
        <v>1841</v>
      </c>
      <c r="D305" s="2" t="s">
        <v>1841</v>
      </c>
      <c r="E305" s="2" t="s">
        <v>1959</v>
      </c>
      <c r="F305" s="2" t="s">
        <v>1960</v>
      </c>
      <c r="G305" s="2" t="s">
        <v>1001</v>
      </c>
      <c r="H305" s="2" t="s">
        <v>1961</v>
      </c>
      <c r="I305" s="2" t="s">
        <v>1962</v>
      </c>
      <c r="V305" s="6" t="str">
        <f t="shared" ref="V305:V307" si="64">H305&amp;" OR "&amp;I305</f>
        <v>LIGT3 OR LIGT3F</v>
      </c>
      <c r="W30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v>
      </c>
      <c r="Z305" s="6" t="str">
        <f t="shared" si="56"/>
        <v>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v>
      </c>
    </row>
    <row r="306">
      <c r="A306" s="2">
        <v>1.0</v>
      </c>
      <c r="B306" s="2" t="s">
        <v>867</v>
      </c>
      <c r="C306" s="2" t="s">
        <v>1841</v>
      </c>
      <c r="D306" s="2" t="s">
        <v>1841</v>
      </c>
      <c r="E306" s="2" t="s">
        <v>1963</v>
      </c>
      <c r="F306" s="2" t="s">
        <v>1964</v>
      </c>
      <c r="G306" s="2" t="s">
        <v>1001</v>
      </c>
      <c r="H306" s="22" t="str">
        <f>VLOOKUP(E306,'Lista Infomoney'!B:H,2,FALSE)</f>
        <v>NEOE3</v>
      </c>
      <c r="I306" s="2" t="s">
        <v>1965</v>
      </c>
      <c r="J306" s="6" t="str">
        <f>VLOOKUP(E306,'Lista Infomoney'!B:F,4,FALSE)</f>
        <v/>
      </c>
      <c r="K306" s="6" t="str">
        <f>VLOOKUP(E306,'Lista Infomoney'!B:F,5,FALSE)</f>
        <v/>
      </c>
      <c r="V306" s="6" t="str">
        <f t="shared" si="64"/>
        <v>NEOE3 OR NEOE3BF</v>
      </c>
      <c r="W30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v>
      </c>
      <c r="Z306" s="6" t="str">
        <f t="shared" si="56"/>
        <v>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v>
      </c>
    </row>
    <row r="307">
      <c r="A307" s="2">
        <v>2.0</v>
      </c>
      <c r="B307" s="2" t="s">
        <v>867</v>
      </c>
      <c r="C307" s="2" t="s">
        <v>1841</v>
      </c>
      <c r="D307" s="2" t="s">
        <v>1841</v>
      </c>
      <c r="E307" s="2" t="s">
        <v>1966</v>
      </c>
      <c r="F307" s="2" t="s">
        <v>1967</v>
      </c>
      <c r="G307" s="2" t="s">
        <v>1001</v>
      </c>
      <c r="H307" s="2" t="s">
        <v>1968</v>
      </c>
      <c r="I307" s="2" t="s">
        <v>1969</v>
      </c>
      <c r="V307" s="6" t="str">
        <f t="shared" si="64"/>
        <v>OMGE3 OR OMGE3F</v>
      </c>
      <c r="W30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v>
      </c>
      <c r="Z307" s="6" t="str">
        <f t="shared" si="56"/>
        <v>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v>
      </c>
    </row>
    <row r="308">
      <c r="A308" s="2">
        <v>2.0</v>
      </c>
      <c r="B308" s="2" t="s">
        <v>867</v>
      </c>
      <c r="C308" s="2" t="s">
        <v>1841</v>
      </c>
      <c r="D308" s="2" t="s">
        <v>1841</v>
      </c>
      <c r="E308" s="2" t="s">
        <v>1970</v>
      </c>
      <c r="F308" s="24" t="s">
        <v>1971</v>
      </c>
      <c r="G308" s="2"/>
      <c r="H308" s="6" t="s">
        <v>1971</v>
      </c>
      <c r="V308" s="6" t="str">
        <f>H308</f>
        <v>PALF</v>
      </c>
      <c r="W30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v>
      </c>
      <c r="Z308" s="6" t="str">
        <f t="shared" si="56"/>
        <v>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v>
      </c>
    </row>
    <row r="309">
      <c r="A309" s="2">
        <v>2.0</v>
      </c>
      <c r="B309" s="2" t="s">
        <v>867</v>
      </c>
      <c r="C309" s="2" t="s">
        <v>1841</v>
      </c>
      <c r="D309" s="2" t="s">
        <v>1841</v>
      </c>
      <c r="E309" s="2" t="s">
        <v>1972</v>
      </c>
      <c r="F309" s="2" t="s">
        <v>1973</v>
      </c>
      <c r="G309" s="2" t="s">
        <v>1032</v>
      </c>
      <c r="H309" s="2" t="s">
        <v>1974</v>
      </c>
      <c r="I309" s="2" t="s">
        <v>1975</v>
      </c>
      <c r="V309" s="6" t="str">
        <f t="shared" ref="V309:V310" si="65">H309&amp;" OR "&amp;I309</f>
        <v>PRMN3B OR PRMN3BF</v>
      </c>
      <c r="W30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v>
      </c>
      <c r="Z309" s="6" t="str">
        <f t="shared" si="56"/>
        <v>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v>
      </c>
    </row>
    <row r="310">
      <c r="A310" s="2">
        <v>2.0</v>
      </c>
      <c r="B310" s="2" t="s">
        <v>867</v>
      </c>
      <c r="C310" s="2" t="s">
        <v>1841</v>
      </c>
      <c r="D310" s="2" t="s">
        <v>1841</v>
      </c>
      <c r="E310" s="2" t="s">
        <v>1976</v>
      </c>
      <c r="F310" s="2" t="s">
        <v>1977</v>
      </c>
      <c r="G310" s="2"/>
      <c r="H310" s="2" t="s">
        <v>1978</v>
      </c>
      <c r="I310" s="2" t="s">
        <v>1979</v>
      </c>
      <c r="V310" s="6" t="str">
        <f t="shared" si="65"/>
        <v>REDE3 OR REDE3F</v>
      </c>
      <c r="W31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v>
      </c>
      <c r="Z310" s="6" t="str">
        <f t="shared" si="56"/>
        <v>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v>
      </c>
    </row>
    <row r="311">
      <c r="A311" s="2">
        <v>1.0</v>
      </c>
      <c r="B311" s="2" t="s">
        <v>867</v>
      </c>
      <c r="C311" s="2" t="s">
        <v>1841</v>
      </c>
      <c r="D311" s="2" t="s">
        <v>1841</v>
      </c>
      <c r="E311" s="2" t="s">
        <v>1980</v>
      </c>
      <c r="F311" s="2" t="s">
        <v>1981</v>
      </c>
      <c r="G311" s="2" t="s">
        <v>1013</v>
      </c>
      <c r="H311" s="22" t="str">
        <f>VLOOKUP(E311,'Lista Infomoney'!B:H,2,FALSE)</f>
        <v>RNEW11F</v>
      </c>
      <c r="I311" s="2" t="s">
        <v>972</v>
      </c>
      <c r="J311" s="22" t="str">
        <f>VLOOKUP(E311,'Lista Infomoney'!B:F,4,FALSE)</f>
        <v>RNEW4F</v>
      </c>
      <c r="K311" s="22" t="str">
        <f>VLOOKUP(E311,'Lista Infomoney'!B:F,5,FALSE)</f>
        <v>RNEW4</v>
      </c>
      <c r="L311" s="2" t="s">
        <v>904</v>
      </c>
      <c r="M311" s="2" t="s">
        <v>1982</v>
      </c>
      <c r="V311" s="6" t="str">
        <f>H311&amp;" OR "&amp;I311&amp;" OR "&amp;J311&amp;" OR "&amp;K311&amp;" OR "&amp;L311&amp;" OR "&amp;M311</f>
        <v>RNEW11F OR RNEW11 OR RNEW4F OR RNEW4 OR RNEW3 OR RNEW3F</v>
      </c>
      <c r="W31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v>
      </c>
      <c r="Z311" s="6" t="str">
        <f t="shared" si="56"/>
        <v>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v>
      </c>
    </row>
    <row r="312">
      <c r="A312" s="2">
        <v>2.0</v>
      </c>
      <c r="B312" s="2" t="s">
        <v>867</v>
      </c>
      <c r="C312" s="2" t="s">
        <v>1841</v>
      </c>
      <c r="D312" s="2" t="s">
        <v>1841</v>
      </c>
      <c r="E312" s="2" t="s">
        <v>1983</v>
      </c>
      <c r="F312" s="2" t="s">
        <v>1984</v>
      </c>
      <c r="G312" s="2"/>
      <c r="H312" s="2" t="s">
        <v>1985</v>
      </c>
      <c r="I312" s="2" t="s">
        <v>1986</v>
      </c>
      <c r="V312" s="6" t="str">
        <f>H312&amp;" OR "&amp;I312</f>
        <v>STKF3 OR STKF3F</v>
      </c>
      <c r="W31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v>
      </c>
      <c r="Z312" s="6" t="str">
        <f t="shared" si="56"/>
        <v>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v>
      </c>
    </row>
    <row r="313">
      <c r="A313" s="2">
        <v>2.0</v>
      </c>
      <c r="B313" s="2" t="s">
        <v>867</v>
      </c>
      <c r="C313" s="2" t="s">
        <v>1841</v>
      </c>
      <c r="D313" s="2" t="s">
        <v>1841</v>
      </c>
      <c r="E313" s="2" t="s">
        <v>1987</v>
      </c>
      <c r="F313" s="24" t="s">
        <v>1988</v>
      </c>
      <c r="G313" s="2"/>
      <c r="H313" s="6" t="s">
        <v>1988</v>
      </c>
      <c r="V313" s="6" t="str">
        <f>H313</f>
        <v>STEN</v>
      </c>
      <c r="W31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v>
      </c>
      <c r="Z313" s="6" t="str">
        <f t="shared" si="56"/>
        <v>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v>
      </c>
    </row>
    <row r="314">
      <c r="A314" s="2">
        <v>1.0</v>
      </c>
      <c r="B314" s="2" t="s">
        <v>867</v>
      </c>
      <c r="C314" s="2" t="s">
        <v>1841</v>
      </c>
      <c r="D314" s="2" t="s">
        <v>1841</v>
      </c>
      <c r="E314" s="2" t="s">
        <v>1989</v>
      </c>
      <c r="F314" s="2" t="s">
        <v>1990</v>
      </c>
      <c r="G314" s="2" t="s">
        <v>1013</v>
      </c>
      <c r="H314" s="22" t="str">
        <f>VLOOKUP(E314,'Lista Infomoney'!B:H,2,FALSE)</f>
        <v>TAEE4</v>
      </c>
      <c r="I314" s="22" t="str">
        <f>VLOOKUP(E314,'Lista Infomoney'!B:F,3,FALSE)</f>
        <v>TAEE3</v>
      </c>
      <c r="J314" s="22" t="str">
        <f>VLOOKUP(E314,'Lista Infomoney'!B:F,4,FALSE)</f>
        <v>TAEE11</v>
      </c>
      <c r="K314" s="2" t="s">
        <v>1991</v>
      </c>
      <c r="L314" s="2" t="s">
        <v>1992</v>
      </c>
      <c r="M314" s="2" t="s">
        <v>1993</v>
      </c>
      <c r="V314" s="6" t="str">
        <f>H314&amp;" OR "&amp;I314&amp;" OR "&amp;J314&amp;" OR "&amp;K314&amp;" OR "&amp;L314&amp;" OR "&amp;M314</f>
        <v>TAEE4 OR TAEE3 OR TAEE11 OR TAEE11F OR TAEE3F OR TAEE4F</v>
      </c>
      <c r="W31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v>
      </c>
      <c r="Z314" s="6" t="str">
        <f t="shared" si="56"/>
        <v>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v>
      </c>
    </row>
    <row r="315">
      <c r="A315" s="2">
        <v>2.0</v>
      </c>
      <c r="B315" s="2" t="s">
        <v>867</v>
      </c>
      <c r="C315" s="2" t="s">
        <v>1841</v>
      </c>
      <c r="D315" s="2" t="s">
        <v>1841</v>
      </c>
      <c r="E315" s="2" t="s">
        <v>1994</v>
      </c>
      <c r="F315" s="24" t="s">
        <v>1995</v>
      </c>
      <c r="G315" s="2"/>
      <c r="H315" s="6" t="s">
        <v>1995</v>
      </c>
      <c r="V315" s="6" t="str">
        <f t="shared" ref="V315:V316" si="66">H315</f>
        <v>TMPE</v>
      </c>
      <c r="W31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v>
      </c>
      <c r="Z315" s="6" t="str">
        <f t="shared" si="56"/>
        <v>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v>
      </c>
    </row>
    <row r="316">
      <c r="A316" s="2">
        <v>2.0</v>
      </c>
      <c r="B316" s="2" t="s">
        <v>867</v>
      </c>
      <c r="C316" s="2" t="s">
        <v>1841</v>
      </c>
      <c r="D316" s="2" t="s">
        <v>1841</v>
      </c>
      <c r="E316" s="2" t="s">
        <v>1996</v>
      </c>
      <c r="F316" s="24" t="s">
        <v>1997</v>
      </c>
      <c r="G316" s="2"/>
      <c r="H316" s="6" t="s">
        <v>1997</v>
      </c>
      <c r="V316" s="6" t="str">
        <f t="shared" si="66"/>
        <v>TEPE</v>
      </c>
      <c r="W31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v>
      </c>
      <c r="Z316" s="6" t="str">
        <f t="shared" si="56"/>
        <v>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v>
      </c>
    </row>
    <row r="317">
      <c r="A317" s="2">
        <v>1.0</v>
      </c>
      <c r="B317" s="2" t="s">
        <v>867</v>
      </c>
      <c r="C317" s="2" t="s">
        <v>1841</v>
      </c>
      <c r="D317" s="2" t="s">
        <v>1841</v>
      </c>
      <c r="E317" s="2" t="s">
        <v>958</v>
      </c>
      <c r="F317" s="2" t="s">
        <v>1998</v>
      </c>
      <c r="G317" s="2" t="s">
        <v>1029</v>
      </c>
      <c r="H317" s="22" t="str">
        <f>VLOOKUP(E317,'Lista Infomoney'!B:H,2,FALSE)</f>
        <v>TRPL4F</v>
      </c>
      <c r="I317" s="22" t="str">
        <f>VLOOKUP(E317,'Lista Infomoney'!B:F,3,FALSE)</f>
        <v>TRPL4</v>
      </c>
      <c r="J317" s="22" t="str">
        <f>VLOOKUP(E317,'Lista Infomoney'!B:F,4,FALSE)</f>
        <v>TRPL3F</v>
      </c>
      <c r="K317" s="22" t="str">
        <f>VLOOKUP(E317,'Lista Infomoney'!B:F,5,FALSE)</f>
        <v>TRPL3</v>
      </c>
      <c r="V317" s="6" t="str">
        <f>H317&amp;" OR "&amp;I317&amp;" OR "&amp;J317&amp;" OR "&amp;K317</f>
        <v>TRPL4F OR TRPL4 OR TRPL3F OR TRPL3</v>
      </c>
      <c r="W31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v>
      </c>
      <c r="Z317" s="6" t="str">
        <f t="shared" si="56"/>
        <v>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v>
      </c>
    </row>
    <row r="318">
      <c r="A318" s="2">
        <v>2.0</v>
      </c>
      <c r="B318" s="2" t="s">
        <v>867</v>
      </c>
      <c r="C318" s="2" t="s">
        <v>1841</v>
      </c>
      <c r="D318" s="2" t="s">
        <v>1841</v>
      </c>
      <c r="E318" s="2" t="s">
        <v>1999</v>
      </c>
      <c r="F318" s="2" t="s">
        <v>2000</v>
      </c>
      <c r="G318" s="2" t="s">
        <v>1032</v>
      </c>
      <c r="H318" s="2" t="s">
        <v>2001</v>
      </c>
      <c r="I318" s="2" t="s">
        <v>2002</v>
      </c>
      <c r="V318" s="6" t="str">
        <f>H318&amp;" OR "&amp;I318</f>
        <v>UPKP3B OR UPKP3F</v>
      </c>
      <c r="W31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v>
      </c>
      <c r="Z318" s="6" t="str">
        <f t="shared" si="56"/>
        <v>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v>
      </c>
    </row>
    <row r="319">
      <c r="A319" s="2">
        <v>1.0</v>
      </c>
      <c r="B319" s="2" t="s">
        <v>867</v>
      </c>
      <c r="C319" s="2" t="s">
        <v>2003</v>
      </c>
      <c r="D319" s="2" t="s">
        <v>2003</v>
      </c>
      <c r="E319" s="2" t="s">
        <v>2004</v>
      </c>
      <c r="F319" s="2" t="s">
        <v>2005</v>
      </c>
      <c r="G319" s="2" t="s">
        <v>1433</v>
      </c>
      <c r="H319" s="22" t="str">
        <f>VLOOKUP(E319,'Lista Infomoney'!B:H,2,FALSE)</f>
        <v>CASN4F</v>
      </c>
      <c r="I319" s="22" t="str">
        <f>VLOOKUP(E319,'Lista Infomoney'!B:F,3,FALSE)</f>
        <v>CASN3F</v>
      </c>
      <c r="J319" s="22" t="str">
        <f>VLOOKUP(E319,'Lista Infomoney'!B:F,4,FALSE)</f>
        <v>CASN4</v>
      </c>
      <c r="K319" s="22" t="str">
        <f>VLOOKUP(E319,'Lista Infomoney'!B:F,5,FALSE)</f>
        <v>CASN3</v>
      </c>
      <c r="V319" s="6" t="str">
        <f>H319&amp;" OR "&amp;I319&amp;" OR "&amp;J319&amp;" OR "&amp;K319</f>
        <v>CASN4F OR CASN3F OR CASN4 OR CASN3</v>
      </c>
      <c r="W31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v>
      </c>
      <c r="Z319" s="6" t="str">
        <f t="shared" si="56"/>
        <v>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v>
      </c>
    </row>
    <row r="320">
      <c r="A320" s="2">
        <v>2.0</v>
      </c>
      <c r="B320" s="2" t="s">
        <v>867</v>
      </c>
      <c r="C320" s="2" t="s">
        <v>2003</v>
      </c>
      <c r="D320" s="2" t="s">
        <v>2003</v>
      </c>
      <c r="E320" s="2" t="s">
        <v>2006</v>
      </c>
      <c r="F320" s="2" t="s">
        <v>2007</v>
      </c>
      <c r="G320" s="2" t="s">
        <v>1001</v>
      </c>
      <c r="H320" s="2" t="s">
        <v>2008</v>
      </c>
      <c r="I320" s="2" t="s">
        <v>2009</v>
      </c>
      <c r="V320" s="6" t="str">
        <f t="shared" ref="V320:V322" si="67">H320&amp;" OR "&amp;I320</f>
        <v>CSMG3 OR CSMG3F</v>
      </c>
      <c r="W32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v>
      </c>
      <c r="Z320" s="6" t="str">
        <f t="shared" si="56"/>
        <v>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v>
      </c>
    </row>
    <row r="321">
      <c r="A321" s="2">
        <v>2.0</v>
      </c>
      <c r="B321" s="2" t="s">
        <v>867</v>
      </c>
      <c r="C321" s="2" t="s">
        <v>2003</v>
      </c>
      <c r="D321" s="2" t="s">
        <v>2003</v>
      </c>
      <c r="E321" s="2" t="s">
        <v>2010</v>
      </c>
      <c r="F321" s="2" t="s">
        <v>2011</v>
      </c>
      <c r="G321" s="2" t="s">
        <v>1107</v>
      </c>
      <c r="H321" s="2" t="s">
        <v>2012</v>
      </c>
      <c r="I321" s="2" t="s">
        <v>2013</v>
      </c>
      <c r="V321" s="6" t="str">
        <f t="shared" si="67"/>
        <v>IGSN3 OR IGSN3F</v>
      </c>
      <c r="W32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v>
      </c>
      <c r="Z321" s="6" t="str">
        <f t="shared" si="56"/>
        <v>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v>
      </c>
    </row>
    <row r="322">
      <c r="A322" s="2">
        <v>1.0</v>
      </c>
      <c r="B322" s="2" t="s">
        <v>867</v>
      </c>
      <c r="C322" s="2" t="s">
        <v>2003</v>
      </c>
      <c r="D322" s="2" t="s">
        <v>2003</v>
      </c>
      <c r="E322" s="2" t="s">
        <v>2014</v>
      </c>
      <c r="F322" s="2" t="s">
        <v>2015</v>
      </c>
      <c r="G322" s="2" t="s">
        <v>1001</v>
      </c>
      <c r="H322" s="22" t="str">
        <f>VLOOKUP(E322,'Lista Infomoney'!B:H,2,FALSE)</f>
        <v>SBSP3F</v>
      </c>
      <c r="I322" s="22" t="str">
        <f>VLOOKUP(E322,'Lista Infomoney'!B:F,3,FALSE)</f>
        <v>SBSP3</v>
      </c>
      <c r="J322" s="6" t="str">
        <f>VLOOKUP(E322,'Lista Infomoney'!B:F,4,FALSE)</f>
        <v/>
      </c>
      <c r="K322" s="6" t="str">
        <f>VLOOKUP(E322,'Lista Infomoney'!B:F,5,FALSE)</f>
        <v/>
      </c>
      <c r="V322" s="6" t="str">
        <f t="shared" si="67"/>
        <v>SBSP3F OR SBSP3</v>
      </c>
      <c r="W32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v>
      </c>
      <c r="Z322" s="6" t="str">
        <f t="shared" si="56"/>
        <v>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v>
      </c>
    </row>
    <row r="323">
      <c r="A323" s="2">
        <v>1.0</v>
      </c>
      <c r="B323" s="2" t="s">
        <v>867</v>
      </c>
      <c r="C323" s="2" t="s">
        <v>2003</v>
      </c>
      <c r="D323" s="2" t="s">
        <v>2003</v>
      </c>
      <c r="E323" s="2" t="s">
        <v>2016</v>
      </c>
      <c r="F323" s="2" t="s">
        <v>2017</v>
      </c>
      <c r="G323" s="2" t="s">
        <v>1013</v>
      </c>
      <c r="H323" s="22" t="str">
        <f>VLOOKUP(E323,'Lista Infomoney'!B:H,2,FALSE)</f>
        <v>SAPR11F</v>
      </c>
      <c r="I323" s="22" t="str">
        <f>VLOOKUP(E323,'Lista Infomoney'!B:F,3,FALSE)</f>
        <v>SAPR4F</v>
      </c>
      <c r="J323" s="22" t="str">
        <f>VLOOKUP(E323,'Lista Infomoney'!B:F,4,FALSE)</f>
        <v>SAPR3F</v>
      </c>
      <c r="K323" s="22" t="str">
        <f>VLOOKUP(E323,'Lista Infomoney'!B:F,5,FALSE)</f>
        <v>SAPR4</v>
      </c>
      <c r="L323" s="2" t="s">
        <v>929</v>
      </c>
      <c r="M323" s="2" t="s">
        <v>930</v>
      </c>
      <c r="V323" s="6" t="str">
        <f>H323&amp;" OR "&amp;I323&amp;" OR "&amp;J323&amp;" OR "&amp;K323&amp;" OR "&amp;L323&amp;" OR "&amp;M323</f>
        <v>SAPR11F OR SAPR4F OR SAPR3F OR SAPR4 OR SAPR3 OR SAPR11</v>
      </c>
      <c r="W32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v>
      </c>
      <c r="Z323" s="6" t="str">
        <f t="shared" si="56"/>
        <v>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v>
      </c>
    </row>
    <row r="324">
      <c r="A324" s="2">
        <v>2.0</v>
      </c>
      <c r="B324" s="2" t="s">
        <v>867</v>
      </c>
      <c r="C324" s="2" t="s">
        <v>2003</v>
      </c>
      <c r="D324" s="2" t="s">
        <v>2003</v>
      </c>
      <c r="E324" s="2" t="s">
        <v>2018</v>
      </c>
      <c r="F324" s="24" t="s">
        <v>2019</v>
      </c>
      <c r="G324" s="2"/>
      <c r="H324" s="6" t="s">
        <v>2019</v>
      </c>
      <c r="V324" s="6" t="str">
        <f>H324</f>
        <v>SNST</v>
      </c>
      <c r="W32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v>
      </c>
      <c r="Z324" s="6" t="str">
        <f t="shared" si="56"/>
        <v>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v>
      </c>
    </row>
    <row r="325">
      <c r="A325" s="2">
        <v>1.0</v>
      </c>
      <c r="B325" s="2" t="s">
        <v>867</v>
      </c>
      <c r="C325" s="2" t="s">
        <v>2020</v>
      </c>
      <c r="D325" s="2" t="s">
        <v>2020</v>
      </c>
      <c r="E325" s="2" t="s">
        <v>890</v>
      </c>
      <c r="F325" s="2" t="s">
        <v>2021</v>
      </c>
      <c r="G325" s="2" t="s">
        <v>1433</v>
      </c>
      <c r="H325" s="22" t="str">
        <f>VLOOKUP(E325,'Lista Infomoney'!B:H,2,FALSE)</f>
        <v>CEGR3F</v>
      </c>
      <c r="I325" s="22" t="str">
        <f>VLOOKUP(E325,'Lista Infomoney'!B:F,3,FALSE)</f>
        <v>CEGR3</v>
      </c>
      <c r="J325" s="6" t="str">
        <f>VLOOKUP(E325,'Lista Infomoney'!B:F,4,FALSE)</f>
        <v/>
      </c>
      <c r="K325" s="6" t="str">
        <f>VLOOKUP(E325,'Lista Infomoney'!B:F,5,FALSE)</f>
        <v/>
      </c>
      <c r="V325" s="6" t="str">
        <f>H325&amp;" OR "&amp;I325</f>
        <v>CEGR3F OR CEGR3</v>
      </c>
      <c r="W32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v>
      </c>
      <c r="Z325" s="6" t="str">
        <f t="shared" si="56"/>
        <v>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v>
      </c>
    </row>
    <row r="326">
      <c r="A326" s="2">
        <v>1.0</v>
      </c>
      <c r="B326" s="2" t="s">
        <v>867</v>
      </c>
      <c r="C326" s="2" t="s">
        <v>2020</v>
      </c>
      <c r="D326" s="2" t="s">
        <v>2020</v>
      </c>
      <c r="E326" s="2" t="s">
        <v>2022</v>
      </c>
      <c r="F326" s="2" t="s">
        <v>2023</v>
      </c>
      <c r="G326" s="2" t="s">
        <v>1433</v>
      </c>
      <c r="H326" s="22" t="str">
        <f>VLOOKUP(E326,'Lista Infomoney'!B:H,2,FALSE)</f>
        <v>CGAS3F</v>
      </c>
      <c r="I326" s="22" t="str">
        <f>VLOOKUP(E326,'Lista Infomoney'!B:F,3,FALSE)</f>
        <v>CGAS5F</v>
      </c>
      <c r="J326" s="22" t="str">
        <f>VLOOKUP(E326,'Lista Infomoney'!B:F,4,FALSE)</f>
        <v>CGAS5</v>
      </c>
      <c r="K326" s="22" t="str">
        <f>VLOOKUP(E326,'Lista Infomoney'!B:F,5,FALSE)</f>
        <v>CGAS3</v>
      </c>
      <c r="V326" s="6" t="str">
        <f>H326&amp;" OR "&amp;I326&amp;" OR "&amp;J326&amp;" OR "&amp;K326</f>
        <v>CGAS3F OR CGAS5F OR CGAS5 OR CGAS3</v>
      </c>
      <c r="W32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v>
      </c>
      <c r="Z326" s="6" t="str">
        <f t="shared" si="56"/>
        <v>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v>
      </c>
    </row>
    <row r="327">
      <c r="A327" s="2">
        <v>2.0</v>
      </c>
      <c r="B327" s="2" t="s">
        <v>375</v>
      </c>
      <c r="C327" s="2" t="s">
        <v>2024</v>
      </c>
      <c r="D327" s="2" t="s">
        <v>2025</v>
      </c>
      <c r="E327" s="2" t="s">
        <v>2026</v>
      </c>
      <c r="F327" s="2" t="s">
        <v>2027</v>
      </c>
      <c r="G327" s="2" t="s">
        <v>1013</v>
      </c>
      <c r="H327" s="2" t="s">
        <v>2028</v>
      </c>
      <c r="I327" s="2" t="s">
        <v>2029</v>
      </c>
      <c r="J327" s="2" t="s">
        <v>2030</v>
      </c>
      <c r="V327" s="6" t="str">
        <f>H327&amp;" OR "&amp;I327&amp;" OR "&amp;J327</f>
        <v>ABCB10 OR ABCB4 OR ABCB4F</v>
      </c>
      <c r="W32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v>
      </c>
      <c r="Z327" s="6" t="str">
        <f t="shared" si="56"/>
        <v>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v>
      </c>
    </row>
    <row r="328">
      <c r="A328" s="2">
        <v>2.0</v>
      </c>
      <c r="B328" s="2" t="s">
        <v>375</v>
      </c>
      <c r="C328" s="2" t="s">
        <v>2024</v>
      </c>
      <c r="D328" s="2" t="s">
        <v>2025</v>
      </c>
      <c r="E328" s="2" t="s">
        <v>2031</v>
      </c>
      <c r="F328" s="2" t="s">
        <v>2032</v>
      </c>
      <c r="G328" s="2"/>
      <c r="H328" s="2" t="s">
        <v>2033</v>
      </c>
      <c r="I328" s="2" t="s">
        <v>2034</v>
      </c>
      <c r="J328" s="2" t="s">
        <v>2035</v>
      </c>
      <c r="K328" s="2" t="s">
        <v>2036</v>
      </c>
      <c r="L328" s="2" t="s">
        <v>2037</v>
      </c>
      <c r="M328" s="2" t="s">
        <v>2038</v>
      </c>
      <c r="V328" s="6" t="str">
        <f>H328&amp;" OR "&amp;I328&amp;" OR "&amp;J328&amp;" OR "&amp;K328&amp;" OR "&amp;L328&amp;" OR "&amp;M328</f>
        <v>RPAD3 OR RPAD5 OR RPAD6 OR RPAD3F OR RPAD5F OR RPAD6F</v>
      </c>
      <c r="W32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v>
      </c>
      <c r="Z328" s="6" t="str">
        <f t="shared" si="56"/>
        <v>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v>
      </c>
    </row>
    <row r="329">
      <c r="A329" s="2">
        <v>2.0</v>
      </c>
      <c r="B329" s="2" t="s">
        <v>375</v>
      </c>
      <c r="C329" s="2" t="s">
        <v>2024</v>
      </c>
      <c r="D329" s="2" t="s">
        <v>2025</v>
      </c>
      <c r="E329" s="2" t="s">
        <v>2039</v>
      </c>
      <c r="F329" s="2" t="s">
        <v>2040</v>
      </c>
      <c r="G329" s="2"/>
      <c r="H329" s="2" t="s">
        <v>2041</v>
      </c>
      <c r="I329" s="2" t="s">
        <v>2042</v>
      </c>
      <c r="J329" s="2" t="s">
        <v>2043</v>
      </c>
      <c r="K329" s="2" t="s">
        <v>2044</v>
      </c>
      <c r="V329" s="6" t="str">
        <f>H329&amp;" OR "&amp;I329&amp;" OR "&amp;J329&amp;" OR "&amp;K329</f>
        <v>BRIV3 OR BRIV4 OR BRIV3F OR BRIV4F</v>
      </c>
      <c r="W32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v>
      </c>
      <c r="Z329" s="6" t="str">
        <f t="shared" si="56"/>
        <v>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v>
      </c>
    </row>
    <row r="330">
      <c r="A330" s="2">
        <v>2.0</v>
      </c>
      <c r="B330" s="2" t="s">
        <v>375</v>
      </c>
      <c r="C330" s="2" t="s">
        <v>2024</v>
      </c>
      <c r="D330" s="2" t="s">
        <v>2025</v>
      </c>
      <c r="E330" s="2" t="s">
        <v>2045</v>
      </c>
      <c r="F330" s="2" t="s">
        <v>2046</v>
      </c>
      <c r="G330" s="2"/>
      <c r="H330" s="2" t="s">
        <v>2047</v>
      </c>
      <c r="I330" s="2" t="s">
        <v>2048</v>
      </c>
      <c r="V330" s="6" t="str">
        <f t="shared" ref="V330:V331" si="68">H330&amp;" OR "&amp;I330</f>
        <v>BAZA3 OR BAZA3F</v>
      </c>
      <c r="W33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v>
      </c>
      <c r="Z330" s="6" t="str">
        <f t="shared" si="56"/>
        <v>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v>
      </c>
    </row>
    <row r="331">
      <c r="A331" s="2">
        <v>1.0</v>
      </c>
      <c r="B331" s="2" t="s">
        <v>375</v>
      </c>
      <c r="C331" s="2" t="s">
        <v>2024</v>
      </c>
      <c r="D331" s="2" t="s">
        <v>2025</v>
      </c>
      <c r="E331" s="2" t="s">
        <v>426</v>
      </c>
      <c r="F331" s="2" t="s">
        <v>2049</v>
      </c>
      <c r="G331" s="2" t="s">
        <v>1029</v>
      </c>
      <c r="H331" s="22" t="str">
        <f>VLOOKUP(E331,'Lista Infomoney'!B:H,2,FALSE)</f>
        <v>BMGB11</v>
      </c>
      <c r="I331" s="22" t="str">
        <f>VLOOKUP(E331,'Lista Infomoney'!B:F,3,FALSE)</f>
        <v>BMGB4</v>
      </c>
      <c r="J331" s="6" t="str">
        <f>VLOOKUP(E331,'Lista Infomoney'!B:F,4,FALSE)</f>
        <v/>
      </c>
      <c r="K331" s="6" t="str">
        <f>VLOOKUP(E331,'Lista Infomoney'!B:F,5,FALSE)</f>
        <v/>
      </c>
      <c r="V331" s="6" t="str">
        <f t="shared" si="68"/>
        <v>BMGB11 OR BMGB4</v>
      </c>
      <c r="W33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v>
      </c>
      <c r="Z331" s="6" t="str">
        <f t="shared" si="56"/>
        <v>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v>
      </c>
    </row>
    <row r="332">
      <c r="A332" s="2">
        <v>1.0</v>
      </c>
      <c r="B332" s="2" t="s">
        <v>375</v>
      </c>
      <c r="C332" s="2" t="s">
        <v>2024</v>
      </c>
      <c r="D332" s="2" t="s">
        <v>2025</v>
      </c>
      <c r="E332" s="2" t="s">
        <v>2050</v>
      </c>
      <c r="F332" s="2" t="s">
        <v>2051</v>
      </c>
      <c r="G332" s="2" t="s">
        <v>1013</v>
      </c>
      <c r="H332" s="22" t="str">
        <f>VLOOKUP(E332,'Lista Infomoney'!B:H,2,FALSE)</f>
        <v>BIDI3</v>
      </c>
      <c r="I332" s="22" t="str">
        <f>VLOOKUP(E332,'Lista Infomoney'!B:F,3,FALSE)</f>
        <v>BIDI11</v>
      </c>
      <c r="J332" s="22" t="str">
        <f>VLOOKUP(E332,'Lista Infomoney'!B:F,4,FALSE)</f>
        <v>BIDI4</v>
      </c>
      <c r="K332" s="6" t="str">
        <f>VLOOKUP(E332,'Lista Infomoney'!B:F,5,FALSE)</f>
        <v/>
      </c>
      <c r="V332" s="6" t="str">
        <f t="shared" ref="V332:V333" si="69">H332&amp;" OR "&amp;I332&amp;" OR "&amp;J332</f>
        <v>BIDI3 OR BIDI11 OR BIDI4</v>
      </c>
      <c r="W33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v>
      </c>
      <c r="Z332" s="6" t="str">
        <f t="shared" si="56"/>
        <v>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v>
      </c>
    </row>
    <row r="333">
      <c r="A333" s="2">
        <v>1.0</v>
      </c>
      <c r="B333" s="2" t="s">
        <v>375</v>
      </c>
      <c r="C333" s="2" t="s">
        <v>2024</v>
      </c>
      <c r="D333" s="2" t="s">
        <v>2025</v>
      </c>
      <c r="E333" s="2" t="s">
        <v>2052</v>
      </c>
      <c r="F333" s="2" t="s">
        <v>2053</v>
      </c>
      <c r="G333" s="2" t="s">
        <v>1029</v>
      </c>
      <c r="H333" s="22" t="str">
        <f>VLOOKUP(E333,'Lista Infomoney'!B:H,2,FALSE)</f>
        <v>BPAN4F</v>
      </c>
      <c r="I333" s="2" t="s">
        <v>500</v>
      </c>
      <c r="J333" s="2" t="s">
        <v>2054</v>
      </c>
      <c r="K333" s="6" t="str">
        <f>VLOOKUP(E333,'Lista Infomoney'!B:F,5,FALSE)</f>
        <v/>
      </c>
      <c r="V333" s="6" t="str">
        <f t="shared" si="69"/>
        <v>BPAN4F OR BPAN4 OR BPAN2F</v>
      </c>
      <c r="W33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v>
      </c>
      <c r="Z333" s="6" t="str">
        <f t="shared" si="56"/>
        <v>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v>
      </c>
    </row>
    <row r="334">
      <c r="A334" s="2">
        <v>2.0</v>
      </c>
      <c r="B334" s="2" t="s">
        <v>375</v>
      </c>
      <c r="C334" s="2" t="s">
        <v>2024</v>
      </c>
      <c r="D334" s="2" t="s">
        <v>2025</v>
      </c>
      <c r="E334" s="2" t="s">
        <v>2055</v>
      </c>
      <c r="F334" s="2" t="s">
        <v>2056</v>
      </c>
      <c r="G334" s="2"/>
      <c r="H334" s="2" t="s">
        <v>2057</v>
      </c>
      <c r="I334" s="2" t="s">
        <v>2058</v>
      </c>
      <c r="J334" s="2" t="s">
        <v>2059</v>
      </c>
      <c r="K334" s="2" t="s">
        <v>2060</v>
      </c>
      <c r="V334" s="6" t="str">
        <f t="shared" ref="V334:V335" si="70">H334&amp;" OR "&amp;I334&amp;" OR "&amp;J334&amp;" OR "&amp;K334</f>
        <v>BGIP3 OR BGIP4 OR BGIP3F OR BGIP4F</v>
      </c>
      <c r="W33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v>
      </c>
      <c r="Z334" s="6" t="str">
        <f t="shared" si="56"/>
        <v>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v>
      </c>
    </row>
    <row r="335">
      <c r="A335" s="2">
        <v>2.0</v>
      </c>
      <c r="B335" s="2" t="s">
        <v>375</v>
      </c>
      <c r="C335" s="2" t="s">
        <v>2024</v>
      </c>
      <c r="D335" s="2" t="s">
        <v>2025</v>
      </c>
      <c r="E335" s="2" t="s">
        <v>2061</v>
      </c>
      <c r="F335" s="2" t="s">
        <v>2062</v>
      </c>
      <c r="G335" s="2"/>
      <c r="H335" s="2" t="s">
        <v>2063</v>
      </c>
      <c r="I335" s="2" t="s">
        <v>2064</v>
      </c>
      <c r="J335" s="2" t="s">
        <v>2065</v>
      </c>
      <c r="K335" s="2" t="s">
        <v>2066</v>
      </c>
      <c r="V335" s="6" t="str">
        <f t="shared" si="70"/>
        <v>BEES3 OR BEES4 OR BEES3F OR BEES4F</v>
      </c>
      <c r="W33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v>
      </c>
      <c r="Z335" s="6" t="str">
        <f t="shared" si="56"/>
        <v>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v>
      </c>
    </row>
    <row r="336">
      <c r="A336" s="2">
        <v>1.0</v>
      </c>
      <c r="B336" s="2" t="s">
        <v>375</v>
      </c>
      <c r="C336" s="2" t="s">
        <v>2024</v>
      </c>
      <c r="D336" s="2" t="s">
        <v>2025</v>
      </c>
      <c r="E336" s="2" t="s">
        <v>2067</v>
      </c>
      <c r="F336" s="2" t="s">
        <v>2068</v>
      </c>
      <c r="G336" s="2" t="s">
        <v>1433</v>
      </c>
      <c r="H336" s="22" t="str">
        <f>VLOOKUP(E336,'Lista Infomoney'!B:H,2,FALSE)</f>
        <v>BPAR3F</v>
      </c>
      <c r="I336" s="22" t="str">
        <f>VLOOKUP(E336,'Lista Infomoney'!B:F,3,FALSE)</f>
        <v>BPAR3</v>
      </c>
      <c r="J336" s="6" t="str">
        <f>VLOOKUP(E336,'Lista Infomoney'!B:F,4,FALSE)</f>
        <v/>
      </c>
      <c r="K336" s="6" t="str">
        <f>VLOOKUP(E336,'Lista Infomoney'!B:F,5,FALSE)</f>
        <v/>
      </c>
      <c r="V336" s="6" t="str">
        <f>H336&amp;" OR "&amp;I336</f>
        <v>BPAR3F OR BPAR3</v>
      </c>
      <c r="W33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v>
      </c>
      <c r="Z336" s="6" t="str">
        <f t="shared" si="56"/>
        <v>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v>
      </c>
    </row>
    <row r="337">
      <c r="A337" s="2">
        <v>1.0</v>
      </c>
      <c r="B337" s="2" t="s">
        <v>375</v>
      </c>
      <c r="C337" s="2" t="s">
        <v>2024</v>
      </c>
      <c r="D337" s="2" t="s">
        <v>2025</v>
      </c>
      <c r="E337" s="2" t="s">
        <v>2069</v>
      </c>
      <c r="F337" s="2" t="s">
        <v>2070</v>
      </c>
      <c r="G337" s="2" t="s">
        <v>1029</v>
      </c>
      <c r="H337" s="22" t="str">
        <f>VLOOKUP(E337,'Lista Infomoney'!B:H,2,FALSE)</f>
        <v>BRSR6F</v>
      </c>
      <c r="I337" s="22" t="str">
        <f>VLOOKUP(E337,'Lista Infomoney'!B:F,3,FALSE)</f>
        <v>BRSR5F</v>
      </c>
      <c r="J337" s="22" t="str">
        <f>VLOOKUP(E337,'Lista Infomoney'!B:F,4,FALSE)</f>
        <v>BRSR3F</v>
      </c>
      <c r="K337" s="22" t="str">
        <f>VLOOKUP(E337,'Lista Infomoney'!B:F,5,FALSE)</f>
        <v>BRSR6</v>
      </c>
      <c r="L337" s="2" t="s">
        <v>452</v>
      </c>
      <c r="M337" s="2" t="s">
        <v>453</v>
      </c>
      <c r="V337" s="6" t="str">
        <f>H337&amp;" OR "&amp;I337&amp;" OR "&amp;J337&amp;" OR "&amp;K337&amp;" OR "&amp;L337&amp;" OR "&amp;M337</f>
        <v>BRSR6F OR BRSR5F OR BRSR3F OR BRSR6 OR BRSR5 OR BRSR3</v>
      </c>
      <c r="W33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v>
      </c>
      <c r="Z337" s="6" t="str">
        <f t="shared" si="56"/>
        <v>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v>
      </c>
    </row>
    <row r="338">
      <c r="A338" s="2">
        <v>1.0</v>
      </c>
      <c r="B338" s="2" t="s">
        <v>375</v>
      </c>
      <c r="C338" s="2" t="s">
        <v>2024</v>
      </c>
      <c r="D338" s="2" t="s">
        <v>2025</v>
      </c>
      <c r="E338" s="2" t="s">
        <v>2071</v>
      </c>
      <c r="F338" s="2" t="s">
        <v>2072</v>
      </c>
      <c r="G338" s="2" t="s">
        <v>1029</v>
      </c>
      <c r="H338" s="22" t="str">
        <f>VLOOKUP(E338,'Lista Infomoney'!B:H,2,FALSE)</f>
        <v>BBDC4F</v>
      </c>
      <c r="I338" s="22" t="str">
        <f>VLOOKUP(E338,'Lista Infomoney'!B:F,3,FALSE)</f>
        <v>BBDC4</v>
      </c>
      <c r="J338" s="22" t="str">
        <f>VLOOKUP(E338,'Lista Infomoney'!B:F,4,FALSE)</f>
        <v>BBDC3</v>
      </c>
      <c r="K338" s="2" t="s">
        <v>2073</v>
      </c>
      <c r="V338" s="6" t="str">
        <f>H338&amp;" OR "&amp;I338&amp;" OR "&amp;J338&amp;" OR "&amp;K338</f>
        <v>BBDC4F OR BBDC4 OR BBDC3 OR BBDC3F</v>
      </c>
      <c r="W33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v>
      </c>
      <c r="Z338" s="6" t="str">
        <f t="shared" si="56"/>
        <v>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v>
      </c>
    </row>
    <row r="339">
      <c r="A339" s="2">
        <v>1.0</v>
      </c>
      <c r="B339" s="2" t="s">
        <v>375</v>
      </c>
      <c r="C339" s="2" t="s">
        <v>2024</v>
      </c>
      <c r="D339" s="2" t="s">
        <v>2025</v>
      </c>
      <c r="E339" s="2" t="s">
        <v>501</v>
      </c>
      <c r="F339" s="2" t="s">
        <v>2074</v>
      </c>
      <c r="G339" s="2" t="s">
        <v>1001</v>
      </c>
      <c r="H339" s="22" t="str">
        <f>VLOOKUP(E339,'Lista Infomoney'!B:H,2,FALSE)</f>
        <v>BBAS3F</v>
      </c>
      <c r="I339" s="22" t="str">
        <f>VLOOKUP(E339,'Lista Infomoney'!B:F,3,FALSE)</f>
        <v>BBAS3</v>
      </c>
      <c r="J339" s="22" t="str">
        <f>VLOOKUP(E339,'Lista Infomoney'!B:F,4,FALSE)</f>
        <v>BBAS12</v>
      </c>
      <c r="K339" s="22" t="str">
        <f>VLOOKUP(E339,'Lista Infomoney'!B:F,5,FALSE)</f>
        <v>BBAS11</v>
      </c>
      <c r="L339" s="2" t="s">
        <v>2075</v>
      </c>
      <c r="M339" s="2" t="s">
        <v>2076</v>
      </c>
      <c r="V339" s="6" t="str">
        <f>H339&amp;" OR "&amp;I339&amp;" OR "&amp;J339&amp;" OR "&amp;K339&amp;" OR "&amp;L339&amp;" OR "&amp;M339</f>
        <v>BBAS3F OR BBAS3 OR BBAS12 OR BBAS11 OR BBAS11F OR BBAS12F</v>
      </c>
      <c r="W33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v>
      </c>
      <c r="Z339" s="6" t="str">
        <f t="shared" si="56"/>
        <v>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v>
      </c>
    </row>
    <row r="340">
      <c r="A340" s="2">
        <v>1.0</v>
      </c>
      <c r="B340" s="2" t="s">
        <v>375</v>
      </c>
      <c r="C340" s="2" t="s">
        <v>2024</v>
      </c>
      <c r="D340" s="2" t="s">
        <v>2025</v>
      </c>
      <c r="E340" s="2" t="s">
        <v>2077</v>
      </c>
      <c r="F340" s="2" t="s">
        <v>2078</v>
      </c>
      <c r="G340" s="2" t="s">
        <v>1433</v>
      </c>
      <c r="H340" s="22" t="str">
        <f>VLOOKUP(E340,'Lista Infomoney'!B:H,2,FALSE)</f>
        <v>BSLI4F</v>
      </c>
      <c r="I340" s="22" t="str">
        <f>VLOOKUP(E340,'Lista Infomoney'!B:F,3,FALSE)</f>
        <v>BSLI3F</v>
      </c>
      <c r="J340" s="22" t="str">
        <f>VLOOKUP(E340,'Lista Infomoney'!B:F,4,FALSE)</f>
        <v>BSLI4</v>
      </c>
      <c r="K340" s="22" t="str">
        <f>VLOOKUP(E340,'Lista Infomoney'!B:F,5,FALSE)</f>
        <v>BSLI3</v>
      </c>
      <c r="V340" s="6" t="str">
        <f>H340&amp;" OR "&amp;I340&amp;" OR "&amp;J340&amp;" OR "&amp;K340</f>
        <v>BSLI4F OR BSLI3F OR BSLI4 OR BSLI3</v>
      </c>
      <c r="W34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v>
      </c>
      <c r="Z340" s="6" t="str">
        <f t="shared" si="56"/>
        <v>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v>
      </c>
    </row>
    <row r="341">
      <c r="A341" s="2">
        <v>2.0</v>
      </c>
      <c r="B341" s="2" t="s">
        <v>375</v>
      </c>
      <c r="C341" s="2" t="s">
        <v>2024</v>
      </c>
      <c r="D341" s="2" t="s">
        <v>2025</v>
      </c>
      <c r="E341" s="2" t="s">
        <v>2079</v>
      </c>
      <c r="F341" s="2" t="s">
        <v>2080</v>
      </c>
      <c r="G341" s="2"/>
      <c r="H341" s="2" t="s">
        <v>2081</v>
      </c>
      <c r="I341" s="2" t="s">
        <v>2082</v>
      </c>
      <c r="J341" s="2" t="s">
        <v>2083</v>
      </c>
      <c r="K341" s="2" t="s">
        <v>2084</v>
      </c>
      <c r="L341" s="2" t="s">
        <v>2085</v>
      </c>
      <c r="M341" s="2" t="s">
        <v>2086</v>
      </c>
      <c r="V341" s="6" t="str">
        <f>H341&amp;" OR "&amp;I341&amp;" OR "&amp;J341&amp;" OR "&amp;K341&amp;" OR "&amp;L341&amp;" OR "&amp;M341</f>
        <v>BPAC11 OR BPAC3 OR BPAC5 OR BPAC11F OR BPAC3F OR BPAC5F</v>
      </c>
      <c r="W34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v>
      </c>
      <c r="Z341" s="6" t="str">
        <f t="shared" si="56"/>
        <v>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v>
      </c>
    </row>
    <row r="342">
      <c r="A342" s="2">
        <v>2.0</v>
      </c>
      <c r="B342" s="2" t="s">
        <v>375</v>
      </c>
      <c r="C342" s="2" t="s">
        <v>2024</v>
      </c>
      <c r="D342" s="2" t="s">
        <v>2025</v>
      </c>
      <c r="E342" s="2" t="s">
        <v>2087</v>
      </c>
      <c r="F342" s="2" t="s">
        <v>2088</v>
      </c>
      <c r="G342" s="2" t="s">
        <v>1013</v>
      </c>
      <c r="H342" s="2" t="s">
        <v>2089</v>
      </c>
      <c r="I342" s="2" t="s">
        <v>2090</v>
      </c>
      <c r="J342" s="2" t="s">
        <v>2091</v>
      </c>
      <c r="K342" s="2" t="s">
        <v>2092</v>
      </c>
      <c r="V342" s="6" t="str">
        <f t="shared" ref="V342:V344" si="71">H342&amp;" OR "&amp;I342&amp;" OR "&amp;J342&amp;" OR "&amp;K342</f>
        <v>IDVL3 OR IDVL4 OR IDVL3F OR IDVL4F</v>
      </c>
      <c r="W34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v>
      </c>
      <c r="Z342" s="6" t="str">
        <f t="shared" si="56"/>
        <v>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v>
      </c>
    </row>
    <row r="343">
      <c r="A343" s="2">
        <v>1.0</v>
      </c>
      <c r="B343" s="2" t="s">
        <v>375</v>
      </c>
      <c r="C343" s="2" t="s">
        <v>2024</v>
      </c>
      <c r="D343" s="2" t="s">
        <v>2025</v>
      </c>
      <c r="E343" s="2" t="s">
        <v>2093</v>
      </c>
      <c r="F343" s="2" t="s">
        <v>2094</v>
      </c>
      <c r="G343" s="2" t="s">
        <v>1029</v>
      </c>
      <c r="H343" s="22" t="str">
        <f>VLOOKUP(E343,'Lista Infomoney'!B:H,2,FALSE)</f>
        <v>ITSA4F</v>
      </c>
      <c r="I343" s="22" t="str">
        <f>VLOOKUP(E343,'Lista Infomoney'!B:F,3,FALSE)</f>
        <v>ITSA4</v>
      </c>
      <c r="J343" s="22" t="str">
        <f>VLOOKUP(E343,'Lista Infomoney'!B:F,4,FALSE)</f>
        <v>ITSA3F</v>
      </c>
      <c r="K343" s="2" t="s">
        <v>2095</v>
      </c>
      <c r="V343" s="6" t="str">
        <f t="shared" si="71"/>
        <v>ITSA4F OR ITSA4 OR ITSA3F OR ITSA3</v>
      </c>
      <c r="W34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v>
      </c>
      <c r="Z343" s="6" t="str">
        <f t="shared" si="56"/>
        <v>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v>
      </c>
    </row>
    <row r="344">
      <c r="A344" s="2">
        <v>1.0</v>
      </c>
      <c r="B344" s="2" t="s">
        <v>375</v>
      </c>
      <c r="C344" s="2" t="s">
        <v>2024</v>
      </c>
      <c r="D344" s="2" t="s">
        <v>2025</v>
      </c>
      <c r="E344" s="2" t="s">
        <v>468</v>
      </c>
      <c r="F344" s="2" t="s">
        <v>2096</v>
      </c>
      <c r="G344" s="2" t="s">
        <v>1029</v>
      </c>
      <c r="H344" s="22" t="str">
        <f>VLOOKUP(E344,'Lista Infomoney'!B:H,2,FALSE)</f>
        <v>ITUB3F</v>
      </c>
      <c r="I344" s="22" t="str">
        <f>VLOOKUP(E344,'Lista Infomoney'!B:F,3,FALSE)</f>
        <v>ITUB4</v>
      </c>
      <c r="J344" s="22" t="str">
        <f>VLOOKUP(E344,'Lista Infomoney'!B:F,4,FALSE)</f>
        <v>ITUB3</v>
      </c>
      <c r="K344" s="22" t="str">
        <f>VLOOKUP(E344,'Lista Infomoney'!B:F,5,FALSE)</f>
        <v>ITUB4F</v>
      </c>
      <c r="V344" s="6" t="str">
        <f t="shared" si="71"/>
        <v>ITUB3F OR ITUB4 OR ITUB3 OR ITUB4F</v>
      </c>
      <c r="W34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v>
      </c>
      <c r="Z344" s="6" t="str">
        <f t="shared" si="56"/>
        <v>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v>
      </c>
    </row>
    <row r="345">
      <c r="A345" s="2">
        <v>2.0</v>
      </c>
      <c r="B345" s="2" t="s">
        <v>375</v>
      </c>
      <c r="C345" s="2" t="s">
        <v>2024</v>
      </c>
      <c r="D345" s="2" t="s">
        <v>2025</v>
      </c>
      <c r="E345" s="2" t="s">
        <v>2097</v>
      </c>
      <c r="F345" s="2" t="s">
        <v>2098</v>
      </c>
      <c r="G345" s="2"/>
      <c r="H345" s="2" t="s">
        <v>2099</v>
      </c>
      <c r="I345" s="2" t="s">
        <v>2100</v>
      </c>
      <c r="J345" s="2" t="s">
        <v>2101</v>
      </c>
      <c r="K345" s="2" t="s">
        <v>2102</v>
      </c>
      <c r="L345" s="2" t="s">
        <v>2103</v>
      </c>
      <c r="V345" s="6" t="str">
        <f>H345&amp;" OR "&amp;I345&amp;" OR "&amp;J345&amp;" OR "&amp;K345&amp;" OR "&amp;L345</f>
        <v>BMEB3 OR BMEB4 OR BMEB3F OR BMEB4F OR BMEB9F</v>
      </c>
      <c r="W34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v>
      </c>
      <c r="Z345" s="6" t="str">
        <f t="shared" si="56"/>
        <v>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v>
      </c>
    </row>
    <row r="346">
      <c r="A346" s="2">
        <v>1.0</v>
      </c>
      <c r="B346" s="2" t="s">
        <v>375</v>
      </c>
      <c r="C346" s="2" t="s">
        <v>2024</v>
      </c>
      <c r="D346" s="2" t="s">
        <v>2025</v>
      </c>
      <c r="E346" s="2" t="s">
        <v>475</v>
      </c>
      <c r="F346" s="2" t="s">
        <v>2104</v>
      </c>
      <c r="G346" s="2" t="s">
        <v>1433</v>
      </c>
      <c r="H346" s="22" t="str">
        <f>VLOOKUP(E346,'Lista Infomoney'!B:H,2,FALSE)</f>
        <v>BMIN3</v>
      </c>
      <c r="I346" s="2" t="s">
        <v>2105</v>
      </c>
      <c r="J346" s="2" t="s">
        <v>2106</v>
      </c>
      <c r="K346" s="2" t="s">
        <v>2107</v>
      </c>
      <c r="V346" s="6" t="str">
        <f>H346&amp;" OR "&amp;I346&amp;" OR "&amp;J346&amp;" OR "&amp;K346</f>
        <v>BMIN3 OR BMIN4 OR BMIN3F OR BMIN4F</v>
      </c>
      <c r="W34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v>
      </c>
      <c r="Z346" s="6" t="str">
        <f t="shared" si="56"/>
        <v>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v>
      </c>
    </row>
    <row r="347">
      <c r="A347" s="2">
        <v>2.0</v>
      </c>
      <c r="B347" s="2" t="s">
        <v>375</v>
      </c>
      <c r="C347" s="2" t="s">
        <v>2024</v>
      </c>
      <c r="D347" s="2" t="s">
        <v>2025</v>
      </c>
      <c r="E347" s="2" t="s">
        <v>2108</v>
      </c>
      <c r="F347" s="2" t="s">
        <v>2109</v>
      </c>
      <c r="G347" s="2"/>
      <c r="H347" s="2" t="s">
        <v>2110</v>
      </c>
      <c r="I347" s="2" t="s">
        <v>2111</v>
      </c>
      <c r="V347" s="6" t="str">
        <f>H347&amp;" OR "&amp;I347</f>
        <v>BNBR3 OR BNBR3F</v>
      </c>
      <c r="W34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v>
      </c>
      <c r="Z347" s="6" t="str">
        <f t="shared" si="56"/>
        <v>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v>
      </c>
    </row>
    <row r="348">
      <c r="A348" s="2">
        <v>2.0</v>
      </c>
      <c r="B348" s="2" t="s">
        <v>375</v>
      </c>
      <c r="C348" s="2" t="s">
        <v>2024</v>
      </c>
      <c r="D348" s="2" t="s">
        <v>2025</v>
      </c>
      <c r="E348" s="2" t="s">
        <v>2112</v>
      </c>
      <c r="F348" s="24" t="s">
        <v>2113</v>
      </c>
      <c r="G348" s="2"/>
      <c r="H348" s="6" t="s">
        <v>2113</v>
      </c>
      <c r="V348" s="6" t="str">
        <f>H348</f>
        <v>PRBC</v>
      </c>
      <c r="W34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v>
      </c>
      <c r="Z348" s="6" t="str">
        <f t="shared" si="56"/>
        <v>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v>
      </c>
    </row>
    <row r="349">
      <c r="A349" s="2">
        <v>2.0</v>
      </c>
      <c r="B349" s="2" t="s">
        <v>375</v>
      </c>
      <c r="C349" s="2" t="s">
        <v>2024</v>
      </c>
      <c r="D349" s="2" t="s">
        <v>2025</v>
      </c>
      <c r="E349" s="2" t="s">
        <v>2114</v>
      </c>
      <c r="F349" s="2" t="s">
        <v>2114</v>
      </c>
      <c r="G349" s="2" t="s">
        <v>1013</v>
      </c>
      <c r="H349" s="2" t="s">
        <v>2115</v>
      </c>
      <c r="I349" s="2" t="s">
        <v>2116</v>
      </c>
      <c r="J349" s="2" t="s">
        <v>2117</v>
      </c>
      <c r="K349" s="2" t="s">
        <v>2118</v>
      </c>
      <c r="V349" s="6" t="str">
        <f>H349&amp;" OR "&amp;I349&amp;" OR "&amp;J349&amp;" OR "&amp;K349</f>
        <v>PINE3 OR PINE4 OR PINE3F OR PINE4F</v>
      </c>
      <c r="W34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v>
      </c>
      <c r="Z349" s="6" t="str">
        <f t="shared" si="56"/>
        <v>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v>
      </c>
    </row>
    <row r="350">
      <c r="A350" s="2">
        <v>1.0</v>
      </c>
      <c r="B350" s="2" t="s">
        <v>375</v>
      </c>
      <c r="C350" s="2" t="s">
        <v>2024</v>
      </c>
      <c r="D350" s="2" t="s">
        <v>2025</v>
      </c>
      <c r="E350" s="2" t="s">
        <v>2119</v>
      </c>
      <c r="F350" s="2" t="s">
        <v>2120</v>
      </c>
      <c r="G350" s="2" t="s">
        <v>1956</v>
      </c>
      <c r="H350" s="22" t="str">
        <f>VLOOKUP(E350,'Lista Infomoney'!B:H,2,FALSE)</f>
        <v>SANB4F</v>
      </c>
      <c r="I350" s="22" t="str">
        <f>VLOOKUP(E350,'Lista Infomoney'!B:F,3,FALSE)</f>
        <v>SANB3F</v>
      </c>
      <c r="J350" s="22" t="str">
        <f>VLOOKUP(E350,'Lista Infomoney'!B:F,4,FALSE)</f>
        <v>SANB11F</v>
      </c>
      <c r="K350" s="22" t="str">
        <f>VLOOKUP(E350,'Lista Infomoney'!B:F,5,FALSE)</f>
        <v>SANB4</v>
      </c>
      <c r="L350" s="2" t="s">
        <v>463</v>
      </c>
      <c r="M350" s="2" t="s">
        <v>461</v>
      </c>
      <c r="V350" s="6" t="str">
        <f>H350&amp;" OR "&amp;I350&amp;" OR "&amp;J350&amp;" OR "&amp;K350&amp;" OR "&amp;L350&amp;" OR "&amp;M350</f>
        <v>SANB4F OR SANB3F OR SANB11F OR SANB4 OR SANB3 OR SANB11F</v>
      </c>
      <c r="W35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v>
      </c>
      <c r="Z350" s="6" t="str">
        <f t="shared" si="56"/>
        <v>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v>
      </c>
    </row>
    <row r="351">
      <c r="A351" s="2">
        <v>2.0</v>
      </c>
      <c r="B351" s="2" t="s">
        <v>375</v>
      </c>
      <c r="C351" s="2" t="s">
        <v>2024</v>
      </c>
      <c r="D351" s="2" t="s">
        <v>2121</v>
      </c>
      <c r="E351" s="2" t="s">
        <v>2122</v>
      </c>
      <c r="F351" s="2" t="s">
        <v>2123</v>
      </c>
      <c r="G351" s="2"/>
      <c r="H351" s="2" t="s">
        <v>2124</v>
      </c>
      <c r="I351" s="2" t="s">
        <v>2125</v>
      </c>
      <c r="J351" s="2" t="s">
        <v>2126</v>
      </c>
      <c r="K351" s="2" t="s">
        <v>2127</v>
      </c>
      <c r="V351" s="6" t="str">
        <f>H351&amp;" OR "&amp;I351&amp;" OR "&amp;J351&amp;" OR "&amp;K351</f>
        <v>CRIV3 OR CRIV4 OR CRIV3F OR CRIV4F</v>
      </c>
      <c r="W35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v>
      </c>
      <c r="AA351" s="6" t="str">
        <f>V351&amp;" OR "&amp;V352</f>
        <v>CRIV3 OR CRIV4 OR CRIV3F OR CRIV4F OR FNCN3 OR FNCN3F</v>
      </c>
    </row>
    <row r="352">
      <c r="A352" s="2">
        <v>2.0</v>
      </c>
      <c r="B352" s="2" t="s">
        <v>375</v>
      </c>
      <c r="C352" s="2" t="s">
        <v>2024</v>
      </c>
      <c r="D352" s="2" t="s">
        <v>2121</v>
      </c>
      <c r="E352" s="2" t="s">
        <v>2128</v>
      </c>
      <c r="F352" s="2" t="s">
        <v>2129</v>
      </c>
      <c r="G352" s="2"/>
      <c r="H352" s="2" t="s">
        <v>2130</v>
      </c>
      <c r="I352" s="2" t="s">
        <v>2131</v>
      </c>
      <c r="V352" s="6" t="str">
        <f>H352&amp;" OR "&amp;I352</f>
        <v>FNCN3 OR FNCN3F</v>
      </c>
      <c r="W35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v>
      </c>
      <c r="AA352" s="6" t="str">
        <f t="shared" ref="AA352:AA452" si="72">AA351&amp;" OR "&amp;V353</f>
        <v>CRIV3 OR CRIV4 OR CRIV3F OR CRIV4F OR FNCN3 OR FNCN3F OR MERC4 OR MERC3 OR MERC3F OR MERC4F</v>
      </c>
    </row>
    <row r="353">
      <c r="A353" s="2">
        <v>1.0</v>
      </c>
      <c r="B353" s="2" t="s">
        <v>375</v>
      </c>
      <c r="C353" s="2" t="s">
        <v>2024</v>
      </c>
      <c r="D353" s="2" t="s">
        <v>2121</v>
      </c>
      <c r="E353" s="2" t="s">
        <v>477</v>
      </c>
      <c r="F353" s="2" t="s">
        <v>2132</v>
      </c>
      <c r="G353" s="2" t="s">
        <v>1956</v>
      </c>
      <c r="H353" s="22" t="str">
        <f>VLOOKUP(E353,'Lista Infomoney'!B:H,2,FALSE)</f>
        <v>MERC4</v>
      </c>
      <c r="I353" s="2" t="s">
        <v>2133</v>
      </c>
      <c r="J353" s="2" t="s">
        <v>2134</v>
      </c>
      <c r="K353" s="2" t="s">
        <v>2135</v>
      </c>
      <c r="V353" s="6" t="str">
        <f>H353&amp;" OR "&amp;I353&amp;" OR "&amp;J353&amp;" OR "&amp;K353</f>
        <v>MERC4 OR MERC3 OR MERC3F OR MERC4F</v>
      </c>
      <c r="W35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v>
      </c>
      <c r="AA353" s="6" t="str">
        <f t="shared" si="72"/>
        <v>CRIV3 OR CRIV4 OR CRIV3F OR CRIV4F OR FNCN3 OR FNCN3F OR MERC4 OR MERC3 OR MERC3F OR MERC4F OR BDLS</v>
      </c>
    </row>
    <row r="354">
      <c r="A354" s="2">
        <v>2.0</v>
      </c>
      <c r="B354" s="2" t="s">
        <v>375</v>
      </c>
      <c r="C354" s="2" t="s">
        <v>2024</v>
      </c>
      <c r="D354" s="2" t="s">
        <v>2136</v>
      </c>
      <c r="E354" s="2" t="s">
        <v>2137</v>
      </c>
      <c r="F354" s="24" t="s">
        <v>2138</v>
      </c>
      <c r="G354" s="2"/>
      <c r="H354" s="6" t="s">
        <v>2138</v>
      </c>
      <c r="V354" s="6" t="str">
        <f t="shared" ref="V354:V371" si="73">H354</f>
        <v>BDLS</v>
      </c>
      <c r="W35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v>
      </c>
      <c r="AA354" s="6" t="str">
        <f t="shared" si="72"/>
        <v>CRIV3 OR CRIV4 OR CRIV3F OR CRIV4F OR FNCN3 OR FNCN3F OR MERC4 OR MERC3 OR MERC3F OR MERC4F OR BDLS OR DBEN</v>
      </c>
    </row>
    <row r="355">
      <c r="A355" s="2">
        <v>2.0</v>
      </c>
      <c r="B355" s="2" t="s">
        <v>375</v>
      </c>
      <c r="C355" s="2" t="s">
        <v>2024</v>
      </c>
      <c r="D355" s="2" t="s">
        <v>2136</v>
      </c>
      <c r="E355" s="2" t="s">
        <v>2139</v>
      </c>
      <c r="F355" s="24" t="s">
        <v>2140</v>
      </c>
      <c r="G355" s="2"/>
      <c r="H355" s="6" t="s">
        <v>2140</v>
      </c>
      <c r="V355" s="6" t="str">
        <f t="shared" si="73"/>
        <v>DBEN</v>
      </c>
      <c r="W35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v>
      </c>
      <c r="AA355" s="6" t="str">
        <f t="shared" si="72"/>
        <v>CRIV3 OR CRIV4 OR CRIV3F OR CRIV4F OR FNCN3 OR FNCN3F OR MERC4 OR MERC3 OR MERC3F OR MERC4F OR BDLS OR DBEN OR BZRS</v>
      </c>
    </row>
    <row r="356">
      <c r="A356" s="2">
        <v>2.0</v>
      </c>
      <c r="B356" s="2" t="s">
        <v>375</v>
      </c>
      <c r="C356" s="2" t="s">
        <v>2141</v>
      </c>
      <c r="D356" s="2" t="s">
        <v>2141</v>
      </c>
      <c r="E356" s="2" t="s">
        <v>2142</v>
      </c>
      <c r="F356" s="24" t="s">
        <v>2143</v>
      </c>
      <c r="G356" s="2"/>
      <c r="H356" s="6" t="s">
        <v>2143</v>
      </c>
      <c r="V356" s="6" t="str">
        <f t="shared" si="73"/>
        <v>BZRS</v>
      </c>
      <c r="W35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v>
      </c>
      <c r="AA356" s="6" t="str">
        <f t="shared" si="72"/>
        <v>CRIV3 OR CRIV4 OR CRIV3F OR CRIV4F OR FNCN3 OR FNCN3F OR MERC4 OR MERC3 OR MERC3F OR MERC4F OR BDLS OR DBEN OR BZRS OR BSCS</v>
      </c>
    </row>
    <row r="357">
      <c r="A357" s="2">
        <v>2.0</v>
      </c>
      <c r="B357" s="2" t="s">
        <v>375</v>
      </c>
      <c r="C357" s="2" t="s">
        <v>2141</v>
      </c>
      <c r="D357" s="2" t="s">
        <v>2141</v>
      </c>
      <c r="E357" s="2" t="s">
        <v>2144</v>
      </c>
      <c r="F357" s="2" t="s">
        <v>2145</v>
      </c>
      <c r="G357" s="2"/>
      <c r="H357" s="2" t="s">
        <v>2145</v>
      </c>
      <c r="I357" s="28"/>
      <c r="J357" s="28"/>
      <c r="V357" s="6" t="str">
        <f t="shared" si="73"/>
        <v>BSCS</v>
      </c>
      <c r="W35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v>
      </c>
      <c r="AA357" s="6" t="str">
        <f t="shared" si="72"/>
        <v>CRIV3 OR CRIV4 OR CRIV3F OR CRIV4F OR FNCN3 OR FNCN3F OR MERC4 OR MERC3 OR MERC3F OR MERC4F OR BDLS OR DBEN OR BZRS OR BSCS OR WTVR</v>
      </c>
    </row>
    <row r="358">
      <c r="A358" s="2">
        <v>2.0</v>
      </c>
      <c r="B358" s="2" t="s">
        <v>375</v>
      </c>
      <c r="C358" s="2" t="s">
        <v>2141</v>
      </c>
      <c r="D358" s="2" t="s">
        <v>2141</v>
      </c>
      <c r="E358" s="2" t="s">
        <v>2146</v>
      </c>
      <c r="F358" s="2" t="s">
        <v>2147</v>
      </c>
      <c r="G358" s="2"/>
      <c r="H358" s="2" t="s">
        <v>2147</v>
      </c>
      <c r="V358" s="6" t="str">
        <f t="shared" si="73"/>
        <v>WTVR</v>
      </c>
      <c r="W35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v>
      </c>
      <c r="AA358" s="6" t="str">
        <f t="shared" si="72"/>
        <v>CRIV3 OR CRIV4 OR CRIV3F OR CRIV4F OR FNCN3 OR FNCN3F OR MERC4 OR MERC3 OR MERC3F OR MERC4F OR BDLS OR DBEN OR BZRS OR BSCS OR WTVR OR CBSC</v>
      </c>
    </row>
    <row r="359">
      <c r="A359" s="2">
        <v>2.0</v>
      </c>
      <c r="B359" s="2" t="s">
        <v>375</v>
      </c>
      <c r="C359" s="2" t="s">
        <v>2141</v>
      </c>
      <c r="D359" s="2" t="s">
        <v>2141</v>
      </c>
      <c r="E359" s="2" t="s">
        <v>2148</v>
      </c>
      <c r="F359" s="2" t="s">
        <v>2149</v>
      </c>
      <c r="G359" s="2"/>
      <c r="H359" s="2" t="s">
        <v>2149</v>
      </c>
      <c r="V359" s="6" t="str">
        <f t="shared" si="73"/>
        <v>CBSC</v>
      </c>
      <c r="W35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v>
      </c>
      <c r="AA359" s="6" t="str">
        <f t="shared" si="72"/>
        <v>CRIV3 OR CRIV4 OR CRIV3F OR CRIV4F OR FNCN3 OR FNCN3F OR MERC4 OR MERC3 OR MERC3F OR MERC4F OR BDLS OR DBEN OR BZRS OR BSCS OR WTVR OR CBSC OR ECOA</v>
      </c>
    </row>
    <row r="360">
      <c r="A360" s="2">
        <v>2.0</v>
      </c>
      <c r="B360" s="2" t="s">
        <v>375</v>
      </c>
      <c r="C360" s="2" t="s">
        <v>2141</v>
      </c>
      <c r="D360" s="2" t="s">
        <v>2141</v>
      </c>
      <c r="E360" s="2" t="s">
        <v>2150</v>
      </c>
      <c r="F360" s="2" t="s">
        <v>2151</v>
      </c>
      <c r="G360" s="2" t="s">
        <v>1032</v>
      </c>
      <c r="H360" s="2" t="s">
        <v>2151</v>
      </c>
      <c r="V360" s="6" t="str">
        <f t="shared" si="73"/>
        <v>ECOA</v>
      </c>
      <c r="W36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v>
      </c>
      <c r="AA360" s="6" t="str">
        <f t="shared" si="72"/>
        <v>CRIV3 OR CRIV4 OR CRIV3F OR CRIV4F OR FNCN3 OR FNCN3F OR MERC4 OR MERC3 OR MERC3F OR MERC4F OR BDLS OR DBEN OR BZRS OR BSCS OR WTVR OR CBSC OR ECOA OR GAFL</v>
      </c>
    </row>
    <row r="361">
      <c r="A361" s="2">
        <v>2.0</v>
      </c>
      <c r="B361" s="2" t="s">
        <v>375</v>
      </c>
      <c r="C361" s="2" t="s">
        <v>2141</v>
      </c>
      <c r="D361" s="2" t="s">
        <v>2141</v>
      </c>
      <c r="E361" s="2" t="s">
        <v>2152</v>
      </c>
      <c r="F361" s="2" t="s">
        <v>2153</v>
      </c>
      <c r="G361" s="2"/>
      <c r="H361" s="2" t="s">
        <v>2153</v>
      </c>
      <c r="V361" s="6" t="str">
        <f t="shared" si="73"/>
        <v>GAFL</v>
      </c>
      <c r="W36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v>
      </c>
      <c r="AA361" s="6" t="str">
        <f t="shared" si="72"/>
        <v>CRIV3 OR CRIV4 OR CRIV3F OR CRIV4F OR FNCN3 OR FNCN3F OR MERC4 OR MERC3 OR MERC3F OR MERC4F OR BDLS OR DBEN OR BZRS OR BSCS OR WTVR OR CBSC OR ECOA OR GAFL OR GAIA</v>
      </c>
    </row>
    <row r="362">
      <c r="A362" s="2">
        <v>2.0</v>
      </c>
      <c r="B362" s="2" t="s">
        <v>375</v>
      </c>
      <c r="C362" s="2" t="s">
        <v>2141</v>
      </c>
      <c r="D362" s="2" t="s">
        <v>2141</v>
      </c>
      <c r="E362" s="2" t="s">
        <v>2154</v>
      </c>
      <c r="F362" s="24" t="s">
        <v>2155</v>
      </c>
      <c r="G362" s="2" t="s">
        <v>1032</v>
      </c>
      <c r="H362" s="6" t="s">
        <v>2155</v>
      </c>
      <c r="V362" s="6" t="str">
        <f t="shared" si="73"/>
        <v>GAIA</v>
      </c>
      <c r="W36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v>
      </c>
      <c r="AA362" s="6" t="str">
        <f t="shared" si="72"/>
        <v>CRIV3 OR CRIV4 OR CRIV3F OR CRIV4F OR FNCN3 OR FNCN3F OR MERC4 OR MERC3 OR MERC3F OR MERC4F OR BDLS OR DBEN OR BZRS OR BSCS OR WTVR OR CBSC OR ECOA OR GAFL OR GAIA OR OCTS</v>
      </c>
    </row>
    <row r="363">
      <c r="A363" s="2">
        <v>2.0</v>
      </c>
      <c r="B363" s="2" t="s">
        <v>375</v>
      </c>
      <c r="C363" s="2" t="s">
        <v>2141</v>
      </c>
      <c r="D363" s="2" t="s">
        <v>2141</v>
      </c>
      <c r="E363" s="2" t="s">
        <v>2156</v>
      </c>
      <c r="F363" s="2" t="s">
        <v>2157</v>
      </c>
      <c r="G363" s="2"/>
      <c r="H363" s="29" t="s">
        <v>2157</v>
      </c>
      <c r="V363" s="6" t="str">
        <f t="shared" si="73"/>
        <v>OCTS</v>
      </c>
      <c r="W36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v>
      </c>
      <c r="AA363" s="6" t="str">
        <f t="shared" si="72"/>
        <v>CRIV3 OR CRIV4 OR CRIV3F OR CRIV4F OR FNCN3 OR FNCN3F OR MERC4 OR MERC3 OR MERC3F OR MERC4F OR BDLS OR DBEN OR BZRS OR BSCS OR WTVR OR CBSC OR ECOA OR GAFL OR GAIA OR OCTS OR PDGS</v>
      </c>
    </row>
    <row r="364">
      <c r="A364" s="2">
        <v>2.0</v>
      </c>
      <c r="B364" s="2" t="s">
        <v>375</v>
      </c>
      <c r="C364" s="2" t="s">
        <v>2141</v>
      </c>
      <c r="D364" s="2" t="s">
        <v>2141</v>
      </c>
      <c r="E364" s="2" t="s">
        <v>2158</v>
      </c>
      <c r="F364" s="2" t="s">
        <v>2159</v>
      </c>
      <c r="G364" s="2"/>
      <c r="H364" s="2" t="s">
        <v>2159</v>
      </c>
      <c r="V364" s="6" t="str">
        <f t="shared" si="73"/>
        <v>PDGS</v>
      </c>
      <c r="W36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v>
      </c>
      <c r="AA364" s="6" t="str">
        <f t="shared" si="72"/>
        <v>CRIV3 OR CRIV4 OR CRIV3F OR CRIV4F OR FNCN3 OR FNCN3F OR MERC4 OR MERC3 OR MERC3F OR MERC4F OR BDLS OR DBEN OR BZRS OR BSCS OR WTVR OR CBSC OR ECOA OR GAFL OR GAIA OR OCTS OR PDGS OR PLSC</v>
      </c>
    </row>
    <row r="365">
      <c r="A365" s="2">
        <v>2.0</v>
      </c>
      <c r="B365" s="2" t="s">
        <v>375</v>
      </c>
      <c r="C365" s="2" t="s">
        <v>2141</v>
      </c>
      <c r="D365" s="2" t="s">
        <v>2141</v>
      </c>
      <c r="E365" s="2" t="s">
        <v>2160</v>
      </c>
      <c r="F365" s="2" t="s">
        <v>2161</v>
      </c>
      <c r="G365" s="2"/>
      <c r="H365" s="2" t="s">
        <v>2161</v>
      </c>
      <c r="V365" s="6" t="str">
        <f t="shared" si="73"/>
        <v>PLSC</v>
      </c>
      <c r="W36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v>
      </c>
      <c r="AA365" s="6" t="str">
        <f t="shared" si="72"/>
        <v>CRIV3 OR CRIV4 OR CRIV3F OR CRIV4F OR FNCN3 OR FNCN3F OR MERC4 OR MERC3 OR MERC3F OR MERC4F OR BDLS OR DBEN OR BZRS OR BSCS OR WTVR OR CBSC OR ECOA OR GAFL OR GAIA OR OCTS OR PDGS OR PLSC OR RBRA</v>
      </c>
    </row>
    <row r="366">
      <c r="A366" s="2">
        <v>2.0</v>
      </c>
      <c r="B366" s="2" t="s">
        <v>375</v>
      </c>
      <c r="C366" s="2" t="s">
        <v>2141</v>
      </c>
      <c r="D366" s="2" t="s">
        <v>2141</v>
      </c>
      <c r="E366" s="2" t="s">
        <v>2162</v>
      </c>
      <c r="F366" s="2" t="s">
        <v>2163</v>
      </c>
      <c r="G366" s="2" t="s">
        <v>1032</v>
      </c>
      <c r="H366" s="2" t="s">
        <v>2163</v>
      </c>
      <c r="V366" s="6" t="str">
        <f t="shared" si="73"/>
        <v>RBRA</v>
      </c>
      <c r="W36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v>
      </c>
      <c r="AA366" s="6" t="str">
        <f t="shared" si="72"/>
        <v>CRIV3 OR CRIV4 OR CRIV3F OR CRIV4F OR FNCN3 OR FNCN3F OR MERC4 OR MERC3 OR MERC3F OR MERC4F OR BDLS OR DBEN OR BZRS OR BSCS OR WTVR OR CBSC OR ECOA OR GAFL OR GAIA OR OCTS OR PDGS OR PLSC OR RBRA OR APCS</v>
      </c>
    </row>
    <row r="367">
      <c r="A367" s="2">
        <v>2.0</v>
      </c>
      <c r="B367" s="2" t="s">
        <v>375</v>
      </c>
      <c r="C367" s="2" t="s">
        <v>2141</v>
      </c>
      <c r="D367" s="2" t="s">
        <v>2141</v>
      </c>
      <c r="E367" s="2" t="s">
        <v>2164</v>
      </c>
      <c r="F367" s="2" t="s">
        <v>2165</v>
      </c>
      <c r="G367" s="2"/>
      <c r="H367" s="2" t="s">
        <v>2165</v>
      </c>
      <c r="V367" s="6" t="str">
        <f t="shared" si="73"/>
        <v>APCS</v>
      </c>
      <c r="W36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v>
      </c>
      <c r="AA367" s="6" t="str">
        <f t="shared" si="72"/>
        <v>CRIV3 OR CRIV4 OR CRIV3F OR CRIV4F OR FNCN3 OR FNCN3F OR MERC4 OR MERC3 OR MERC3F OR MERC4F OR BDLS OR DBEN OR BZRS OR BSCS OR WTVR OR CBSC OR ECOA OR GAFL OR GAIA OR OCTS OR PDGS OR PLSC OR RBRA OR APCS OR VERT</v>
      </c>
    </row>
    <row r="368">
      <c r="A368" s="2">
        <v>2.0</v>
      </c>
      <c r="B368" s="2" t="s">
        <v>375</v>
      </c>
      <c r="C368" s="2" t="s">
        <v>2141</v>
      </c>
      <c r="D368" s="2" t="s">
        <v>2141</v>
      </c>
      <c r="E368" s="2" t="s">
        <v>2166</v>
      </c>
      <c r="F368" s="2" t="s">
        <v>2167</v>
      </c>
      <c r="G368" s="2"/>
      <c r="H368" s="2" t="s">
        <v>2167</v>
      </c>
      <c r="V368" s="6" t="str">
        <f t="shared" si="73"/>
        <v>VERT</v>
      </c>
      <c r="W36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v>
      </c>
      <c r="AA368" s="6" t="str">
        <f t="shared" si="72"/>
        <v>CRIV3 OR CRIV4 OR CRIV3F OR CRIV4F OR FNCN3 OR FNCN3F OR MERC4 OR MERC3 OR MERC3F OR MERC4F OR BDLS OR DBEN OR BZRS OR BSCS OR WTVR OR CBSC OR ECOA OR GAFL OR GAIA OR OCTS OR PDGS OR PLSC OR RBRA OR APCS OR VERT OR WTPI</v>
      </c>
    </row>
    <row r="369">
      <c r="A369" s="2">
        <v>2.0</v>
      </c>
      <c r="B369" s="2" t="s">
        <v>375</v>
      </c>
      <c r="C369" s="2" t="s">
        <v>2141</v>
      </c>
      <c r="D369" s="2" t="s">
        <v>2141</v>
      </c>
      <c r="E369" s="2" t="s">
        <v>2168</v>
      </c>
      <c r="F369" s="24" t="s">
        <v>2169</v>
      </c>
      <c r="G369" s="2"/>
      <c r="H369" s="6" t="s">
        <v>2169</v>
      </c>
      <c r="V369" s="6" t="str">
        <f t="shared" si="73"/>
        <v>WTPI</v>
      </c>
      <c r="W36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v>
      </c>
      <c r="AA369" s="6" t="str">
        <f t="shared" si="72"/>
        <v>CRIV3 OR CRIV4 OR CRIV3F OR CRIV4F OR FNCN3 OR FNCN3F OR MERC4 OR MERC3 OR MERC3F OR MERC4F OR BDLS OR DBEN OR BZRS OR BSCS OR WTVR OR CBSC OR ECOA OR GAFL OR GAIA OR OCTS OR PDGS OR PLSC OR RBRA OR APCS OR VERT OR WTPI OR BNDP</v>
      </c>
    </row>
    <row r="370">
      <c r="A370" s="2">
        <v>2.0</v>
      </c>
      <c r="B370" s="2" t="s">
        <v>375</v>
      </c>
      <c r="C370" s="2" t="s">
        <v>2170</v>
      </c>
      <c r="D370" s="2" t="s">
        <v>2171</v>
      </c>
      <c r="E370" s="2" t="s">
        <v>2172</v>
      </c>
      <c r="F370" s="24" t="s">
        <v>2173</v>
      </c>
      <c r="G370" s="2" t="s">
        <v>1032</v>
      </c>
      <c r="H370" s="6" t="s">
        <v>2173</v>
      </c>
      <c r="V370" s="6" t="str">
        <f t="shared" si="73"/>
        <v>BNDP</v>
      </c>
      <c r="W37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v>
      </c>
      <c r="AA370" s="6" t="str">
        <f t="shared" si="72"/>
        <v>CRIV3 OR CRIV4 OR CRIV3F OR CRIV4F OR FNCN3 OR FNCN3F OR MERC4 OR MERC3 OR MERC3F OR MERC4F OR BDLS OR DBEN OR BZRS OR BSCS OR WTVR OR CBSC OR ECOA OR GAFL OR GAIA OR OCTS OR PDGS OR PLSC OR RBRA OR APCS OR VERT OR WTPI OR BNDP OR BFRE</v>
      </c>
    </row>
    <row r="371">
      <c r="A371" s="2">
        <v>2.0</v>
      </c>
      <c r="B371" s="2" t="s">
        <v>375</v>
      </c>
      <c r="C371" s="2" t="s">
        <v>2170</v>
      </c>
      <c r="D371" s="2" t="s">
        <v>2171</v>
      </c>
      <c r="E371" s="2" t="s">
        <v>2174</v>
      </c>
      <c r="F371" s="24" t="s">
        <v>2175</v>
      </c>
      <c r="G371" s="2"/>
      <c r="H371" s="6" t="s">
        <v>2175</v>
      </c>
      <c r="V371" s="6" t="str">
        <f t="shared" si="73"/>
        <v>BFRE</v>
      </c>
      <c r="W37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v>
      </c>
      <c r="AA371" s="6" t="str">
        <f t="shared" si="72"/>
        <v>CRIV3 OR CRIV4 OR CRIV3F OR CRIV4F OR FNCN3 OR FNCN3F OR MERC4 OR MERC3 OR MERC3F OR MERC4F OR BDLS OR DBEN OR BZRS OR BSCS OR WTVR OR CBSC OR ECOA OR GAFL OR GAIA OR OCTS OR PDGS OR PLSC OR RBRA OR APCS OR VERT OR WTPI OR BNDP OR BFRE OR GPIV33 OR GPIV33F</v>
      </c>
    </row>
    <row r="372">
      <c r="A372" s="2">
        <v>2.0</v>
      </c>
      <c r="B372" s="2" t="s">
        <v>375</v>
      </c>
      <c r="C372" s="2" t="s">
        <v>2170</v>
      </c>
      <c r="D372" s="2" t="s">
        <v>2171</v>
      </c>
      <c r="E372" s="2" t="s">
        <v>2176</v>
      </c>
      <c r="F372" s="2" t="s">
        <v>2177</v>
      </c>
      <c r="G372" s="2" t="s">
        <v>1401</v>
      </c>
      <c r="H372" s="2" t="s">
        <v>2178</v>
      </c>
      <c r="I372" s="2" t="s">
        <v>2179</v>
      </c>
      <c r="V372" s="6" t="str">
        <f>H372&amp;" OR "&amp;I372</f>
        <v>GPIV33 OR GPIV33F</v>
      </c>
      <c r="W37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v>
      </c>
      <c r="AA372" s="6" t="str">
        <f t="shared" si="72"/>
        <v>CRIV3 OR CRIV4 OR CRIV3F OR CRIV4F OR FNCN3 OR FNCN3F OR MERC4 OR MERC3 OR MERC3F OR MERC4F OR BDLS OR DBEN OR BZRS OR BSCS OR WTVR OR CBSC OR ECOA OR GAFL OR GAIA OR OCTS OR PDGS OR PLSC OR RBRA OR APCS OR VERT OR WTPI OR BNDP OR BFRE OR GPIV33 OR GPIV33F OR PDTC3</v>
      </c>
    </row>
    <row r="373">
      <c r="A373" s="2">
        <v>2.0</v>
      </c>
      <c r="B373" s="2" t="s">
        <v>375</v>
      </c>
      <c r="C373" s="2" t="s">
        <v>2170</v>
      </c>
      <c r="D373" s="2" t="s">
        <v>2171</v>
      </c>
      <c r="E373" s="2" t="s">
        <v>2180</v>
      </c>
      <c r="F373" s="2" t="s">
        <v>2181</v>
      </c>
      <c r="G373" s="2"/>
      <c r="H373" s="2" t="s">
        <v>2182</v>
      </c>
      <c r="V373" s="6" t="str">
        <f>H373</f>
        <v>PDTC3</v>
      </c>
      <c r="W37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v>
      </c>
      <c r="AA373" s="6" t="str">
        <f t="shared" si="72"/>
        <v>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v>
      </c>
    </row>
    <row r="374">
      <c r="A374" s="2">
        <v>2.0</v>
      </c>
      <c r="B374" s="2" t="s">
        <v>375</v>
      </c>
      <c r="C374" s="2" t="s">
        <v>2170</v>
      </c>
      <c r="D374" s="2" t="s">
        <v>2171</v>
      </c>
      <c r="E374" s="2" t="s">
        <v>2183</v>
      </c>
      <c r="F374" s="2" t="s">
        <v>2183</v>
      </c>
      <c r="G374" s="2" t="s">
        <v>1401</v>
      </c>
      <c r="H374" s="2" t="s">
        <v>2184</v>
      </c>
      <c r="I374" s="2" t="s">
        <v>2185</v>
      </c>
      <c r="V374" s="6" t="str">
        <f>H374&amp;" OR "&amp;I374</f>
        <v>PPLA11 OR PPLA11F</v>
      </c>
      <c r="W37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v>
      </c>
      <c r="AA374" s="6" t="str">
        <f t="shared" si="72"/>
        <v>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v>
      </c>
    </row>
    <row r="375">
      <c r="A375" s="2">
        <v>2.0</v>
      </c>
      <c r="B375" s="2" t="s">
        <v>375</v>
      </c>
      <c r="C375" s="2" t="s">
        <v>2170</v>
      </c>
      <c r="D375" s="2" t="s">
        <v>2170</v>
      </c>
      <c r="E375" s="2" t="s">
        <v>2186</v>
      </c>
      <c r="F375" s="2" t="s">
        <v>2187</v>
      </c>
      <c r="G375" s="2" t="s">
        <v>1001</v>
      </c>
      <c r="H375" s="2" t="s">
        <v>2188</v>
      </c>
      <c r="V375" s="6" t="str">
        <f t="shared" ref="V375:V376" si="74">H375</f>
        <v>B3SA3</v>
      </c>
      <c r="W37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v>
      </c>
      <c r="AA375" s="6" t="str">
        <f t="shared" si="72"/>
        <v>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v>
      </c>
    </row>
    <row r="376">
      <c r="A376" s="2">
        <v>1.0</v>
      </c>
      <c r="B376" s="2" t="s">
        <v>375</v>
      </c>
      <c r="C376" s="2" t="s">
        <v>2170</v>
      </c>
      <c r="D376" s="2" t="s">
        <v>2170</v>
      </c>
      <c r="E376" s="2" t="s">
        <v>2189</v>
      </c>
      <c r="F376" s="2" t="s">
        <v>2190</v>
      </c>
      <c r="G376" s="2" t="s">
        <v>1001</v>
      </c>
      <c r="H376" s="22" t="str">
        <f>VLOOKUP(E376,'Lista Infomoney'!B:H,2,FALSE)</f>
        <v>BOAS3</v>
      </c>
      <c r="I376" s="6" t="str">
        <f>VLOOKUP(E376,'Lista Infomoney'!B:F,3,FALSE)</f>
        <v/>
      </c>
      <c r="J376" s="6" t="str">
        <f>VLOOKUP(E376,'Lista Infomoney'!B:F,4,FALSE)</f>
        <v/>
      </c>
      <c r="K376" s="6" t="str">
        <f>VLOOKUP(E376,'Lista Infomoney'!B:F,5,FALSE)</f>
        <v/>
      </c>
      <c r="V376" s="22" t="str">
        <f t="shared" si="74"/>
        <v>BOAS3</v>
      </c>
      <c r="W37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v>
      </c>
      <c r="AA376" s="6" t="str">
        <f t="shared" si="72"/>
        <v>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v>
      </c>
    </row>
    <row r="377">
      <c r="A377" s="2">
        <v>2.0</v>
      </c>
      <c r="B377" s="2" t="s">
        <v>375</v>
      </c>
      <c r="C377" s="2" t="s">
        <v>2170</v>
      </c>
      <c r="D377" s="2" t="s">
        <v>2170</v>
      </c>
      <c r="E377" s="2" t="s">
        <v>2191</v>
      </c>
      <c r="F377" s="2" t="s">
        <v>2192</v>
      </c>
      <c r="G377" s="2" t="s">
        <v>1001</v>
      </c>
      <c r="H377" s="2" t="s">
        <v>2193</v>
      </c>
      <c r="I377" s="2" t="s">
        <v>2194</v>
      </c>
      <c r="V377" s="6" t="str">
        <f>H377&amp;" OR "&amp;I377</f>
        <v>CIEL3 OR CIEL3F</v>
      </c>
      <c r="W37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v>
      </c>
      <c r="AA377" s="6" t="str">
        <f t="shared" si="72"/>
        <v>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v>
      </c>
    </row>
    <row r="378">
      <c r="A378" s="2">
        <v>2.0</v>
      </c>
      <c r="B378" s="2" t="s">
        <v>375</v>
      </c>
      <c r="C378" s="2" t="s">
        <v>2195</v>
      </c>
      <c r="D378" s="2" t="s">
        <v>2196</v>
      </c>
      <c r="E378" s="2" t="s">
        <v>2197</v>
      </c>
      <c r="F378" s="2" t="s">
        <v>2198</v>
      </c>
      <c r="G378" s="2"/>
      <c r="H378" s="2" t="s">
        <v>2199</v>
      </c>
      <c r="I378" s="2" t="s">
        <v>2200</v>
      </c>
      <c r="J378" s="2" t="s">
        <v>2201</v>
      </c>
      <c r="K378" s="2" t="s">
        <v>2202</v>
      </c>
      <c r="L378" s="2" t="s">
        <v>2203</v>
      </c>
      <c r="M378" s="2" t="s">
        <v>2204</v>
      </c>
      <c r="N378" s="2" t="s">
        <v>2205</v>
      </c>
      <c r="O378" s="2" t="s">
        <v>2514</v>
      </c>
      <c r="P378" s="2" t="s">
        <v>2515</v>
      </c>
      <c r="Q378" s="2" t="s">
        <v>2516</v>
      </c>
      <c r="R378" s="2" t="s">
        <v>2517</v>
      </c>
      <c r="S378" s="2" t="s">
        <v>2518</v>
      </c>
      <c r="T378" s="2" t="s">
        <v>2519</v>
      </c>
      <c r="U378" s="2" t="s">
        <v>2520</v>
      </c>
      <c r="V378" s="6" t="str">
        <f>H378&amp;" OR "&amp;I378&amp;" OR "&amp;J378&amp;" OR "&amp;K378&amp;" OR "&amp;L378&amp;" OR "&amp;M378&amp;" OR "&amp;N378&amp;" OR "&amp;O378&amp;" OR "&amp;P378&amp;" OR "&amp;Q378&amp;" OR "&amp;R378&amp;" OR "&amp;S378&amp;" OR "&amp;T378&amp;" OR "&amp;U378</f>
        <v>BRGE11 OR BRGE12 OR BRGE3 OR BRGE5 OR BRGE6 OR BRGE7 OR BRGE8 OR BRGE11F OR BRGE12F OR BRGE3F OR BRGE5F OR BRGE6F OR BRGE7F OR BRGE8F</v>
      </c>
      <c r="W37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v>
      </c>
      <c r="AA378" s="6" t="str">
        <f t="shared" si="72"/>
        <v>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v>
      </c>
    </row>
    <row r="379">
      <c r="A379" s="2">
        <v>2.0</v>
      </c>
      <c r="B379" s="2" t="s">
        <v>375</v>
      </c>
      <c r="C379" s="2" t="s">
        <v>2195</v>
      </c>
      <c r="D379" s="2" t="s">
        <v>2196</v>
      </c>
      <c r="E379" s="2" t="s">
        <v>2207</v>
      </c>
      <c r="F379" s="2" t="s">
        <v>2208</v>
      </c>
      <c r="G379" s="2" t="s">
        <v>1001</v>
      </c>
      <c r="H379" s="2" t="s">
        <v>499</v>
      </c>
      <c r="I379" s="2" t="s">
        <v>2209</v>
      </c>
      <c r="V379" s="6" t="str">
        <f t="shared" ref="V379:V381" si="75">H379&amp;" OR "&amp;I379</f>
        <v>BBSE3 OR BBSE3F</v>
      </c>
      <c r="W37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v>
      </c>
      <c r="AA379" s="6" t="str">
        <f t="shared" si="72"/>
        <v>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v>
      </c>
    </row>
    <row r="380">
      <c r="A380" s="2">
        <v>1.0</v>
      </c>
      <c r="B380" s="2" t="s">
        <v>375</v>
      </c>
      <c r="C380" s="2" t="s">
        <v>2195</v>
      </c>
      <c r="D380" s="2" t="s">
        <v>2196</v>
      </c>
      <c r="E380" s="2" t="s">
        <v>485</v>
      </c>
      <c r="F380" s="2" t="s">
        <v>2210</v>
      </c>
      <c r="G380" s="2" t="s">
        <v>1001</v>
      </c>
      <c r="H380" s="22" t="str">
        <f>VLOOKUP(E380,'Lista Infomoney'!B:H,2,FALSE)</f>
        <v>IRBR3</v>
      </c>
      <c r="I380" s="2" t="s">
        <v>2211</v>
      </c>
      <c r="J380" s="6" t="str">
        <f>VLOOKUP(E380,'Lista Infomoney'!B:F,4,FALSE)</f>
        <v/>
      </c>
      <c r="K380" s="6" t="str">
        <f>VLOOKUP(E380,'Lista Infomoney'!B:F,5,FALSE)</f>
        <v/>
      </c>
      <c r="V380" s="6" t="str">
        <f t="shared" si="75"/>
        <v>IRBR3 OR IRBR3F</v>
      </c>
      <c r="W38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v>
      </c>
      <c r="AA380" s="6" t="str">
        <f t="shared" si="72"/>
        <v>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v>
      </c>
    </row>
    <row r="381">
      <c r="A381" s="2">
        <v>1.0</v>
      </c>
      <c r="B381" s="2" t="s">
        <v>375</v>
      </c>
      <c r="C381" s="2" t="s">
        <v>2195</v>
      </c>
      <c r="D381" s="2" t="s">
        <v>2196</v>
      </c>
      <c r="E381" s="2" t="s">
        <v>2212</v>
      </c>
      <c r="F381" s="2" t="s">
        <v>2213</v>
      </c>
      <c r="G381" s="2" t="s">
        <v>1001</v>
      </c>
      <c r="H381" s="22" t="str">
        <f>VLOOKUP(E381,'Lista Infomoney'!B:H,2,FALSE)</f>
        <v>PSSA3F</v>
      </c>
      <c r="I381" s="22" t="str">
        <f>VLOOKUP(E381,'Lista Infomoney'!B:F,3,FALSE)</f>
        <v>PSSA3</v>
      </c>
      <c r="J381" s="6" t="str">
        <f>VLOOKUP(E381,'Lista Infomoney'!B:F,4,FALSE)</f>
        <v/>
      </c>
      <c r="K381" s="6" t="str">
        <f>VLOOKUP(E381,'Lista Infomoney'!B:F,5,FALSE)</f>
        <v/>
      </c>
      <c r="V381" s="6" t="str">
        <f t="shared" si="75"/>
        <v>PSSA3F OR PSSA3</v>
      </c>
      <c r="W38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v>
      </c>
      <c r="AA381" s="6" t="str">
        <f t="shared" si="72"/>
        <v>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v>
      </c>
    </row>
    <row r="382">
      <c r="A382" s="2">
        <v>2.0</v>
      </c>
      <c r="B382" s="2" t="s">
        <v>375</v>
      </c>
      <c r="C382" s="2" t="s">
        <v>2195</v>
      </c>
      <c r="D382" s="2" t="s">
        <v>2196</v>
      </c>
      <c r="E382" s="2" t="s">
        <v>2214</v>
      </c>
      <c r="F382" s="2" t="s">
        <v>2215</v>
      </c>
      <c r="G382" s="2"/>
      <c r="H382" s="2" t="s">
        <v>2216</v>
      </c>
      <c r="I382" s="2" t="s">
        <v>2217</v>
      </c>
      <c r="J382" s="2" t="s">
        <v>2218</v>
      </c>
      <c r="K382" s="2" t="s">
        <v>2219</v>
      </c>
      <c r="V382" s="6" t="str">
        <f>H382&amp;" OR "&amp;I382&amp;" OR "&amp;J382&amp;" OR "&amp;K382</f>
        <v>CSAB3 OR CSAB4 OR CSAB3F OR CSAB4F</v>
      </c>
      <c r="W38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v>
      </c>
      <c r="AA382" s="6" t="str">
        <f t="shared" si="72"/>
        <v>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v>
      </c>
    </row>
    <row r="383">
      <c r="A383" s="2">
        <v>2.0</v>
      </c>
      <c r="B383" s="2" t="s">
        <v>375</v>
      </c>
      <c r="C383" s="2" t="s">
        <v>2195</v>
      </c>
      <c r="D383" s="2" t="s">
        <v>2196</v>
      </c>
      <c r="E383" s="2" t="s">
        <v>2220</v>
      </c>
      <c r="F383" s="2" t="s">
        <v>2221</v>
      </c>
      <c r="G383" s="2" t="s">
        <v>1013</v>
      </c>
      <c r="H383" s="2" t="s">
        <v>2222</v>
      </c>
      <c r="I383" s="2" t="s">
        <v>2223</v>
      </c>
      <c r="J383" s="2" t="s">
        <v>2224</v>
      </c>
      <c r="K383" s="2" t="s">
        <v>2225</v>
      </c>
      <c r="L383" s="2" t="s">
        <v>2226</v>
      </c>
      <c r="M383" s="2" t="s">
        <v>2227</v>
      </c>
      <c r="V383" s="6" t="str">
        <f>H383&amp;" OR "&amp;I383&amp;" OR "&amp;J383&amp;" OR "&amp;K383&amp;" OR "&amp;L383&amp;" OR "&amp;M383</f>
        <v>SULA11 OR SULA3 OR SULA4 OR SULA11F OR SULA3F OR SULA4F</v>
      </c>
      <c r="W38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v>
      </c>
      <c r="AA383" s="6" t="str">
        <f t="shared" si="72"/>
        <v>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v>
      </c>
    </row>
    <row r="384">
      <c r="A384" s="2">
        <v>1.0</v>
      </c>
      <c r="B384" s="2" t="s">
        <v>375</v>
      </c>
      <c r="C384" s="2" t="s">
        <v>2195</v>
      </c>
      <c r="D384" s="2" t="s">
        <v>2228</v>
      </c>
      <c r="E384" s="2" t="s">
        <v>495</v>
      </c>
      <c r="F384" s="2" t="s">
        <v>2229</v>
      </c>
      <c r="G384" s="2" t="s">
        <v>1001</v>
      </c>
      <c r="H384" s="22" t="str">
        <f>VLOOKUP(E384,'Lista Infomoney'!B:H,2,FALSE)</f>
        <v>APER3F</v>
      </c>
      <c r="I384" s="22" t="str">
        <f>VLOOKUP(E384,'Lista Infomoney'!B:F,3,FALSE)</f>
        <v>APER3</v>
      </c>
      <c r="J384" s="6" t="str">
        <f>VLOOKUP(E384,'Lista Infomoney'!B:F,4,FALSE)</f>
        <v/>
      </c>
      <c r="K384" s="6" t="str">
        <f>VLOOKUP(E384,'Lista Infomoney'!B:F,5,FALSE)</f>
        <v/>
      </c>
      <c r="V384" s="6" t="str">
        <f t="shared" ref="V384:V385" si="76">H384&amp;" OR "&amp;I384</f>
        <v>APER3F OR APER3</v>
      </c>
      <c r="W38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v>
      </c>
      <c r="AA384" s="6" t="str">
        <f t="shared" si="72"/>
        <v>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v>
      </c>
    </row>
    <row r="385">
      <c r="A385" s="2">
        <v>2.0</v>
      </c>
      <c r="B385" s="2" t="s">
        <v>375</v>
      </c>
      <c r="C385" s="2" t="s">
        <v>2195</v>
      </c>
      <c r="D385" s="2" t="s">
        <v>2228</v>
      </c>
      <c r="E385" s="2" t="s">
        <v>2230</v>
      </c>
      <c r="F385" s="2" t="s">
        <v>2231</v>
      </c>
      <c r="G385" s="2" t="s">
        <v>1001</v>
      </c>
      <c r="H385" s="2" t="s">
        <v>2232</v>
      </c>
      <c r="I385" s="2" t="s">
        <v>2233</v>
      </c>
      <c r="V385" s="6" t="str">
        <f t="shared" si="76"/>
        <v>WIZS3 OR WIZS3F</v>
      </c>
      <c r="W38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v>
      </c>
      <c r="AA385" s="6" t="str">
        <f t="shared" si="72"/>
        <v>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v>
      </c>
    </row>
    <row r="386">
      <c r="A386" s="2">
        <v>1.0</v>
      </c>
      <c r="B386" s="2" t="s">
        <v>375</v>
      </c>
      <c r="C386" s="2" t="s">
        <v>2234</v>
      </c>
      <c r="D386" s="2" t="s">
        <v>2234</v>
      </c>
      <c r="E386" s="2" t="s">
        <v>473</v>
      </c>
      <c r="F386" s="2" t="s">
        <v>2235</v>
      </c>
      <c r="G386" s="2" t="s">
        <v>1001</v>
      </c>
      <c r="H386" s="22" t="str">
        <f>VLOOKUP(E386,'Lista Infomoney'!B:H,2,FALSE)</f>
        <v>ALSO3</v>
      </c>
      <c r="I386" s="6" t="str">
        <f>VLOOKUP(E386,'Lista Infomoney'!B:F,3,FALSE)</f>
        <v/>
      </c>
      <c r="J386" s="6" t="str">
        <f>VLOOKUP(E386,'Lista Infomoney'!B:F,4,FALSE)</f>
        <v/>
      </c>
      <c r="K386" s="6" t="str">
        <f>VLOOKUP(E386,'Lista Infomoney'!B:F,5,FALSE)</f>
        <v/>
      </c>
      <c r="V386" s="22" t="str">
        <f>H386</f>
        <v>ALSO3</v>
      </c>
      <c r="W38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v>
      </c>
      <c r="AA386" s="6" t="str">
        <f t="shared" si="72"/>
        <v>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v>
      </c>
    </row>
    <row r="387">
      <c r="A387" s="2">
        <v>1.0</v>
      </c>
      <c r="B387" s="2" t="s">
        <v>375</v>
      </c>
      <c r="C387" s="2" t="s">
        <v>2234</v>
      </c>
      <c r="D387" s="2" t="s">
        <v>2234</v>
      </c>
      <c r="E387" s="2" t="s">
        <v>493</v>
      </c>
      <c r="F387" s="2" t="s">
        <v>2236</v>
      </c>
      <c r="G387" s="2" t="s">
        <v>1001</v>
      </c>
      <c r="H387" s="22" t="str">
        <f>VLOOKUP(E387,'Lista Infomoney'!B:H,2,FALSE)</f>
        <v>BRML3</v>
      </c>
      <c r="I387" s="2" t="s">
        <v>2237</v>
      </c>
      <c r="J387" s="6" t="str">
        <f>VLOOKUP(E387,'Lista Infomoney'!B:F,4,FALSE)</f>
        <v/>
      </c>
      <c r="K387" s="6" t="str">
        <f>VLOOKUP(E387,'Lista Infomoney'!B:F,5,FALSE)</f>
        <v/>
      </c>
      <c r="V387" s="6" t="str">
        <f t="shared" ref="V387:V388" si="77">H387&amp;" OR "&amp;I387</f>
        <v>BRML3 OR BRML3F</v>
      </c>
      <c r="W38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v>
      </c>
      <c r="AA387" s="6" t="str">
        <f t="shared" si="72"/>
        <v>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v>
      </c>
    </row>
    <row r="388">
      <c r="A388" s="2">
        <v>1.0</v>
      </c>
      <c r="B388" s="2" t="s">
        <v>375</v>
      </c>
      <c r="C388" s="2" t="s">
        <v>2234</v>
      </c>
      <c r="D388" s="2" t="s">
        <v>2234</v>
      </c>
      <c r="E388" s="2" t="s">
        <v>444</v>
      </c>
      <c r="F388" s="2" t="s">
        <v>2238</v>
      </c>
      <c r="G388" s="2" t="s">
        <v>1001</v>
      </c>
      <c r="H388" s="22" t="str">
        <f>VLOOKUP(E388,'Lista Infomoney'!B:H,2,FALSE)</f>
        <v>BRPR3F</v>
      </c>
      <c r="I388" s="22" t="str">
        <f>VLOOKUP(E388,'Lista Infomoney'!B:F,3,FALSE)</f>
        <v>BRPR3</v>
      </c>
      <c r="J388" s="6" t="str">
        <f>VLOOKUP(E388,'Lista Infomoney'!B:F,4,FALSE)</f>
        <v/>
      </c>
      <c r="K388" s="6" t="str">
        <f>VLOOKUP(E388,'Lista Infomoney'!B:F,5,FALSE)</f>
        <v/>
      </c>
      <c r="V388" s="6" t="str">
        <f t="shared" si="77"/>
        <v>BRPR3F OR BRPR3</v>
      </c>
      <c r="W38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v>
      </c>
      <c r="AA388" s="6" t="str">
        <f t="shared" si="72"/>
        <v>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v>
      </c>
    </row>
    <row r="389">
      <c r="A389" s="2">
        <v>2.0</v>
      </c>
      <c r="B389" s="2" t="s">
        <v>375</v>
      </c>
      <c r="C389" s="2" t="s">
        <v>2234</v>
      </c>
      <c r="D389" s="2" t="s">
        <v>2234</v>
      </c>
      <c r="E389" s="2" t="s">
        <v>2239</v>
      </c>
      <c r="F389" s="2" t="s">
        <v>2240</v>
      </c>
      <c r="G389" s="2"/>
      <c r="H389" s="2" t="s">
        <v>2241</v>
      </c>
      <c r="I389" s="2" t="s">
        <v>2242</v>
      </c>
      <c r="J389" s="2" t="s">
        <v>2243</v>
      </c>
      <c r="K389" s="2" t="s">
        <v>2244</v>
      </c>
      <c r="V389" s="6" t="str">
        <f>H389&amp;" OR "&amp;I389&amp;" OR "&amp;J389&amp;" OR "&amp;K389</f>
        <v>CORR3 OR CORR4 OR CORR3F OR CORR4F</v>
      </c>
      <c r="W38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v>
      </c>
      <c r="AA389" s="6" t="str">
        <f t="shared" si="72"/>
        <v>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v>
      </c>
    </row>
    <row r="390">
      <c r="A390" s="2">
        <v>2.0</v>
      </c>
      <c r="B390" s="2" t="s">
        <v>375</v>
      </c>
      <c r="C390" s="2" t="s">
        <v>2234</v>
      </c>
      <c r="D390" s="2" t="s">
        <v>2234</v>
      </c>
      <c r="E390" s="2" t="s">
        <v>2245</v>
      </c>
      <c r="F390" s="2" t="s">
        <v>2246</v>
      </c>
      <c r="G390" s="2" t="s">
        <v>1001</v>
      </c>
      <c r="H390" s="2" t="s">
        <v>2247</v>
      </c>
      <c r="I390" s="2" t="s">
        <v>2248</v>
      </c>
      <c r="V390" s="6" t="str">
        <f t="shared" ref="V390:V391" si="78">H390&amp;" OR "&amp;I390</f>
        <v>CCPR3 OR CCPR3F</v>
      </c>
      <c r="W39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v>
      </c>
      <c r="AA390" s="6" t="str">
        <f t="shared" si="72"/>
        <v>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v>
      </c>
    </row>
    <row r="391">
      <c r="A391" s="2">
        <v>1.0</v>
      </c>
      <c r="B391" s="2" t="s">
        <v>375</v>
      </c>
      <c r="C391" s="2" t="s">
        <v>2234</v>
      </c>
      <c r="D391" s="2" t="s">
        <v>2234</v>
      </c>
      <c r="E391" s="2" t="s">
        <v>432</v>
      </c>
      <c r="F391" s="2" t="s">
        <v>2249</v>
      </c>
      <c r="G391" s="2" t="s">
        <v>1001</v>
      </c>
      <c r="H391" s="22" t="str">
        <f>VLOOKUP(E391,'Lista Infomoney'!B:H,2,FALSE)</f>
        <v>GSHP3F</v>
      </c>
      <c r="I391" s="22" t="str">
        <f>VLOOKUP(E391,'Lista Infomoney'!B:F,3,FALSE)</f>
        <v>GSHP3</v>
      </c>
      <c r="J391" s="6" t="str">
        <f>VLOOKUP(E391,'Lista Infomoney'!B:F,4,FALSE)</f>
        <v/>
      </c>
      <c r="K391" s="6" t="str">
        <f>VLOOKUP(E391,'Lista Infomoney'!B:F,5,FALSE)</f>
        <v/>
      </c>
      <c r="V391" s="6" t="str">
        <f t="shared" si="78"/>
        <v>GSHP3F OR GSHP3</v>
      </c>
      <c r="W39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v>
      </c>
      <c r="AA391" s="6" t="str">
        <f t="shared" si="72"/>
        <v>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v>
      </c>
    </row>
    <row r="392">
      <c r="A392" s="2">
        <v>2.0</v>
      </c>
      <c r="B392" s="2" t="s">
        <v>375</v>
      </c>
      <c r="C392" s="2" t="s">
        <v>2234</v>
      </c>
      <c r="D392" s="2" t="s">
        <v>2234</v>
      </c>
      <c r="E392" s="2" t="s">
        <v>2250</v>
      </c>
      <c r="F392" s="2" t="s">
        <v>2251</v>
      </c>
      <c r="G392" s="2"/>
      <c r="H392" s="2" t="s">
        <v>2252</v>
      </c>
      <c r="I392" s="2" t="s">
        <v>2253</v>
      </c>
      <c r="J392" s="2" t="s">
        <v>2254</v>
      </c>
      <c r="K392" s="2" t="s">
        <v>2255</v>
      </c>
      <c r="L392" s="2" t="s">
        <v>2256</v>
      </c>
      <c r="M392" s="2" t="s">
        <v>2257</v>
      </c>
      <c r="V392" s="6" t="str">
        <f>H392&amp;" OR "&amp;I392&amp;" OR "&amp;J392&amp;" OR "&amp;K392&amp;" OR "&amp;L392&amp;" OR "&amp;M392</f>
        <v>HBTS3 OR HBTS5 OR HBTS6 OR HBTS3F OR HBTS5F OR HBTS6F</v>
      </c>
      <c r="W39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v>
      </c>
      <c r="AA392" s="6" t="str">
        <f t="shared" si="72"/>
        <v>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v>
      </c>
    </row>
    <row r="393">
      <c r="A393" s="2">
        <v>1.0</v>
      </c>
      <c r="B393" s="2" t="s">
        <v>375</v>
      </c>
      <c r="C393" s="2" t="s">
        <v>2234</v>
      </c>
      <c r="D393" s="2" t="s">
        <v>2234</v>
      </c>
      <c r="E393" s="2" t="s">
        <v>429</v>
      </c>
      <c r="F393" s="2" t="s">
        <v>2258</v>
      </c>
      <c r="G393" s="2" t="s">
        <v>1433</v>
      </c>
      <c r="H393" s="22" t="str">
        <f>VLOOKUP(E393,'Lista Infomoney'!B:H,2,FALSE)</f>
        <v>IGBR3F</v>
      </c>
      <c r="I393" s="22" t="str">
        <f>VLOOKUP(E393,'Lista Infomoney'!B:F,3,FALSE)</f>
        <v>IGBR3</v>
      </c>
      <c r="J393" s="6" t="str">
        <f>VLOOKUP(E393,'Lista Infomoney'!B:F,4,FALSE)</f>
        <v/>
      </c>
      <c r="K393" s="6" t="str">
        <f>VLOOKUP(E393,'Lista Infomoney'!B:F,5,FALSE)</f>
        <v/>
      </c>
      <c r="V393" s="6" t="str">
        <f t="shared" ref="V393:V394" si="79">H393&amp;" OR "&amp;I393</f>
        <v>IGBR3F OR IGBR3</v>
      </c>
      <c r="W39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v>
      </c>
      <c r="AA393" s="6" t="str">
        <f t="shared" si="72"/>
        <v>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v>
      </c>
    </row>
    <row r="394">
      <c r="A394" s="2">
        <v>1.0</v>
      </c>
      <c r="B394" s="2" t="s">
        <v>375</v>
      </c>
      <c r="C394" s="2" t="s">
        <v>2234</v>
      </c>
      <c r="D394" s="2" t="s">
        <v>2234</v>
      </c>
      <c r="E394" s="2" t="s">
        <v>2259</v>
      </c>
      <c r="F394" s="2" t="s">
        <v>2260</v>
      </c>
      <c r="G394" s="2" t="s">
        <v>1001</v>
      </c>
      <c r="H394" s="22" t="str">
        <f>VLOOKUP(E394,'Lista Infomoney'!B:H,2,FALSE)</f>
        <v>IGTA3</v>
      </c>
      <c r="I394" s="2" t="s">
        <v>2261</v>
      </c>
      <c r="J394" s="6" t="str">
        <f>VLOOKUP(E394,'Lista Infomoney'!B:F,4,FALSE)</f>
        <v/>
      </c>
      <c r="K394" s="6" t="str">
        <f>VLOOKUP(E394,'Lista Infomoney'!B:F,5,FALSE)</f>
        <v/>
      </c>
      <c r="V394" s="6" t="str">
        <f t="shared" si="79"/>
        <v>IGTA3 OR IGTA3F</v>
      </c>
      <c r="W39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v>
      </c>
      <c r="AA394" s="6" t="str">
        <f t="shared" si="72"/>
        <v>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v>
      </c>
    </row>
    <row r="395">
      <c r="A395" s="2">
        <v>2.0</v>
      </c>
      <c r="B395" s="2" t="s">
        <v>375</v>
      </c>
      <c r="C395" s="2" t="s">
        <v>2234</v>
      </c>
      <c r="D395" s="2" t="s">
        <v>2234</v>
      </c>
      <c r="E395" s="2" t="s">
        <v>2262</v>
      </c>
      <c r="F395" s="2" t="s">
        <v>2263</v>
      </c>
      <c r="G395" s="2"/>
      <c r="H395" s="2" t="s">
        <v>2264</v>
      </c>
      <c r="V395" s="6" t="str">
        <f t="shared" ref="V395:V396" si="80">H395</f>
        <v>JPSA3</v>
      </c>
      <c r="W39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v>
      </c>
      <c r="AA395" s="6" t="str">
        <f t="shared" si="72"/>
        <v>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v>
      </c>
    </row>
    <row r="396">
      <c r="A396" s="2">
        <v>1.0</v>
      </c>
      <c r="B396" s="2" t="s">
        <v>375</v>
      </c>
      <c r="C396" s="2" t="s">
        <v>2234</v>
      </c>
      <c r="D396" s="2" t="s">
        <v>2234</v>
      </c>
      <c r="E396" s="2" t="s">
        <v>2265</v>
      </c>
      <c r="F396" s="2" t="s">
        <v>2266</v>
      </c>
      <c r="G396" s="2" t="s">
        <v>1001</v>
      </c>
      <c r="H396" s="22" t="str">
        <f>VLOOKUP(E396,'Lista Infomoney'!B:H,2,FALSE)</f>
        <v>LOGG3</v>
      </c>
      <c r="I396" s="6" t="str">
        <f>VLOOKUP(E396,'Lista Infomoney'!B:F,3,FALSE)</f>
        <v/>
      </c>
      <c r="J396" s="6" t="str">
        <f>VLOOKUP(E396,'Lista Infomoney'!B:F,4,FALSE)</f>
        <v/>
      </c>
      <c r="K396" s="6" t="str">
        <f>VLOOKUP(E396,'Lista Infomoney'!B:F,5,FALSE)</f>
        <v/>
      </c>
      <c r="V396" s="22" t="str">
        <f t="shared" si="80"/>
        <v>LOGG3</v>
      </c>
      <c r="W39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v>
      </c>
      <c r="AA396" s="6" t="str">
        <f t="shared" si="72"/>
        <v>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v>
      </c>
    </row>
    <row r="397">
      <c r="A397" s="2">
        <v>2.0</v>
      </c>
      <c r="B397" s="2" t="s">
        <v>375</v>
      </c>
      <c r="C397" s="2" t="s">
        <v>2234</v>
      </c>
      <c r="D397" s="2" t="s">
        <v>2234</v>
      </c>
      <c r="E397" s="2" t="s">
        <v>2267</v>
      </c>
      <c r="F397" s="2" t="s">
        <v>2268</v>
      </c>
      <c r="G397" s="2" t="s">
        <v>1032</v>
      </c>
      <c r="H397" s="2" t="s">
        <v>2269</v>
      </c>
      <c r="I397" s="2" t="s">
        <v>2270</v>
      </c>
      <c r="V397" s="6" t="str">
        <f t="shared" ref="V397:V402" si="81">H397&amp;" OR "&amp;I397</f>
        <v>MNZC3B OR MNZC3BF</v>
      </c>
      <c r="W39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v>
      </c>
      <c r="AA397" s="6" t="str">
        <f t="shared" si="72"/>
        <v>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v>
      </c>
    </row>
    <row r="398">
      <c r="A398" s="2">
        <v>1.0</v>
      </c>
      <c r="B398" s="2" t="s">
        <v>375</v>
      </c>
      <c r="C398" s="2" t="s">
        <v>2234</v>
      </c>
      <c r="D398" s="2" t="s">
        <v>2234</v>
      </c>
      <c r="E398" s="2" t="s">
        <v>2271</v>
      </c>
      <c r="F398" s="2" t="s">
        <v>2272</v>
      </c>
      <c r="G398" s="2" t="s">
        <v>1013</v>
      </c>
      <c r="H398" s="22" t="str">
        <f>VLOOKUP(E398,'Lista Infomoney'!B:H,2,FALSE)</f>
        <v>MULT3F</v>
      </c>
      <c r="I398" s="22" t="str">
        <f>VLOOKUP(E398,'Lista Infomoney'!B:F,3,FALSE)</f>
        <v>MULT3</v>
      </c>
      <c r="J398" s="6" t="str">
        <f>VLOOKUP(E398,'Lista Infomoney'!B:F,4,FALSE)</f>
        <v/>
      </c>
      <c r="K398" s="6" t="str">
        <f>VLOOKUP(E398,'Lista Infomoney'!B:F,5,FALSE)</f>
        <v/>
      </c>
      <c r="V398" s="6" t="str">
        <f t="shared" si="81"/>
        <v>MULT3F OR MULT3</v>
      </c>
      <c r="W39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v>
      </c>
      <c r="AA398" s="6" t="str">
        <f t="shared" si="72"/>
        <v>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v>
      </c>
    </row>
    <row r="399">
      <c r="A399" s="2">
        <v>1.0</v>
      </c>
      <c r="B399" s="2" t="s">
        <v>375</v>
      </c>
      <c r="C399" s="2" t="s">
        <v>2234</v>
      </c>
      <c r="D399" s="2" t="s">
        <v>2234</v>
      </c>
      <c r="E399" s="2" t="s">
        <v>2273</v>
      </c>
      <c r="F399" s="2" t="s">
        <v>2274</v>
      </c>
      <c r="G399" s="2" t="s">
        <v>1001</v>
      </c>
      <c r="H399" s="22" t="str">
        <f>VLOOKUP(E399,'Lista Infomoney'!B:H,2,FALSE)</f>
        <v>SCAR3F</v>
      </c>
      <c r="I399" s="22" t="str">
        <f>VLOOKUP(E399,'Lista Infomoney'!B:F,3,FALSE)</f>
        <v>SCAR3</v>
      </c>
      <c r="J399" s="6" t="str">
        <f>VLOOKUP(E399,'Lista Infomoney'!B:F,4,FALSE)</f>
        <v/>
      </c>
      <c r="K399" s="6" t="str">
        <f>VLOOKUP(E399,'Lista Infomoney'!B:F,5,FALSE)</f>
        <v/>
      </c>
      <c r="V399" s="6" t="str">
        <f t="shared" si="81"/>
        <v>SCAR3F OR SCAR3</v>
      </c>
      <c r="W39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v>
      </c>
      <c r="AA399" s="6" t="str">
        <f t="shared" si="72"/>
        <v>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v>
      </c>
    </row>
    <row r="400">
      <c r="A400" s="2">
        <v>1.0</v>
      </c>
      <c r="B400" s="2" t="s">
        <v>375</v>
      </c>
      <c r="C400" s="2" t="s">
        <v>2234</v>
      </c>
      <c r="D400" s="2" t="s">
        <v>2275</v>
      </c>
      <c r="E400" s="2" t="s">
        <v>441</v>
      </c>
      <c r="F400" s="2" t="s">
        <v>2276</v>
      </c>
      <c r="G400" s="2" t="s">
        <v>1001</v>
      </c>
      <c r="H400" s="22" t="str">
        <f>VLOOKUP(E400,'Lista Infomoney'!B:H,2,FALSE)</f>
        <v>BBRK3F</v>
      </c>
      <c r="I400" s="22" t="str">
        <f>VLOOKUP(E400,'Lista Infomoney'!B:F,3,FALSE)</f>
        <v>BBRK3</v>
      </c>
      <c r="J400" s="6" t="str">
        <f>VLOOKUP(E400,'Lista Infomoney'!B:F,4,FALSE)</f>
        <v/>
      </c>
      <c r="K400" s="6" t="str">
        <f>VLOOKUP(E400,'Lista Infomoney'!B:F,5,FALSE)</f>
        <v/>
      </c>
      <c r="V400" s="6" t="str">
        <f t="shared" si="81"/>
        <v>BBRK3F OR BBRK3</v>
      </c>
      <c r="W40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v>
      </c>
      <c r="AA400" s="6" t="str">
        <f t="shared" si="72"/>
        <v>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v>
      </c>
    </row>
    <row r="401">
      <c r="A401" s="2">
        <v>1.0</v>
      </c>
      <c r="B401" s="2" t="s">
        <v>375</v>
      </c>
      <c r="C401" s="2" t="s">
        <v>2234</v>
      </c>
      <c r="D401" s="2" t="s">
        <v>2275</v>
      </c>
      <c r="E401" s="2" t="s">
        <v>423</v>
      </c>
      <c r="F401" s="2" t="s">
        <v>2277</v>
      </c>
      <c r="G401" s="2" t="s">
        <v>1001</v>
      </c>
      <c r="H401" s="22" t="str">
        <f>VLOOKUP(E401,'Lista Infomoney'!B:H,2,FALSE)</f>
        <v>LPSB3F</v>
      </c>
      <c r="I401" s="22" t="str">
        <f>VLOOKUP(E401,'Lista Infomoney'!B:F,3,FALSE)</f>
        <v>LPSB3</v>
      </c>
      <c r="J401" s="6" t="str">
        <f>VLOOKUP(E401,'Lista Infomoney'!B:F,4,FALSE)</f>
        <v/>
      </c>
      <c r="K401" s="6" t="str">
        <f>VLOOKUP(E401,'Lista Infomoney'!B:F,5,FALSE)</f>
        <v/>
      </c>
      <c r="V401" s="6" t="str">
        <f t="shared" si="81"/>
        <v>LPSB3F OR LPSB3</v>
      </c>
      <c r="W40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v>
      </c>
      <c r="AA401" s="6" t="str">
        <f t="shared" si="72"/>
        <v>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v>
      </c>
    </row>
    <row r="402">
      <c r="A402" s="2">
        <v>2.0</v>
      </c>
      <c r="B402" s="2" t="s">
        <v>375</v>
      </c>
      <c r="C402" s="2" t="s">
        <v>2278</v>
      </c>
      <c r="D402" s="2" t="s">
        <v>2278</v>
      </c>
      <c r="E402" s="2" t="s">
        <v>2279</v>
      </c>
      <c r="F402" s="2" t="s">
        <v>2280</v>
      </c>
      <c r="G402" s="2"/>
      <c r="H402" s="2" t="s">
        <v>2281</v>
      </c>
      <c r="I402" s="2" t="s">
        <v>2282</v>
      </c>
      <c r="V402" s="6" t="str">
        <f t="shared" si="81"/>
        <v>MOAR3 OR MOAR3F</v>
      </c>
      <c r="W40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v>
      </c>
      <c r="AA402" s="6" t="str">
        <f t="shared" si="72"/>
        <v>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v>
      </c>
    </row>
    <row r="403">
      <c r="A403" s="2">
        <v>2.0</v>
      </c>
      <c r="B403" s="2" t="s">
        <v>375</v>
      </c>
      <c r="C403" s="2" t="s">
        <v>2278</v>
      </c>
      <c r="D403" s="2" t="s">
        <v>2278</v>
      </c>
      <c r="E403" s="2" t="s">
        <v>2283</v>
      </c>
      <c r="F403" s="2" t="s">
        <v>2284</v>
      </c>
      <c r="G403" s="2"/>
      <c r="H403" s="2" t="s">
        <v>2285</v>
      </c>
      <c r="I403" s="2" t="s">
        <v>2286</v>
      </c>
      <c r="J403" s="2" t="s">
        <v>2287</v>
      </c>
      <c r="K403" s="2" t="s">
        <v>2288</v>
      </c>
      <c r="V403" s="6" t="str">
        <f>H403&amp;" OR "&amp;I403&amp;" OR "&amp;J403&amp;" OR "&amp;K403</f>
        <v>PEAB3 OR PEAB4 OR PEAB3F OR PEAB4F</v>
      </c>
      <c r="W40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v>
      </c>
      <c r="AA403" s="6" t="str">
        <f t="shared" si="72"/>
        <v>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v>
      </c>
    </row>
    <row r="404">
      <c r="A404" s="2">
        <v>1.0</v>
      </c>
      <c r="B404" s="2" t="s">
        <v>375</v>
      </c>
      <c r="C404" s="2" t="s">
        <v>2278</v>
      </c>
      <c r="D404" s="2" t="s">
        <v>2278</v>
      </c>
      <c r="E404" s="2" t="s">
        <v>2289</v>
      </c>
      <c r="F404" s="2" t="s">
        <v>2290</v>
      </c>
      <c r="G404" s="2" t="s">
        <v>1001</v>
      </c>
      <c r="H404" s="22" t="str">
        <f>VLOOKUP(E404,'Lista Infomoney'!B:H,2,FALSE)</f>
        <v>SIMH3F</v>
      </c>
      <c r="I404" s="22" t="str">
        <f>VLOOKUP(E404,'Lista Infomoney'!B:F,3,FALSE)</f>
        <v>SIMH3</v>
      </c>
      <c r="J404" s="6" t="str">
        <f>VLOOKUP(E404,'Lista Infomoney'!B:F,4,FALSE)</f>
        <v/>
      </c>
      <c r="K404" s="6" t="str">
        <f>VLOOKUP(E404,'Lista Infomoney'!B:F,5,FALSE)</f>
        <v/>
      </c>
      <c r="V404" s="6" t="str">
        <f>H404&amp;" OR "&amp;I404</f>
        <v>SIMH3F OR SIMH3</v>
      </c>
      <c r="W40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v>
      </c>
      <c r="AA404" s="6" t="str">
        <f t="shared" si="72"/>
        <v>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v>
      </c>
    </row>
    <row r="405">
      <c r="A405" s="2">
        <v>2.0</v>
      </c>
      <c r="B405" s="2" t="s">
        <v>375</v>
      </c>
      <c r="C405" s="2" t="s">
        <v>2291</v>
      </c>
      <c r="D405" s="2" t="s">
        <v>2291</v>
      </c>
      <c r="E405" s="2" t="s">
        <v>2292</v>
      </c>
      <c r="F405" s="24" t="s">
        <v>2293</v>
      </c>
      <c r="G405" s="2" t="s">
        <v>1032</v>
      </c>
      <c r="H405" s="6" t="s">
        <v>2293</v>
      </c>
      <c r="V405" s="6" t="str">
        <f t="shared" ref="V405:V407" si="82">H405</f>
        <v>CTBA</v>
      </c>
      <c r="W40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v>
      </c>
      <c r="AA405" s="6" t="str">
        <f t="shared" si="72"/>
        <v>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v>
      </c>
    </row>
    <row r="406">
      <c r="A406" s="2">
        <v>2.0</v>
      </c>
      <c r="B406" s="2" t="s">
        <v>375</v>
      </c>
      <c r="C406" s="2" t="s">
        <v>2291</v>
      </c>
      <c r="D406" s="2" t="s">
        <v>2291</v>
      </c>
      <c r="E406" s="2" t="s">
        <v>2294</v>
      </c>
      <c r="F406" s="24" t="s">
        <v>2295</v>
      </c>
      <c r="G406" s="2" t="s">
        <v>1032</v>
      </c>
      <c r="H406" s="6" t="s">
        <v>2295</v>
      </c>
      <c r="V406" s="6" t="str">
        <f t="shared" si="82"/>
        <v>MCRJ</v>
      </c>
      <c r="W40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v>
      </c>
      <c r="AA406" s="6" t="str">
        <f t="shared" si="72"/>
        <v>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v>
      </c>
    </row>
    <row r="407">
      <c r="A407" s="2">
        <v>2.0</v>
      </c>
      <c r="B407" s="2" t="s">
        <v>375</v>
      </c>
      <c r="C407" s="2" t="s">
        <v>2291</v>
      </c>
      <c r="D407" s="2" t="s">
        <v>2291</v>
      </c>
      <c r="E407" s="2" t="s">
        <v>2296</v>
      </c>
      <c r="F407" s="24" t="s">
        <v>2297</v>
      </c>
      <c r="G407" s="2" t="s">
        <v>1032</v>
      </c>
      <c r="H407" s="6" t="s">
        <v>2297</v>
      </c>
      <c r="V407" s="6" t="str">
        <f t="shared" si="82"/>
        <v>PMSP</v>
      </c>
      <c r="W40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v>
      </c>
      <c r="AA407" s="6" t="str">
        <f t="shared" si="72"/>
        <v>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v>
      </c>
    </row>
    <row r="408">
      <c r="A408" s="2">
        <v>2.0</v>
      </c>
      <c r="B408" s="2" t="s">
        <v>566</v>
      </c>
      <c r="C408" s="2" t="s">
        <v>566</v>
      </c>
      <c r="D408" s="2" t="s">
        <v>566</v>
      </c>
      <c r="E408" s="2" t="s">
        <v>2298</v>
      </c>
      <c r="F408" s="2" t="s">
        <v>2299</v>
      </c>
      <c r="G408" s="2" t="s">
        <v>1032</v>
      </c>
      <c r="H408" s="2" t="s">
        <v>2300</v>
      </c>
      <c r="I408" s="2" t="s">
        <v>2301</v>
      </c>
      <c r="V408" s="6" t="str">
        <f t="shared" ref="V408:V413" si="83">H408&amp;" OR "&amp;I408</f>
        <v>QVQP3B OR QVQP3BF</v>
      </c>
      <c r="W40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v>
      </c>
      <c r="AA408" s="6" t="str">
        <f t="shared" si="72"/>
        <v>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v>
      </c>
    </row>
    <row r="409">
      <c r="A409" s="2">
        <v>2.0</v>
      </c>
      <c r="B409" s="2" t="s">
        <v>566</v>
      </c>
      <c r="C409" s="2" t="s">
        <v>566</v>
      </c>
      <c r="D409" s="2" t="s">
        <v>566</v>
      </c>
      <c r="E409" s="2" t="s">
        <v>2302</v>
      </c>
      <c r="F409" s="2" t="s">
        <v>2303</v>
      </c>
      <c r="G409" s="2" t="s">
        <v>1032</v>
      </c>
      <c r="H409" s="2" t="s">
        <v>2304</v>
      </c>
      <c r="I409" s="2" t="s">
        <v>2305</v>
      </c>
      <c r="V409" s="6" t="str">
        <f t="shared" si="83"/>
        <v>ALEF3B OR ALEF3BF</v>
      </c>
      <c r="W40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v>
      </c>
      <c r="AA409" s="6" t="str">
        <f t="shared" si="72"/>
        <v>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v>
      </c>
    </row>
    <row r="410">
      <c r="A410" s="2">
        <v>2.0</v>
      </c>
      <c r="B410" s="2" t="s">
        <v>566</v>
      </c>
      <c r="C410" s="2" t="s">
        <v>566</v>
      </c>
      <c r="D410" s="2" t="s">
        <v>566</v>
      </c>
      <c r="E410" s="2" t="s">
        <v>2306</v>
      </c>
      <c r="F410" s="2" t="s">
        <v>2307</v>
      </c>
      <c r="G410" s="2"/>
      <c r="H410" s="2" t="s">
        <v>2308</v>
      </c>
      <c r="I410" s="2" t="s">
        <v>2309</v>
      </c>
      <c r="V410" s="6" t="str">
        <f t="shared" si="83"/>
        <v>ATOM3 OR ATOM3F</v>
      </c>
      <c r="W41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v>
      </c>
      <c r="AA410" s="6" t="str">
        <f t="shared" si="72"/>
        <v>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v>
      </c>
    </row>
    <row r="411">
      <c r="A411" s="2">
        <v>2.0</v>
      </c>
      <c r="B411" s="2" t="s">
        <v>566</v>
      </c>
      <c r="C411" s="2" t="s">
        <v>566</v>
      </c>
      <c r="D411" s="2" t="s">
        <v>566</v>
      </c>
      <c r="E411" s="2" t="s">
        <v>2310</v>
      </c>
      <c r="F411" s="2" t="s">
        <v>2311</v>
      </c>
      <c r="G411" s="2" t="s">
        <v>1032</v>
      </c>
      <c r="H411" s="2" t="s">
        <v>2312</v>
      </c>
      <c r="I411" s="2" t="s">
        <v>2313</v>
      </c>
      <c r="V411" s="6" t="str">
        <f t="shared" si="83"/>
        <v>BETP3B OR BETP3BF</v>
      </c>
      <c r="W41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v>
      </c>
      <c r="AA411" s="6" t="str">
        <f t="shared" si="72"/>
        <v>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v>
      </c>
    </row>
    <row r="412">
      <c r="A412" s="2">
        <v>2.0</v>
      </c>
      <c r="B412" s="2" t="s">
        <v>566</v>
      </c>
      <c r="C412" s="2" t="s">
        <v>566</v>
      </c>
      <c r="D412" s="2" t="s">
        <v>566</v>
      </c>
      <c r="E412" s="2" t="s">
        <v>2314</v>
      </c>
      <c r="F412" s="2" t="s">
        <v>2315</v>
      </c>
      <c r="G412" s="2" t="s">
        <v>1032</v>
      </c>
      <c r="H412" s="2" t="s">
        <v>2316</v>
      </c>
      <c r="I412" s="2" t="s">
        <v>2317</v>
      </c>
      <c r="V412" s="6" t="str">
        <f t="shared" si="83"/>
        <v>CABI3B OR CABI3BF</v>
      </c>
      <c r="W41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v>
      </c>
      <c r="AA412" s="6" t="str">
        <f t="shared" si="72"/>
        <v>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v>
      </c>
    </row>
    <row r="413">
      <c r="A413" s="2">
        <v>2.0</v>
      </c>
      <c r="B413" s="2" t="s">
        <v>566</v>
      </c>
      <c r="C413" s="2" t="s">
        <v>566</v>
      </c>
      <c r="D413" s="2" t="s">
        <v>566</v>
      </c>
      <c r="E413" s="2" t="s">
        <v>2318</v>
      </c>
      <c r="F413" s="2" t="s">
        <v>2319</v>
      </c>
      <c r="G413" s="2" t="s">
        <v>1032</v>
      </c>
      <c r="H413" s="2" t="s">
        <v>2320</v>
      </c>
      <c r="I413" s="2" t="s">
        <v>2321</v>
      </c>
      <c r="V413" s="6" t="str">
        <f t="shared" si="83"/>
        <v>CACO3B OR CACO3BF</v>
      </c>
      <c r="W41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v>
      </c>
      <c r="AA413" s="6" t="str">
        <f t="shared" si="72"/>
        <v>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v>
      </c>
    </row>
    <row r="414">
      <c r="A414" s="2">
        <v>2.0</v>
      </c>
      <c r="B414" s="2" t="s">
        <v>566</v>
      </c>
      <c r="C414" s="2" t="s">
        <v>566</v>
      </c>
      <c r="D414" s="2" t="s">
        <v>566</v>
      </c>
      <c r="E414" s="2" t="s">
        <v>2322</v>
      </c>
      <c r="F414" s="2" t="s">
        <v>2323</v>
      </c>
      <c r="G414" s="2"/>
      <c r="H414" s="2" t="s">
        <v>2324</v>
      </c>
      <c r="I414" s="2" t="s">
        <v>2325</v>
      </c>
      <c r="J414" s="2" t="s">
        <v>2326</v>
      </c>
      <c r="K414" s="2" t="s">
        <v>2327</v>
      </c>
      <c r="V414" s="6" t="str">
        <f t="shared" ref="V414:V415" si="84">H414&amp;" OR "&amp;I414&amp;" OR "&amp;J414&amp;" OR "&amp;K414</f>
        <v>MAPT3 OR MAPT4 OR MAPT3F OR MAPT4F</v>
      </c>
      <c r="W41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v>
      </c>
      <c r="AA414" s="6" t="str">
        <f t="shared" si="72"/>
        <v>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v>
      </c>
    </row>
    <row r="415">
      <c r="A415" s="2">
        <v>2.0</v>
      </c>
      <c r="B415" s="2" t="s">
        <v>566</v>
      </c>
      <c r="C415" s="2" t="s">
        <v>566</v>
      </c>
      <c r="D415" s="2" t="s">
        <v>566</v>
      </c>
      <c r="E415" s="2" t="s">
        <v>2328</v>
      </c>
      <c r="F415" s="2" t="s">
        <v>2329</v>
      </c>
      <c r="G415" s="2"/>
      <c r="H415" s="2" t="s">
        <v>2330</v>
      </c>
      <c r="I415" s="2" t="s">
        <v>2331</v>
      </c>
      <c r="J415" s="2" t="s">
        <v>2332</v>
      </c>
      <c r="K415" s="2" t="s">
        <v>2333</v>
      </c>
      <c r="V415" s="6" t="str">
        <f t="shared" si="84"/>
        <v>CMSA3 OR CMSA4 OR CMSA3F OR CMSA4F</v>
      </c>
      <c r="W41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v>
      </c>
      <c r="AA415" s="6" t="str">
        <f t="shared" si="72"/>
        <v>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v>
      </c>
    </row>
    <row r="416">
      <c r="A416" s="2">
        <v>2.0</v>
      </c>
      <c r="B416" s="2" t="s">
        <v>566</v>
      </c>
      <c r="C416" s="2" t="s">
        <v>566</v>
      </c>
      <c r="D416" s="2" t="s">
        <v>566</v>
      </c>
      <c r="E416" s="2" t="s">
        <v>2334</v>
      </c>
      <c r="F416" s="2" t="s">
        <v>2335</v>
      </c>
      <c r="G416" s="2" t="s">
        <v>1032</v>
      </c>
      <c r="H416" s="2" t="s">
        <v>2336</v>
      </c>
      <c r="I416" s="2" t="s">
        <v>2337</v>
      </c>
      <c r="V416" s="6" t="str">
        <f>H416&amp;" OR "&amp;I416</f>
        <v>OPGM3B OR OPGM3BF</v>
      </c>
      <c r="W41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v>
      </c>
      <c r="AA416" s="6" t="str">
        <f t="shared" si="72"/>
        <v>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v>
      </c>
    </row>
    <row r="417">
      <c r="A417" s="2">
        <v>2.0</v>
      </c>
      <c r="B417" s="2" t="s">
        <v>566</v>
      </c>
      <c r="C417" s="2" t="s">
        <v>566</v>
      </c>
      <c r="D417" s="2" t="s">
        <v>566</v>
      </c>
      <c r="E417" s="2" t="s">
        <v>2338</v>
      </c>
      <c r="F417" s="2" t="s">
        <v>2339</v>
      </c>
      <c r="G417" s="2"/>
      <c r="H417" s="2" t="s">
        <v>2340</v>
      </c>
      <c r="I417" s="2" t="s">
        <v>2341</v>
      </c>
      <c r="J417" s="2" t="s">
        <v>2342</v>
      </c>
      <c r="K417" s="2" t="s">
        <v>2343</v>
      </c>
      <c r="V417" s="6" t="str">
        <f t="shared" ref="V417:V418" si="85">H417&amp;" OR "&amp;I417&amp;" OR "&amp;J417&amp;" OR "&amp;K417</f>
        <v>FIGE3 OR FIGE4 OR FIGE3F OR FIGE4F</v>
      </c>
      <c r="W41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v>
      </c>
      <c r="AA417" s="6" t="str">
        <f t="shared" si="72"/>
        <v>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v>
      </c>
    </row>
    <row r="418">
      <c r="A418" s="2">
        <v>2.0</v>
      </c>
      <c r="B418" s="2" t="s">
        <v>566</v>
      </c>
      <c r="C418" s="2" t="s">
        <v>566</v>
      </c>
      <c r="D418" s="2" t="s">
        <v>566</v>
      </c>
      <c r="E418" s="2" t="s">
        <v>2344</v>
      </c>
      <c r="F418" s="2" t="s">
        <v>2345</v>
      </c>
      <c r="G418" s="2"/>
      <c r="H418" s="2" t="s">
        <v>2346</v>
      </c>
      <c r="I418" s="2" t="s">
        <v>2347</v>
      </c>
      <c r="J418" s="2" t="s">
        <v>2348</v>
      </c>
      <c r="K418" s="2" t="s">
        <v>2349</v>
      </c>
      <c r="V418" s="6" t="str">
        <f t="shared" si="85"/>
        <v>JBDU3 OR JBDU4 OR JBDU3F OR JBDU4F</v>
      </c>
      <c r="W41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v>
      </c>
      <c r="AA418" s="6" t="str">
        <f t="shared" si="72"/>
        <v>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v>
      </c>
    </row>
    <row r="419">
      <c r="A419" s="2">
        <v>2.0</v>
      </c>
      <c r="B419" s="2" t="s">
        <v>566</v>
      </c>
      <c r="C419" s="2" t="s">
        <v>566</v>
      </c>
      <c r="D419" s="2" t="s">
        <v>566</v>
      </c>
      <c r="E419" s="2" t="s">
        <v>2350</v>
      </c>
      <c r="F419" s="24" t="s">
        <v>2351</v>
      </c>
      <c r="G419" s="2"/>
      <c r="H419" s="6" t="s">
        <v>2351</v>
      </c>
      <c r="V419" s="6" t="str">
        <f>H419</f>
        <v>MGIP</v>
      </c>
      <c r="W41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v>
      </c>
      <c r="AA419" s="6" t="str">
        <f t="shared" si="72"/>
        <v>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v>
      </c>
    </row>
    <row r="420">
      <c r="A420" s="2">
        <v>2.0</v>
      </c>
      <c r="B420" s="2" t="s">
        <v>566</v>
      </c>
      <c r="C420" s="2" t="s">
        <v>566</v>
      </c>
      <c r="D420" s="2" t="s">
        <v>566</v>
      </c>
      <c r="E420" s="2" t="s">
        <v>2352</v>
      </c>
      <c r="F420" s="2" t="s">
        <v>2353</v>
      </c>
      <c r="G420" s="2" t="s">
        <v>1032</v>
      </c>
      <c r="H420" s="2" t="s">
        <v>2354</v>
      </c>
      <c r="I420" s="2" t="s">
        <v>2355</v>
      </c>
      <c r="V420" s="6" t="str">
        <f t="shared" ref="V420:V425" si="86">H420&amp;" OR "&amp;I420</f>
        <v>OPHE3B OR OPHE3BF</v>
      </c>
      <c r="W42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v>
      </c>
      <c r="AA420" s="6" t="str">
        <f t="shared" si="72"/>
        <v>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v>
      </c>
    </row>
    <row r="421">
      <c r="A421" s="2">
        <v>2.0</v>
      </c>
      <c r="B421" s="2" t="s">
        <v>566</v>
      </c>
      <c r="C421" s="2" t="s">
        <v>566</v>
      </c>
      <c r="D421" s="2" t="s">
        <v>566</v>
      </c>
      <c r="E421" s="2" t="s">
        <v>2356</v>
      </c>
      <c r="F421" s="2" t="s">
        <v>2357</v>
      </c>
      <c r="G421" s="2"/>
      <c r="H421" s="2" t="s">
        <v>2358</v>
      </c>
      <c r="I421" s="2" t="s">
        <v>2359</v>
      </c>
      <c r="V421" s="6" t="str">
        <f t="shared" si="86"/>
        <v>PPAR3 OR PPAR3F</v>
      </c>
      <c r="W42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v>
      </c>
      <c r="AA421" s="6" t="str">
        <f t="shared" si="72"/>
        <v>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v>
      </c>
    </row>
    <row r="422">
      <c r="A422" s="2">
        <v>2.0</v>
      </c>
      <c r="B422" s="2" t="s">
        <v>566</v>
      </c>
      <c r="C422" s="2" t="s">
        <v>566</v>
      </c>
      <c r="D422" s="2" t="s">
        <v>566</v>
      </c>
      <c r="E422" s="2" t="s">
        <v>2360</v>
      </c>
      <c r="F422" s="2" t="s">
        <v>2361</v>
      </c>
      <c r="G422" s="2" t="s">
        <v>1032</v>
      </c>
      <c r="H422" s="2" t="s">
        <v>2362</v>
      </c>
      <c r="I422" s="2" t="s">
        <v>2363</v>
      </c>
      <c r="V422" s="6" t="str">
        <f t="shared" si="86"/>
        <v>PRPT3B OR PRPT3BF</v>
      </c>
      <c r="W42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v>
      </c>
      <c r="AA422" s="6" t="str">
        <f t="shared" si="72"/>
        <v>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v>
      </c>
    </row>
    <row r="423">
      <c r="A423" s="2">
        <v>2.0</v>
      </c>
      <c r="B423" s="2" t="s">
        <v>566</v>
      </c>
      <c r="C423" s="2" t="s">
        <v>566</v>
      </c>
      <c r="D423" s="2" t="s">
        <v>566</v>
      </c>
      <c r="E423" s="2" t="s">
        <v>2364</v>
      </c>
      <c r="F423" s="2" t="s">
        <v>2365</v>
      </c>
      <c r="G423" s="2" t="s">
        <v>1032</v>
      </c>
      <c r="H423" s="2" t="s">
        <v>2366</v>
      </c>
      <c r="I423" s="2" t="s">
        <v>2367</v>
      </c>
      <c r="V423" s="6" t="str">
        <f t="shared" si="86"/>
        <v>SLCT3B OR SLCT3BF</v>
      </c>
      <c r="W42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v>
      </c>
      <c r="AA423" s="6" t="str">
        <f t="shared" si="72"/>
        <v>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v>
      </c>
    </row>
    <row r="424">
      <c r="A424" s="2">
        <v>2.0</v>
      </c>
      <c r="B424" s="2" t="s">
        <v>566</v>
      </c>
      <c r="C424" s="2" t="s">
        <v>566</v>
      </c>
      <c r="D424" s="2" t="s">
        <v>566</v>
      </c>
      <c r="E424" s="2" t="s">
        <v>2368</v>
      </c>
      <c r="F424" s="2" t="s">
        <v>2369</v>
      </c>
      <c r="G424" s="2" t="s">
        <v>1032</v>
      </c>
      <c r="H424" s="2" t="s">
        <v>2370</v>
      </c>
      <c r="I424" s="2" t="s">
        <v>2371</v>
      </c>
      <c r="V424" s="6" t="str">
        <f t="shared" si="86"/>
        <v>OPSE3B OR OPSE3BF</v>
      </c>
      <c r="W42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v>
      </c>
      <c r="AA424" s="6" t="str">
        <f t="shared" si="72"/>
        <v>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v>
      </c>
    </row>
    <row r="425">
      <c r="A425" s="2">
        <v>2.0</v>
      </c>
      <c r="B425" s="2" t="s">
        <v>566</v>
      </c>
      <c r="C425" s="2" t="s">
        <v>566</v>
      </c>
      <c r="D425" s="2" t="s">
        <v>566</v>
      </c>
      <c r="E425" s="2" t="s">
        <v>2372</v>
      </c>
      <c r="F425" s="2" t="s">
        <v>2373</v>
      </c>
      <c r="G425" s="2" t="s">
        <v>1032</v>
      </c>
      <c r="H425" s="2" t="s">
        <v>2374</v>
      </c>
      <c r="I425" s="2" t="s">
        <v>2375</v>
      </c>
      <c r="V425" s="6" t="str">
        <f t="shared" si="86"/>
        <v>OPTS3B OR OPTS3BF</v>
      </c>
      <c r="W42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v>
      </c>
      <c r="AA425" s="6" t="str">
        <f t="shared" si="72"/>
        <v>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v>
      </c>
    </row>
    <row r="426">
      <c r="A426" s="2">
        <v>0.0</v>
      </c>
      <c r="B426" s="2" t="s">
        <v>566</v>
      </c>
      <c r="C426" s="2" t="s">
        <v>566</v>
      </c>
      <c r="D426" s="2" t="s">
        <v>566</v>
      </c>
      <c r="E426" s="2" t="s">
        <v>5</v>
      </c>
      <c r="F426" s="2" t="s">
        <v>2376</v>
      </c>
      <c r="G426" s="2" t="s">
        <v>1433</v>
      </c>
      <c r="H426" s="6" t="s">
        <v>6</v>
      </c>
      <c r="V426" s="6" t="str">
        <f>H426</f>
        <v>PASS3</v>
      </c>
      <c r="W42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v>
      </c>
      <c r="AA426" s="6" t="str">
        <f t="shared" si="72"/>
        <v>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v>
      </c>
    </row>
    <row r="427">
      <c r="A427" s="2">
        <v>0.0</v>
      </c>
      <c r="B427" s="2" t="s">
        <v>1823</v>
      </c>
      <c r="C427" s="2" t="s">
        <v>845</v>
      </c>
      <c r="D427" s="2" t="s">
        <v>845</v>
      </c>
      <c r="E427" s="2" t="s">
        <v>832</v>
      </c>
      <c r="F427" s="2" t="s">
        <v>2377</v>
      </c>
      <c r="G427" s="2" t="s">
        <v>2378</v>
      </c>
      <c r="H427" s="30" t="s">
        <v>833</v>
      </c>
      <c r="I427" s="30" t="s">
        <v>866</v>
      </c>
      <c r="V427" s="6" t="str">
        <f t="shared" ref="V427:V438" si="87">H427&amp;" OR "&amp;I427</f>
        <v>ATTB34F OR ATTB34</v>
      </c>
      <c r="W42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v>
      </c>
      <c r="AA427" s="6" t="str">
        <f t="shared" si="72"/>
        <v>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v>
      </c>
    </row>
    <row r="428">
      <c r="A428" s="2">
        <v>0.0</v>
      </c>
      <c r="B428" s="2" t="s">
        <v>1823</v>
      </c>
      <c r="C428" s="2" t="s">
        <v>845</v>
      </c>
      <c r="D428" s="2" t="s">
        <v>845</v>
      </c>
      <c r="E428" s="31" t="s">
        <v>846</v>
      </c>
      <c r="F428" s="2" t="s">
        <v>2379</v>
      </c>
      <c r="G428" s="2" t="s">
        <v>2378</v>
      </c>
      <c r="H428" s="30" t="s">
        <v>847</v>
      </c>
      <c r="I428" s="30" t="s">
        <v>848</v>
      </c>
      <c r="V428" s="6" t="str">
        <f t="shared" si="87"/>
        <v>VERZ34F OR VERZ34</v>
      </c>
      <c r="W42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v>
      </c>
      <c r="AA428" s="6" t="str">
        <f t="shared" si="72"/>
        <v>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v>
      </c>
    </row>
    <row r="429">
      <c r="A429" s="2">
        <v>0.0</v>
      </c>
      <c r="B429" s="2" t="s">
        <v>800</v>
      </c>
      <c r="C429" s="2" t="s">
        <v>1806</v>
      </c>
      <c r="D429" s="2" t="s">
        <v>1806</v>
      </c>
      <c r="E429" s="2" t="s">
        <v>843</v>
      </c>
      <c r="F429" s="2" t="s">
        <v>2381</v>
      </c>
      <c r="G429" s="2" t="s">
        <v>2378</v>
      </c>
      <c r="H429" s="30" t="s">
        <v>828</v>
      </c>
      <c r="I429" s="30" t="s">
        <v>844</v>
      </c>
      <c r="V429" s="6" t="str">
        <f t="shared" si="87"/>
        <v>EBAY34F OR EBAY34</v>
      </c>
      <c r="W42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v>
      </c>
      <c r="AA429" s="6" t="str">
        <f t="shared" si="72"/>
        <v>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v>
      </c>
    </row>
    <row r="430">
      <c r="A430" s="2">
        <v>0.0</v>
      </c>
      <c r="B430" s="2" t="s">
        <v>800</v>
      </c>
      <c r="C430" s="2" t="s">
        <v>1804</v>
      </c>
      <c r="D430" s="2" t="s">
        <v>1804</v>
      </c>
      <c r="E430" s="2" t="s">
        <v>834</v>
      </c>
      <c r="F430" s="2" t="s">
        <v>2382</v>
      </c>
      <c r="G430" s="2" t="s">
        <v>2378</v>
      </c>
      <c r="H430" s="30" t="s">
        <v>835</v>
      </c>
      <c r="I430" s="30" t="s">
        <v>836</v>
      </c>
      <c r="V430" s="6" t="str">
        <f t="shared" si="87"/>
        <v>AAPL34F OR AAPL34</v>
      </c>
      <c r="W43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v>
      </c>
      <c r="AA430" s="6" t="str">
        <f t="shared" si="72"/>
        <v>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v>
      </c>
    </row>
    <row r="431">
      <c r="A431" s="2">
        <v>0.0</v>
      </c>
      <c r="B431" s="2" t="s">
        <v>800</v>
      </c>
      <c r="C431" s="2" t="s">
        <v>1804</v>
      </c>
      <c r="D431" s="2" t="s">
        <v>1804</v>
      </c>
      <c r="E431" s="2" t="s">
        <v>829</v>
      </c>
      <c r="F431" s="2" t="s">
        <v>2383</v>
      </c>
      <c r="G431" s="2" t="s">
        <v>2378</v>
      </c>
      <c r="H431" s="30" t="s">
        <v>830</v>
      </c>
      <c r="I431" s="30" t="s">
        <v>831</v>
      </c>
      <c r="V431" s="6" t="str">
        <f t="shared" si="87"/>
        <v>CSCO34F OR CSCO34</v>
      </c>
      <c r="W43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v>
      </c>
      <c r="AA431" s="6" t="str">
        <f t="shared" si="72"/>
        <v>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v>
      </c>
    </row>
    <row r="432">
      <c r="A432" s="2">
        <v>0.0</v>
      </c>
      <c r="B432" s="2" t="s">
        <v>800</v>
      </c>
      <c r="C432" s="2" t="s">
        <v>1804</v>
      </c>
      <c r="D432" s="2" t="s">
        <v>1804</v>
      </c>
      <c r="E432" s="2" t="s">
        <v>824</v>
      </c>
      <c r="F432" s="2" t="s">
        <v>2384</v>
      </c>
      <c r="G432" s="2" t="s">
        <v>2378</v>
      </c>
      <c r="H432" s="30" t="s">
        <v>825</v>
      </c>
      <c r="I432" s="30" t="s">
        <v>826</v>
      </c>
      <c r="L432" s="2"/>
      <c r="V432" s="6" t="str">
        <f t="shared" si="87"/>
        <v>HPQB34F OR HPQB34</v>
      </c>
      <c r="W43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v>
      </c>
      <c r="AA432" s="6" t="str">
        <f t="shared" si="72"/>
        <v>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v>
      </c>
    </row>
    <row r="433">
      <c r="A433" s="2">
        <v>0.0</v>
      </c>
      <c r="B433" s="2" t="s">
        <v>800</v>
      </c>
      <c r="C433" s="2" t="s">
        <v>1804</v>
      </c>
      <c r="D433" s="2" t="s">
        <v>1804</v>
      </c>
      <c r="E433" s="2" t="s">
        <v>821</v>
      </c>
      <c r="F433" s="2" t="s">
        <v>2385</v>
      </c>
      <c r="G433" s="2" t="s">
        <v>2378</v>
      </c>
      <c r="H433" s="30" t="s">
        <v>822</v>
      </c>
      <c r="I433" s="30" t="s">
        <v>823</v>
      </c>
      <c r="V433" s="6" t="str">
        <f t="shared" si="87"/>
        <v>ITLC34F OR ITLC34</v>
      </c>
      <c r="W43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v>
      </c>
      <c r="AA433" s="6" t="str">
        <f t="shared" si="72"/>
        <v>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v>
      </c>
    </row>
    <row r="434">
      <c r="A434" s="2">
        <v>0.0</v>
      </c>
      <c r="B434" s="2" t="s">
        <v>800</v>
      </c>
      <c r="C434" s="2" t="s">
        <v>1806</v>
      </c>
      <c r="D434" s="2" t="s">
        <v>1806</v>
      </c>
      <c r="E434" s="2" t="s">
        <v>818</v>
      </c>
      <c r="F434" s="2" t="s">
        <v>2386</v>
      </c>
      <c r="G434" s="2" t="s">
        <v>2378</v>
      </c>
      <c r="H434" s="30" t="s">
        <v>819</v>
      </c>
      <c r="I434" s="30" t="s">
        <v>820</v>
      </c>
      <c r="L434" s="2"/>
      <c r="V434" s="6" t="str">
        <f t="shared" si="87"/>
        <v>IBMB34F OR IBMB34</v>
      </c>
      <c r="W43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v>
      </c>
      <c r="AA434" s="6" t="str">
        <f t="shared" si="72"/>
        <v>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v>
      </c>
    </row>
    <row r="435">
      <c r="A435" s="2">
        <v>0.0</v>
      </c>
      <c r="B435" s="2" t="s">
        <v>800</v>
      </c>
      <c r="C435" s="2" t="s">
        <v>1806</v>
      </c>
      <c r="D435" s="2" t="s">
        <v>1806</v>
      </c>
      <c r="E435" s="2" t="s">
        <v>815</v>
      </c>
      <c r="F435" s="2" t="s">
        <v>2387</v>
      </c>
      <c r="G435" s="2" t="s">
        <v>2378</v>
      </c>
      <c r="H435" s="30" t="s">
        <v>816</v>
      </c>
      <c r="I435" s="30" t="s">
        <v>817</v>
      </c>
      <c r="V435" s="6" t="str">
        <f t="shared" si="87"/>
        <v>MSFT34F OR MSFT34</v>
      </c>
      <c r="W43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v>
      </c>
      <c r="AA435" s="6" t="str">
        <f t="shared" si="72"/>
        <v>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v>
      </c>
    </row>
    <row r="436">
      <c r="A436" s="2">
        <v>0.0</v>
      </c>
      <c r="B436" s="2" t="s">
        <v>800</v>
      </c>
      <c r="C436" s="2" t="s">
        <v>1806</v>
      </c>
      <c r="D436" s="2" t="s">
        <v>1806</v>
      </c>
      <c r="E436" s="2" t="s">
        <v>812</v>
      </c>
      <c r="F436" s="2" t="s">
        <v>2388</v>
      </c>
      <c r="G436" s="2" t="s">
        <v>2378</v>
      </c>
      <c r="H436" s="30" t="s">
        <v>813</v>
      </c>
      <c r="I436" s="30" t="s">
        <v>814</v>
      </c>
      <c r="V436" s="6" t="str">
        <f t="shared" si="87"/>
        <v>ORCL34F OR ORCL34</v>
      </c>
      <c r="W43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v>
      </c>
      <c r="AA436" s="6" t="str">
        <f t="shared" si="72"/>
        <v>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v>
      </c>
    </row>
    <row r="437">
      <c r="A437" s="2">
        <v>0.0</v>
      </c>
      <c r="B437" s="2" t="s">
        <v>800</v>
      </c>
      <c r="C437" s="2" t="s">
        <v>1804</v>
      </c>
      <c r="D437" s="2" t="s">
        <v>1804</v>
      </c>
      <c r="E437" s="2" t="s">
        <v>809</v>
      </c>
      <c r="F437" s="2" t="s">
        <v>2389</v>
      </c>
      <c r="G437" s="2" t="s">
        <v>2378</v>
      </c>
      <c r="H437" s="30" t="s">
        <v>810</v>
      </c>
      <c r="I437" s="30" t="s">
        <v>811</v>
      </c>
      <c r="V437" s="6" t="str">
        <f t="shared" si="87"/>
        <v>QCOM34F OR QCOM34</v>
      </c>
      <c r="W43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v>
      </c>
      <c r="AA437" s="6" t="str">
        <f t="shared" si="72"/>
        <v>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v>
      </c>
    </row>
    <row r="438">
      <c r="A438" s="2">
        <v>0.0</v>
      </c>
      <c r="B438" s="2" t="s">
        <v>800</v>
      </c>
      <c r="C438" s="2" t="s">
        <v>1804</v>
      </c>
      <c r="D438" s="2" t="s">
        <v>1804</v>
      </c>
      <c r="E438" s="2" t="s">
        <v>806</v>
      </c>
      <c r="F438" s="2" t="s">
        <v>2390</v>
      </c>
      <c r="G438" s="2" t="s">
        <v>2378</v>
      </c>
      <c r="H438" s="30" t="s">
        <v>807</v>
      </c>
      <c r="I438" s="30" t="s">
        <v>808</v>
      </c>
      <c r="V438" s="6" t="str">
        <f t="shared" si="87"/>
        <v>XRXB34F OR XRXB34</v>
      </c>
      <c r="W43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v>
      </c>
      <c r="AA438" s="6" t="str">
        <f t="shared" si="72"/>
        <v>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v>
      </c>
    </row>
    <row r="439">
      <c r="A439" s="2">
        <v>0.0</v>
      </c>
      <c r="B439" s="2" t="s">
        <v>756</v>
      </c>
      <c r="C439" s="2" t="s">
        <v>1753</v>
      </c>
      <c r="D439" s="2" t="s">
        <v>1753</v>
      </c>
      <c r="E439" s="2" t="s">
        <v>68</v>
      </c>
      <c r="F439" s="2" t="s">
        <v>2391</v>
      </c>
      <c r="G439" s="2" t="s">
        <v>2378</v>
      </c>
      <c r="H439" s="32" t="s">
        <v>2392</v>
      </c>
      <c r="V439" s="6" t="str">
        <f>H439</f>
        <v>ABTT34</v>
      </c>
      <c r="W43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v>
      </c>
      <c r="AA439" s="6" t="str">
        <f t="shared" si="72"/>
        <v>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v>
      </c>
    </row>
    <row r="440">
      <c r="A440" s="2">
        <v>0.0</v>
      </c>
      <c r="B440" s="2" t="s">
        <v>756</v>
      </c>
      <c r="C440" s="2" t="s">
        <v>1753</v>
      </c>
      <c r="D440" s="2" t="s">
        <v>1753</v>
      </c>
      <c r="E440" s="2" t="s">
        <v>60</v>
      </c>
      <c r="F440" s="2" t="s">
        <v>2393</v>
      </c>
      <c r="G440" s="2" t="s">
        <v>2378</v>
      </c>
      <c r="H440" s="33" t="s">
        <v>61</v>
      </c>
      <c r="I440" s="33" t="s">
        <v>799</v>
      </c>
      <c r="V440" s="6" t="str">
        <f t="shared" ref="V440:V448" si="88">H440&amp;" OR "&amp;I440</f>
        <v>BMYB34F OR BMYB34</v>
      </c>
      <c r="W44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v>
      </c>
      <c r="AA440" s="6" t="str">
        <f t="shared" si="72"/>
        <v>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v>
      </c>
    </row>
    <row r="441">
      <c r="A441" s="2">
        <v>0.0</v>
      </c>
      <c r="B441" s="2" t="s">
        <v>756</v>
      </c>
      <c r="C441" s="2" t="s">
        <v>1753</v>
      </c>
      <c r="D441" s="2" t="s">
        <v>1753</v>
      </c>
      <c r="E441" s="2" t="s">
        <v>51</v>
      </c>
      <c r="F441" s="2" t="s">
        <v>2394</v>
      </c>
      <c r="G441" s="2" t="s">
        <v>2378</v>
      </c>
      <c r="H441" s="30" t="s">
        <v>52</v>
      </c>
      <c r="I441" s="30" t="s">
        <v>794</v>
      </c>
      <c r="V441" s="6" t="str">
        <f t="shared" si="88"/>
        <v>JNJB34F OR JNJB34</v>
      </c>
      <c r="W44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v>
      </c>
      <c r="AA441" s="6" t="str">
        <f t="shared" si="72"/>
        <v>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v>
      </c>
    </row>
    <row r="442">
      <c r="A442" s="2">
        <v>0.0</v>
      </c>
      <c r="B442" s="2" t="s">
        <v>756</v>
      </c>
      <c r="C442" s="2" t="s">
        <v>1753</v>
      </c>
      <c r="D442" s="2" t="s">
        <v>1753</v>
      </c>
      <c r="E442" s="2" t="s">
        <v>770</v>
      </c>
      <c r="F442" s="2" t="s">
        <v>2395</v>
      </c>
      <c r="G442" s="2" t="s">
        <v>2378</v>
      </c>
      <c r="H442" s="30" t="s">
        <v>771</v>
      </c>
      <c r="I442" s="30" t="s">
        <v>772</v>
      </c>
      <c r="V442" s="6" t="str">
        <f t="shared" si="88"/>
        <v>MRCK34F OR MRCK34</v>
      </c>
      <c r="W44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v>
      </c>
      <c r="AA442" s="6" t="str">
        <f t="shared" si="72"/>
        <v>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v>
      </c>
    </row>
    <row r="443">
      <c r="A443" s="2">
        <v>0.0</v>
      </c>
      <c r="B443" s="2" t="s">
        <v>756</v>
      </c>
      <c r="C443" s="2" t="s">
        <v>1753</v>
      </c>
      <c r="D443" s="2" t="s">
        <v>1753</v>
      </c>
      <c r="E443" s="2" t="s">
        <v>767</v>
      </c>
      <c r="F443" s="2" t="s">
        <v>2396</v>
      </c>
      <c r="G443" s="2" t="s">
        <v>2378</v>
      </c>
      <c r="H443" s="30" t="s">
        <v>768</v>
      </c>
      <c r="I443" s="30" t="s">
        <v>769</v>
      </c>
      <c r="V443" s="6" t="str">
        <f t="shared" si="88"/>
        <v>PFIZ34F OR PFIZ34</v>
      </c>
      <c r="W44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v>
      </c>
      <c r="AA443" s="6" t="str">
        <f t="shared" si="72"/>
        <v>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v>
      </c>
    </row>
    <row r="444">
      <c r="A444" s="2">
        <v>0.0</v>
      </c>
      <c r="B444" s="2" t="s">
        <v>2397</v>
      </c>
      <c r="C444" s="2" t="s">
        <v>2397</v>
      </c>
      <c r="D444" s="2" t="s">
        <v>2398</v>
      </c>
      <c r="E444" s="2" t="s">
        <v>56</v>
      </c>
      <c r="F444" s="2" t="s">
        <v>2399</v>
      </c>
      <c r="G444" s="2" t="s">
        <v>2378</v>
      </c>
      <c r="H444" s="30" t="s">
        <v>57</v>
      </c>
      <c r="I444" s="30" t="s">
        <v>753</v>
      </c>
      <c r="V444" s="6" t="str">
        <f t="shared" si="88"/>
        <v>EXXO34F OR EXXO34</v>
      </c>
      <c r="W44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v>
      </c>
      <c r="AA444" s="6" t="str">
        <f t="shared" si="72"/>
        <v>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v>
      </c>
    </row>
    <row r="445">
      <c r="A445" s="2">
        <v>0.0</v>
      </c>
      <c r="B445" s="2" t="s">
        <v>2397</v>
      </c>
      <c r="C445" s="2" t="s">
        <v>2397</v>
      </c>
      <c r="D445" s="2" t="s">
        <v>2398</v>
      </c>
      <c r="E445" s="2" t="s">
        <v>727</v>
      </c>
      <c r="F445" s="2" t="s">
        <v>2400</v>
      </c>
      <c r="G445" s="2" t="s">
        <v>2378</v>
      </c>
      <c r="H445" s="30" t="s">
        <v>728</v>
      </c>
      <c r="I445" s="33" t="s">
        <v>729</v>
      </c>
      <c r="V445" s="6" t="str">
        <f t="shared" si="88"/>
        <v>CHVX34F OR CHVX34</v>
      </c>
      <c r="W44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v>
      </c>
      <c r="AA445" s="6" t="str">
        <f t="shared" si="72"/>
        <v>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v>
      </c>
    </row>
    <row r="446">
      <c r="A446" s="2">
        <v>0.0</v>
      </c>
      <c r="B446" s="2" t="s">
        <v>2397</v>
      </c>
      <c r="C446" s="2" t="s">
        <v>2397</v>
      </c>
      <c r="D446" s="2" t="s">
        <v>2398</v>
      </c>
      <c r="E446" s="2" t="s">
        <v>725</v>
      </c>
      <c r="F446" s="2" t="s">
        <v>2401</v>
      </c>
      <c r="G446" s="2" t="s">
        <v>2378</v>
      </c>
      <c r="H446" s="30" t="s">
        <v>726</v>
      </c>
      <c r="I446" s="34" t="s">
        <v>2402</v>
      </c>
      <c r="V446" s="6" t="str">
        <f t="shared" si="88"/>
        <v>COPH34 OR COPH34F</v>
      </c>
      <c r="W44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v>
      </c>
      <c r="AA446" s="6" t="str">
        <f t="shared" si="72"/>
        <v>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v>
      </c>
    </row>
    <row r="447">
      <c r="A447" s="2">
        <v>0.0</v>
      </c>
      <c r="B447" s="2" t="s">
        <v>2397</v>
      </c>
      <c r="C447" s="2" t="s">
        <v>2397</v>
      </c>
      <c r="D447" s="2" t="s">
        <v>1018</v>
      </c>
      <c r="E447" s="2" t="s">
        <v>722</v>
      </c>
      <c r="F447" s="2" t="s">
        <v>2403</v>
      </c>
      <c r="G447" s="2" t="s">
        <v>2378</v>
      </c>
      <c r="H447" s="30" t="s">
        <v>723</v>
      </c>
      <c r="I447" s="34" t="s">
        <v>724</v>
      </c>
      <c r="V447" s="6" t="str">
        <f t="shared" si="88"/>
        <v>HALI34F OR HALI34</v>
      </c>
      <c r="W44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v>
      </c>
      <c r="AA447" s="6" t="str">
        <f t="shared" si="72"/>
        <v>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v>
      </c>
    </row>
    <row r="448">
      <c r="A448" s="2">
        <v>0.0</v>
      </c>
      <c r="B448" s="2" t="s">
        <v>2397</v>
      </c>
      <c r="C448" s="2" t="s">
        <v>2397</v>
      </c>
      <c r="D448" s="2" t="s">
        <v>1018</v>
      </c>
      <c r="E448" s="2" t="s">
        <v>719</v>
      </c>
      <c r="F448" s="2" t="s">
        <v>2404</v>
      </c>
      <c r="G448" s="2" t="s">
        <v>2378</v>
      </c>
      <c r="H448" s="30" t="s">
        <v>720</v>
      </c>
      <c r="I448" s="34" t="s">
        <v>721</v>
      </c>
      <c r="V448" s="6" t="str">
        <f t="shared" si="88"/>
        <v>SLBG34F OR SLBG34</v>
      </c>
      <c r="W44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v>
      </c>
      <c r="AA448" s="6" t="str">
        <f t="shared" si="72"/>
        <v>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v>
      </c>
    </row>
    <row r="449">
      <c r="A449" s="2">
        <v>0.0</v>
      </c>
      <c r="B449" s="2" t="s">
        <v>2405</v>
      </c>
      <c r="C449" s="2" t="s">
        <v>2405</v>
      </c>
      <c r="D449" s="2" t="s">
        <v>2405</v>
      </c>
      <c r="E449" s="35" t="s">
        <v>716</v>
      </c>
      <c r="F449" s="2" t="s">
        <v>2406</v>
      </c>
      <c r="G449" s="2" t="s">
        <v>2378</v>
      </c>
      <c r="H449" s="32" t="s">
        <v>2407</v>
      </c>
      <c r="V449" s="6" t="str">
        <f>H449</f>
        <v>TSNF34</v>
      </c>
      <c r="W44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v>
      </c>
      <c r="AA449" s="6" t="str">
        <f t="shared" si="72"/>
        <v>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v>
      </c>
    </row>
    <row r="450">
      <c r="A450" s="2">
        <v>0.0</v>
      </c>
      <c r="B450" s="2" t="s">
        <v>800</v>
      </c>
      <c r="C450" s="2" t="s">
        <v>1806</v>
      </c>
      <c r="D450" s="2" t="s">
        <v>1806</v>
      </c>
      <c r="E450" s="2" t="s">
        <v>713</v>
      </c>
      <c r="F450" s="2" t="s">
        <v>2408</v>
      </c>
      <c r="G450" s="2" t="s">
        <v>2378</v>
      </c>
      <c r="H450" s="30" t="s">
        <v>714</v>
      </c>
      <c r="I450" s="34" t="s">
        <v>715</v>
      </c>
      <c r="V450" s="6" t="str">
        <f t="shared" ref="V450:V461" si="89">H450&amp;" OR "&amp;I450</f>
        <v>TWTR34F OR TWTR34</v>
      </c>
      <c r="W45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v>
      </c>
      <c r="AA450" s="6" t="str">
        <f t="shared" si="72"/>
        <v>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v>
      </c>
    </row>
    <row r="451">
      <c r="A451" s="2">
        <v>0.0</v>
      </c>
      <c r="B451" s="2" t="s">
        <v>2405</v>
      </c>
      <c r="C451" s="2" t="s">
        <v>2405</v>
      </c>
      <c r="D451" s="2" t="s">
        <v>2405</v>
      </c>
      <c r="E451" s="35" t="s">
        <v>710</v>
      </c>
      <c r="F451" s="2" t="s">
        <v>2409</v>
      </c>
      <c r="G451" s="2" t="s">
        <v>2378</v>
      </c>
      <c r="H451" s="36" t="s">
        <v>711</v>
      </c>
      <c r="I451" s="37" t="s">
        <v>712</v>
      </c>
      <c r="V451" s="6" t="str">
        <f t="shared" si="89"/>
        <v>TXSA34F OR TXSA34</v>
      </c>
      <c r="W45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v>
      </c>
      <c r="AA451" s="6" t="str">
        <f t="shared" si="72"/>
        <v>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v>
      </c>
    </row>
    <row r="452">
      <c r="A452" s="2">
        <v>0.0</v>
      </c>
      <c r="B452" s="2" t="s">
        <v>2405</v>
      </c>
      <c r="C452" s="2" t="s">
        <v>2405</v>
      </c>
      <c r="D452" s="2" t="s">
        <v>2405</v>
      </c>
      <c r="E452" s="35" t="s">
        <v>707</v>
      </c>
      <c r="F452" s="2" t="s">
        <v>2410</v>
      </c>
      <c r="G452" s="2" t="s">
        <v>2378</v>
      </c>
      <c r="H452" s="36" t="s">
        <v>708</v>
      </c>
      <c r="I452" s="37" t="s">
        <v>709</v>
      </c>
      <c r="V452" s="6" t="str">
        <f t="shared" si="89"/>
        <v>U1AI34F OR U1AI34</v>
      </c>
      <c r="W45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v>
      </c>
      <c r="AA452" s="6" t="str">
        <f t="shared" si="72"/>
        <v>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v>
      </c>
    </row>
    <row r="453">
      <c r="A453" s="2">
        <v>0.0</v>
      </c>
      <c r="B453" s="2" t="s">
        <v>2405</v>
      </c>
      <c r="C453" s="2" t="s">
        <v>2405</v>
      </c>
      <c r="D453" s="2" t="s">
        <v>2405</v>
      </c>
      <c r="E453" s="35" t="s">
        <v>704</v>
      </c>
      <c r="F453" s="2" t="s">
        <v>2411</v>
      </c>
      <c r="G453" s="2" t="s">
        <v>2378</v>
      </c>
      <c r="H453" s="32" t="s">
        <v>706</v>
      </c>
      <c r="I453" s="38" t="s">
        <v>705</v>
      </c>
      <c r="V453" s="6" t="str">
        <f t="shared" si="89"/>
        <v>U1AL34 OR U1AL34F</v>
      </c>
      <c r="W45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v>
      </c>
      <c r="AB453" s="6" t="str">
        <f>V453&amp;" OR "&amp;V454</f>
        <v>U1AL34 OR U1AL34F OR U1BE34F OR U1BE34</v>
      </c>
    </row>
    <row r="454">
      <c r="A454" s="2">
        <v>0.0</v>
      </c>
      <c r="B454" s="2" t="s">
        <v>2405</v>
      </c>
      <c r="C454" s="2" t="s">
        <v>2405</v>
      </c>
      <c r="D454" s="2" t="s">
        <v>2405</v>
      </c>
      <c r="E454" s="35" t="s">
        <v>701</v>
      </c>
      <c r="F454" s="2" t="s">
        <v>2412</v>
      </c>
      <c r="G454" s="2" t="s">
        <v>2378</v>
      </c>
      <c r="H454" s="36" t="s">
        <v>702</v>
      </c>
      <c r="I454" s="37" t="s">
        <v>703</v>
      </c>
      <c r="V454" s="6" t="str">
        <f t="shared" si="89"/>
        <v>U1BE34F OR U1BE34</v>
      </c>
      <c r="W45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v>
      </c>
      <c r="AB454" s="6" t="str">
        <f t="shared" ref="AB454:AB533" si="90">AB453&amp;" OR "&amp;V455</f>
        <v>U1AL34 OR U1AL34F OR U1BE34F OR U1BE34 OR U1DR34F OR U1DR34</v>
      </c>
    </row>
    <row r="455">
      <c r="A455" s="2">
        <v>0.0</v>
      </c>
      <c r="B455" s="2" t="s">
        <v>2405</v>
      </c>
      <c r="C455" s="2" t="s">
        <v>2405</v>
      </c>
      <c r="D455" s="2" t="s">
        <v>2405</v>
      </c>
      <c r="E455" s="2" t="s">
        <v>698</v>
      </c>
      <c r="F455" s="2" t="s">
        <v>2413</v>
      </c>
      <c r="G455" s="2" t="s">
        <v>2378</v>
      </c>
      <c r="H455" s="36" t="s">
        <v>699</v>
      </c>
      <c r="I455" s="37" t="s">
        <v>700</v>
      </c>
      <c r="V455" s="6" t="str">
        <f t="shared" si="89"/>
        <v>U1DR34F OR U1DR34</v>
      </c>
      <c r="W45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v>
      </c>
      <c r="AB455" s="6" t="str">
        <f t="shared" si="90"/>
        <v>U1AL34 OR U1AL34F OR U1BE34F OR U1BE34 OR U1DR34F OR U1DR34 OR U1HS34F OR U1HS34</v>
      </c>
    </row>
    <row r="456">
      <c r="A456" s="2">
        <v>0.0</v>
      </c>
      <c r="B456" s="2" t="s">
        <v>2405</v>
      </c>
      <c r="C456" s="2" t="s">
        <v>2405</v>
      </c>
      <c r="D456" s="2" t="s">
        <v>2405</v>
      </c>
      <c r="E456" s="2" t="s">
        <v>695</v>
      </c>
      <c r="F456" s="2" t="s">
        <v>2414</v>
      </c>
      <c r="G456" s="2" t="s">
        <v>2378</v>
      </c>
      <c r="H456" s="36" t="s">
        <v>696</v>
      </c>
      <c r="I456" s="37" t="s">
        <v>697</v>
      </c>
      <c r="V456" s="6" t="str">
        <f t="shared" si="89"/>
        <v>U1HS34F OR U1HS34</v>
      </c>
      <c r="W45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v>
      </c>
      <c r="AB456" s="6" t="str">
        <f t="shared" si="90"/>
        <v>U1AL34 OR U1AL34F OR U1BE34F OR U1BE34 OR U1DR34F OR U1DR34 OR U1HS34F OR U1HS34 OR U1LT34F OR U1LT34</v>
      </c>
    </row>
    <row r="457">
      <c r="A457" s="2">
        <v>0.0</v>
      </c>
      <c r="B457" s="2" t="s">
        <v>2405</v>
      </c>
      <c r="C457" s="2" t="s">
        <v>2405</v>
      </c>
      <c r="D457" s="2" t="s">
        <v>2405</v>
      </c>
      <c r="E457" s="2" t="s">
        <v>692</v>
      </c>
      <c r="F457" s="2" t="s">
        <v>2415</v>
      </c>
      <c r="G457" s="2" t="s">
        <v>2378</v>
      </c>
      <c r="H457" s="36" t="s">
        <v>693</v>
      </c>
      <c r="I457" s="37" t="s">
        <v>694</v>
      </c>
      <c r="V457" s="6" t="str">
        <f t="shared" si="89"/>
        <v>U1LT34F OR U1LT34</v>
      </c>
      <c r="W45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v>
      </c>
      <c r="AB457" s="6" t="str">
        <f t="shared" si="90"/>
        <v>U1AL34 OR U1AL34F OR U1BE34F OR U1BE34 OR U1DR34F OR U1DR34 OR U1HS34F OR U1HS34 OR U1LT34F OR U1LT34 OR U1NM34F OR U1NM34</v>
      </c>
    </row>
    <row r="458">
      <c r="A458" s="2">
        <v>0.0</v>
      </c>
      <c r="B458" s="2" t="s">
        <v>2405</v>
      </c>
      <c r="C458" s="2" t="s">
        <v>2405</v>
      </c>
      <c r="D458" s="2" t="s">
        <v>2405</v>
      </c>
      <c r="E458" s="2" t="s">
        <v>689</v>
      </c>
      <c r="F458" s="2" t="s">
        <v>2416</v>
      </c>
      <c r="G458" s="2" t="s">
        <v>2378</v>
      </c>
      <c r="H458" s="36" t="s">
        <v>690</v>
      </c>
      <c r="I458" s="37" t="s">
        <v>691</v>
      </c>
      <c r="V458" s="6" t="str">
        <f t="shared" si="89"/>
        <v>U1NM34F OR U1NM34</v>
      </c>
      <c r="W45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v>
      </c>
      <c r="AB458" s="6" t="str">
        <f t="shared" si="90"/>
        <v>U1AL34 OR U1AL34F OR U1BE34F OR U1BE34 OR U1DR34F OR U1DR34 OR U1HS34F OR U1HS34 OR U1LT34F OR U1LT34 OR U1NM34F OR U1NM34 OR UPSS34 OR UPSS34F</v>
      </c>
    </row>
    <row r="459">
      <c r="A459" s="2">
        <v>0.0</v>
      </c>
      <c r="B459" s="2" t="s">
        <v>2417</v>
      </c>
      <c r="C459" s="2" t="s">
        <v>1294</v>
      </c>
      <c r="D459" s="2" t="s">
        <v>1337</v>
      </c>
      <c r="E459" s="4" t="s">
        <v>45</v>
      </c>
      <c r="F459" s="2" t="s">
        <v>2418</v>
      </c>
      <c r="G459" s="2" t="s">
        <v>2378</v>
      </c>
      <c r="H459" s="34" t="s">
        <v>47</v>
      </c>
      <c r="I459" s="34" t="s">
        <v>46</v>
      </c>
      <c r="V459" s="6" t="str">
        <f t="shared" si="89"/>
        <v>UPSS34 OR UPSS34F</v>
      </c>
      <c r="W45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v>
      </c>
      <c r="AB459" s="6" t="str">
        <f t="shared" si="90"/>
        <v>U1AL34 OR U1AL34F OR U1BE34F OR U1BE34 OR U1DR34F OR U1DR34 OR U1HS34F OR U1HS34 OR U1LT34F OR U1LT34 OR U1NM34F OR U1NM34 OR UPSS34 OR UPSS34F OR LMTB34F OR LMTB34</v>
      </c>
    </row>
    <row r="460">
      <c r="A460" s="2">
        <v>0.0</v>
      </c>
      <c r="B460" s="2" t="s">
        <v>2417</v>
      </c>
      <c r="C460" s="2" t="s">
        <v>1202</v>
      </c>
      <c r="D460" s="2" t="s">
        <v>1203</v>
      </c>
      <c r="E460" s="4" t="s">
        <v>48</v>
      </c>
      <c r="F460" s="2" t="s">
        <v>2419</v>
      </c>
      <c r="G460" s="2" t="s">
        <v>2378</v>
      </c>
      <c r="H460" s="30" t="s">
        <v>49</v>
      </c>
      <c r="I460" s="30" t="s">
        <v>50</v>
      </c>
      <c r="V460" s="6" t="str">
        <f t="shared" si="89"/>
        <v>LMTB34F OR LMTB34</v>
      </c>
      <c r="W46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v>
      </c>
      <c r="AB460" s="6" t="str">
        <f t="shared" si="90"/>
        <v>U1AL34 OR U1AL34F OR U1BE34F OR U1BE34 OR U1DR34F OR U1DR34 OR U1HS34F OR U1HS34 OR U1LT34F OR U1LT34 OR U1NM34F OR U1NM34 OR UPSS34 OR UPSS34F OR LMTB34F OR LMTB34 OR FDXB34F OR FDXB34</v>
      </c>
    </row>
    <row r="461">
      <c r="A461" s="2">
        <v>0.0</v>
      </c>
      <c r="B461" s="2" t="s">
        <v>2417</v>
      </c>
      <c r="C461" s="2" t="s">
        <v>1294</v>
      </c>
      <c r="D461" s="2" t="s">
        <v>1337</v>
      </c>
      <c r="E461" s="2" t="s">
        <v>53</v>
      </c>
      <c r="F461" s="2" t="s">
        <v>2420</v>
      </c>
      <c r="G461" s="2" t="s">
        <v>2378</v>
      </c>
      <c r="H461" s="30" t="s">
        <v>54</v>
      </c>
      <c r="I461" s="30" t="s">
        <v>55</v>
      </c>
      <c r="V461" s="6" t="str">
        <f t="shared" si="89"/>
        <v>FDXB34F OR FDXB34</v>
      </c>
      <c r="W46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v>
      </c>
      <c r="AB461" s="6" t="str">
        <f t="shared" si="90"/>
        <v>U1AL34 OR U1AL34F OR U1BE34F OR U1BE34 OR U1DR34F OR U1DR34 OR U1HS34F OR U1HS34 OR U1LT34F OR U1LT34 OR U1NM34F OR U1NM34 OR UPSS34 OR UPSS34F OR LMTB34F OR LMTB34 OR FDXB34F OR FDXB34 OR U1RI34</v>
      </c>
    </row>
    <row r="462">
      <c r="A462" s="2">
        <v>0.0</v>
      </c>
      <c r="B462" s="2" t="s">
        <v>2405</v>
      </c>
      <c r="C462" s="2" t="s">
        <v>2405</v>
      </c>
      <c r="D462" s="2" t="s">
        <v>2405</v>
      </c>
      <c r="E462" s="2" t="s">
        <v>686</v>
      </c>
      <c r="F462" s="2" t="s">
        <v>2421</v>
      </c>
      <c r="G462" s="2" t="s">
        <v>2378</v>
      </c>
      <c r="H462" s="30" t="s">
        <v>688</v>
      </c>
      <c r="V462" s="6" t="str">
        <f>H462</f>
        <v>U1RI34</v>
      </c>
      <c r="W46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v>
      </c>
      <c r="AB462" s="6" t="str">
        <f t="shared" si="90"/>
        <v>U1AL34 OR U1AL34F OR U1BE34F OR U1BE34 OR U1DR34F OR U1DR34 OR U1HS34F OR U1HS34 OR U1LT34F OR U1LT34 OR U1NM34F OR U1NM34 OR UPSS34 OR UPSS34F OR LMTB34F OR LMTB34 OR FDXB34F OR FDXB34 OR U1RI34 OR UBSG34 OR UNSG34F</v>
      </c>
    </row>
    <row r="463">
      <c r="A463" s="2">
        <v>0.0</v>
      </c>
      <c r="B463" s="2" t="s">
        <v>375</v>
      </c>
      <c r="C463" s="2" t="s">
        <v>2024</v>
      </c>
      <c r="D463" s="2" t="s">
        <v>2025</v>
      </c>
      <c r="E463" s="2" t="s">
        <v>683</v>
      </c>
      <c r="F463" s="2" t="s">
        <v>2422</v>
      </c>
      <c r="G463" s="2" t="s">
        <v>2378</v>
      </c>
      <c r="H463" s="30" t="s">
        <v>685</v>
      </c>
      <c r="I463" s="39" t="s">
        <v>2423</v>
      </c>
      <c r="V463" s="6" t="str">
        <f>H463&amp;" OR "&amp;I463</f>
        <v>UBSG34 OR UNSG34F</v>
      </c>
      <c r="W46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v>
      </c>
      <c r="AB463" s="6" t="str">
        <f t="shared" si="90"/>
        <v>U1AL34 OR U1AL34F OR U1BE34F OR U1BE34 OR U1DR34F OR U1DR34 OR U1HS34F OR U1HS34 OR U1LT34F OR U1LT34 OR U1NM34F OR U1NM34 OR UPSS34 OR UPSS34F OR LMTB34F OR LMTB34 OR FDXB34F OR FDXB34 OR U1RI34 OR UBSG34 OR UNSG34F OR ULEV34</v>
      </c>
    </row>
    <row r="464">
      <c r="A464" s="2">
        <v>0.0</v>
      </c>
      <c r="B464" s="2" t="s">
        <v>2405</v>
      </c>
      <c r="C464" s="2" t="s">
        <v>2405</v>
      </c>
      <c r="D464" s="2" t="s">
        <v>2405</v>
      </c>
      <c r="E464" s="2" t="s">
        <v>680</v>
      </c>
      <c r="F464" s="2" t="s">
        <v>2424</v>
      </c>
      <c r="G464" s="2" t="s">
        <v>2378</v>
      </c>
      <c r="H464" s="30" t="s">
        <v>682</v>
      </c>
      <c r="V464" s="6" t="str">
        <f>H464</f>
        <v>ULEV34</v>
      </c>
      <c r="W46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v>
      </c>
      <c r="AB464" s="6" t="str">
        <f t="shared" si="90"/>
        <v>U1AL34 OR U1AL34F OR U1BE34F OR U1BE34 OR U1DR34F OR U1DR34 OR U1HS34F OR U1HS34 OR U1LT34F OR U1LT34 OR U1NM34F OR U1NM34 OR UPSS34 OR UPSS34F OR LMTB34F OR LMTB34 OR FDXB34F OR FDXB34 OR U1RI34 OR UBSG34 OR UNSG34F OR ULEV34 OR CATP34F OR CATP34</v>
      </c>
    </row>
    <row r="465">
      <c r="A465" s="2">
        <v>0.0</v>
      </c>
      <c r="B465" s="2" t="s">
        <v>2417</v>
      </c>
      <c r="C465" s="2" t="s">
        <v>1236</v>
      </c>
      <c r="D465" s="2" t="s">
        <v>1277</v>
      </c>
      <c r="E465" s="4" t="s">
        <v>58</v>
      </c>
      <c r="F465" s="2" t="s">
        <v>2425</v>
      </c>
      <c r="G465" s="2" t="s">
        <v>2378</v>
      </c>
      <c r="H465" s="30" t="s">
        <v>59</v>
      </c>
      <c r="I465" s="33" t="s">
        <v>2426</v>
      </c>
      <c r="V465" s="6" t="str">
        <f t="shared" ref="V465:V472" si="91">H465&amp;" OR "&amp;I465</f>
        <v>CATP34F OR CATP34</v>
      </c>
      <c r="W46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v>
      </c>
      <c r="AB465" s="6" t="str">
        <f t="shared" si="90"/>
        <v>U1AL34 OR U1AL34F OR U1BE34F OR U1BE34 OR U1DR34F OR U1DR34 OR U1HS34F OR U1HS34 OR U1LT34F OR U1LT34 OR U1NM34F OR U1NM34 OR UPSS34 OR UPSS34F OR LMTB34F OR LMTB34 OR FDXB34F OR FDXB34 OR U1RI34 OR UBSG34 OR UNSG34F OR ULEV34 OR CATP34F OR CATP34 OR BOEI34F OR BOEI34</v>
      </c>
    </row>
    <row r="466">
      <c r="A466" s="2">
        <v>0.0</v>
      </c>
      <c r="B466" s="2" t="s">
        <v>2417</v>
      </c>
      <c r="C466" s="2" t="s">
        <v>1202</v>
      </c>
      <c r="D466" s="2" t="s">
        <v>1203</v>
      </c>
      <c r="E466" s="4" t="s">
        <v>62</v>
      </c>
      <c r="F466" s="2" t="s">
        <v>2427</v>
      </c>
      <c r="G466" s="2" t="s">
        <v>2378</v>
      </c>
      <c r="H466" s="30" t="s">
        <v>63</v>
      </c>
      <c r="I466" s="33" t="s">
        <v>2428</v>
      </c>
      <c r="V466" s="6" t="str">
        <f t="shared" si="91"/>
        <v>BOEI34F OR BOEI34</v>
      </c>
      <c r="W46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v>
      </c>
      <c r="AB466" s="6" t="str">
        <f t="shared" si="90"/>
        <v>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v>
      </c>
    </row>
    <row r="467">
      <c r="A467" s="2">
        <v>0.0</v>
      </c>
      <c r="B467" s="2" t="s">
        <v>507</v>
      </c>
      <c r="C467" s="2" t="s">
        <v>2429</v>
      </c>
      <c r="D467" s="2" t="s">
        <v>1044</v>
      </c>
      <c r="E467" s="40" t="s">
        <v>64</v>
      </c>
      <c r="F467" s="2" t="s">
        <v>2430</v>
      </c>
      <c r="G467" s="2" t="s">
        <v>2378</v>
      </c>
      <c r="H467" s="30" t="s">
        <v>65</v>
      </c>
      <c r="I467" s="33" t="s">
        <v>565</v>
      </c>
      <c r="V467" s="6" t="str">
        <f t="shared" si="91"/>
        <v>ARMT34F OR ARMT34</v>
      </c>
      <c r="W46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v>
      </c>
      <c r="AB467" s="6" t="str">
        <f t="shared" si="90"/>
        <v>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v>
      </c>
    </row>
    <row r="468">
      <c r="A468" s="2">
        <v>0.0</v>
      </c>
      <c r="B468" s="2" t="s">
        <v>756</v>
      </c>
      <c r="C468" s="2" t="s">
        <v>1753</v>
      </c>
      <c r="D468" s="2" t="s">
        <v>1753</v>
      </c>
      <c r="E468" s="4" t="s">
        <v>66</v>
      </c>
      <c r="F468" s="2" t="s">
        <v>2431</v>
      </c>
      <c r="G468" s="2" t="s">
        <v>2378</v>
      </c>
      <c r="H468" s="30" t="s">
        <v>67</v>
      </c>
      <c r="I468" s="33" t="s">
        <v>506</v>
      </c>
      <c r="V468" s="6" t="str">
        <f t="shared" si="91"/>
        <v>AXPB34F OR AXPB34</v>
      </c>
      <c r="W46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v>
      </c>
      <c r="AB468" s="6" t="str">
        <f t="shared" si="90"/>
        <v>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v>
      </c>
    </row>
    <row r="469">
      <c r="A469" s="2">
        <v>0.0</v>
      </c>
      <c r="B469" s="2" t="s">
        <v>2405</v>
      </c>
      <c r="C469" s="2" t="s">
        <v>2405</v>
      </c>
      <c r="D469" s="2" t="s">
        <v>2405</v>
      </c>
      <c r="E469" s="2" t="s">
        <v>677</v>
      </c>
      <c r="F469" s="2" t="s">
        <v>2432</v>
      </c>
      <c r="G469" s="2" t="s">
        <v>2378</v>
      </c>
      <c r="H469" s="36" t="s">
        <v>678</v>
      </c>
      <c r="I469" s="37" t="s">
        <v>679</v>
      </c>
      <c r="V469" s="6" t="str">
        <f t="shared" si="91"/>
        <v>UNHH34F OR UNHH34</v>
      </c>
      <c r="W46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v>
      </c>
      <c r="AB469" s="6" t="str">
        <f t="shared" si="90"/>
        <v>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v>
      </c>
    </row>
    <row r="470">
      <c r="A470" s="2">
        <v>0.0</v>
      </c>
      <c r="B470" s="2" t="s">
        <v>4</v>
      </c>
      <c r="C470" s="2" t="s">
        <v>1294</v>
      </c>
      <c r="D470" s="2" t="s">
        <v>1301</v>
      </c>
      <c r="E470" s="25" t="s">
        <v>674</v>
      </c>
      <c r="F470" s="2" t="s">
        <v>2433</v>
      </c>
      <c r="G470" s="2" t="s">
        <v>2378</v>
      </c>
      <c r="H470" s="30" t="s">
        <v>675</v>
      </c>
      <c r="I470" s="30" t="s">
        <v>676</v>
      </c>
      <c r="V470" s="6" t="str">
        <f t="shared" si="91"/>
        <v>UPAC34F OR UPAC34</v>
      </c>
      <c r="W47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v>
      </c>
      <c r="AB470" s="6" t="str">
        <f t="shared" si="90"/>
        <v>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v>
      </c>
    </row>
    <row r="471">
      <c r="A471" s="2">
        <v>0.0</v>
      </c>
      <c r="B471" s="2" t="s">
        <v>375</v>
      </c>
      <c r="C471" s="2" t="s">
        <v>2024</v>
      </c>
      <c r="D471" s="2" t="s">
        <v>2025</v>
      </c>
      <c r="E471" s="25" t="s">
        <v>671</v>
      </c>
      <c r="F471" s="2" t="s">
        <v>2434</v>
      </c>
      <c r="G471" s="2" t="s">
        <v>2378</v>
      </c>
      <c r="H471" s="30" t="s">
        <v>672</v>
      </c>
      <c r="I471" s="30" t="s">
        <v>673</v>
      </c>
      <c r="V471" s="6" t="str">
        <f t="shared" si="91"/>
        <v>USBC34F OR USBC34</v>
      </c>
      <c r="W47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v>
      </c>
      <c r="AB471" s="6" t="str">
        <f t="shared" si="90"/>
        <v>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v>
      </c>
    </row>
    <row r="472">
      <c r="A472" s="2">
        <v>0.0</v>
      </c>
      <c r="B472" s="2" t="s">
        <v>507</v>
      </c>
      <c r="C472" s="2" t="s">
        <v>1043</v>
      </c>
      <c r="D472" s="2" t="s">
        <v>1064</v>
      </c>
      <c r="E472" s="35" t="s">
        <v>2435</v>
      </c>
      <c r="F472" s="2" t="s">
        <v>2436</v>
      </c>
      <c r="G472" s="2" t="s">
        <v>2378</v>
      </c>
      <c r="H472" s="30" t="s">
        <v>670</v>
      </c>
      <c r="I472" s="34" t="s">
        <v>2437</v>
      </c>
      <c r="V472" s="6" t="str">
        <f t="shared" si="91"/>
        <v>USSX34F OR USSX34</v>
      </c>
      <c r="W47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v>
      </c>
      <c r="AB472" s="6" t="str">
        <f t="shared" si="90"/>
        <v>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v>
      </c>
    </row>
    <row r="473">
      <c r="A473" s="2">
        <v>0.0</v>
      </c>
      <c r="B473" s="2" t="s">
        <v>2405</v>
      </c>
      <c r="C473" s="2" t="s">
        <v>2405</v>
      </c>
      <c r="D473" s="2" t="s">
        <v>2405</v>
      </c>
      <c r="E473" s="2" t="s">
        <v>666</v>
      </c>
      <c r="F473" s="2" t="s">
        <v>2438</v>
      </c>
      <c r="G473" s="2" t="s">
        <v>2378</v>
      </c>
      <c r="H473" s="30" t="s">
        <v>668</v>
      </c>
      <c r="V473" s="6" t="str">
        <f t="shared" ref="V473:V478" si="92">H473</f>
        <v>V1AR34</v>
      </c>
      <c r="W47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v>
      </c>
      <c r="AB473" s="6" t="str">
        <f t="shared" si="90"/>
        <v>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v>
      </c>
    </row>
    <row r="474">
      <c r="A474" s="2">
        <v>0.0</v>
      </c>
      <c r="B474" s="2" t="s">
        <v>2405</v>
      </c>
      <c r="C474" s="2" t="s">
        <v>2405</v>
      </c>
      <c r="D474" s="2" t="s">
        <v>2405</v>
      </c>
      <c r="E474" s="2" t="s">
        <v>663</v>
      </c>
      <c r="F474" s="2" t="s">
        <v>2439</v>
      </c>
      <c r="G474" s="2" t="s">
        <v>2378</v>
      </c>
      <c r="H474" s="30" t="s">
        <v>665</v>
      </c>
      <c r="V474" s="6" t="str">
        <f t="shared" si="92"/>
        <v>V1MC34</v>
      </c>
      <c r="W47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v>
      </c>
      <c r="AB474" s="6" t="str">
        <f t="shared" si="90"/>
        <v>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v>
      </c>
    </row>
    <row r="475">
      <c r="A475" s="2">
        <v>0.0</v>
      </c>
      <c r="B475" s="2" t="s">
        <v>2405</v>
      </c>
      <c r="C475" s="2" t="s">
        <v>2405</v>
      </c>
      <c r="D475" s="2" t="s">
        <v>2405</v>
      </c>
      <c r="E475" s="2" t="s">
        <v>660</v>
      </c>
      <c r="F475" s="2" t="s">
        <v>2440</v>
      </c>
      <c r="G475" s="2" t="s">
        <v>2378</v>
      </c>
      <c r="H475" s="30" t="s">
        <v>662</v>
      </c>
      <c r="V475" s="6" t="str">
        <f t="shared" si="92"/>
        <v>V1NO34</v>
      </c>
      <c r="W47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v>
      </c>
      <c r="AB475" s="6" t="str">
        <f t="shared" si="90"/>
        <v>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v>
      </c>
    </row>
    <row r="476">
      <c r="A476" s="2">
        <v>0.0</v>
      </c>
      <c r="B476" s="2" t="s">
        <v>2405</v>
      </c>
      <c r="C476" s="2" t="s">
        <v>2405</v>
      </c>
      <c r="D476" s="2" t="s">
        <v>2405</v>
      </c>
      <c r="E476" s="2" t="s">
        <v>657</v>
      </c>
      <c r="F476" s="2" t="s">
        <v>2441</v>
      </c>
      <c r="G476" s="2" t="s">
        <v>2378</v>
      </c>
      <c r="H476" s="30" t="s">
        <v>659</v>
      </c>
      <c r="V476" s="6" t="str">
        <f t="shared" si="92"/>
        <v>V1RS34</v>
      </c>
      <c r="W47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v>
      </c>
      <c r="AB476" s="6" t="str">
        <f t="shared" si="90"/>
        <v>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v>
      </c>
    </row>
    <row r="477">
      <c r="A477" s="2">
        <v>0.0</v>
      </c>
      <c r="B477" s="2" t="s">
        <v>2405</v>
      </c>
      <c r="C477" s="2" t="s">
        <v>2405</v>
      </c>
      <c r="D477" s="2" t="s">
        <v>2405</v>
      </c>
      <c r="E477" s="2" t="s">
        <v>654</v>
      </c>
      <c r="F477" s="2" t="s">
        <v>2442</v>
      </c>
      <c r="G477" s="2" t="s">
        <v>2378</v>
      </c>
      <c r="H477" s="30" t="s">
        <v>656</v>
      </c>
      <c r="V477" s="6" t="str">
        <f t="shared" si="92"/>
        <v>V1TA34</v>
      </c>
      <c r="W47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v>
      </c>
      <c r="AB477" s="6" t="str">
        <f t="shared" si="90"/>
        <v>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v>
      </c>
    </row>
    <row r="478">
      <c r="A478" s="2">
        <v>0.0</v>
      </c>
      <c r="B478" s="2" t="s">
        <v>2405</v>
      </c>
      <c r="C478" s="2" t="s">
        <v>2405</v>
      </c>
      <c r="D478" s="2" t="s">
        <v>2405</v>
      </c>
      <c r="E478" s="2" t="s">
        <v>2443</v>
      </c>
      <c r="F478" s="2" t="s">
        <v>2444</v>
      </c>
      <c r="G478" s="2" t="s">
        <v>2378</v>
      </c>
      <c r="H478" s="30" t="s">
        <v>653</v>
      </c>
      <c r="V478" s="6" t="str">
        <f t="shared" si="92"/>
        <v>VFCO34</v>
      </c>
      <c r="W47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v>
      </c>
      <c r="AB478" s="6" t="str">
        <f t="shared" si="90"/>
        <v>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v>
      </c>
    </row>
    <row r="479">
      <c r="A479" s="2">
        <v>0.0</v>
      </c>
      <c r="B479" s="2" t="s">
        <v>1823</v>
      </c>
      <c r="C479" s="2" t="s">
        <v>1835</v>
      </c>
      <c r="D479" s="2" t="s">
        <v>1836</v>
      </c>
      <c r="E479" s="2" t="s">
        <v>169</v>
      </c>
      <c r="F479" s="2" t="s">
        <v>2445</v>
      </c>
      <c r="G479" s="2" t="s">
        <v>2378</v>
      </c>
      <c r="H479" s="37" t="s">
        <v>170</v>
      </c>
      <c r="I479" s="37" t="s">
        <v>171</v>
      </c>
      <c r="V479" s="6" t="str">
        <f t="shared" ref="V479:V482" si="93">H479&amp;" OR "&amp;I479</f>
        <v>NFLX34F OR NFLX34</v>
      </c>
      <c r="W47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v>
      </c>
      <c r="AB479" s="6" t="str">
        <f t="shared" si="90"/>
        <v>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v>
      </c>
    </row>
    <row r="480">
      <c r="A480" s="2">
        <v>0.0</v>
      </c>
      <c r="B480" s="2" t="s">
        <v>2397</v>
      </c>
      <c r="C480" s="2" t="s">
        <v>2397</v>
      </c>
      <c r="D480" s="2" t="s">
        <v>2398</v>
      </c>
      <c r="E480" s="2" t="s">
        <v>648</v>
      </c>
      <c r="F480" s="2" t="s">
        <v>2446</v>
      </c>
      <c r="G480" s="2" t="s">
        <v>2378</v>
      </c>
      <c r="H480" s="30" t="s">
        <v>650</v>
      </c>
      <c r="I480" s="30" t="s">
        <v>649</v>
      </c>
      <c r="V480" s="6" t="str">
        <f t="shared" si="93"/>
        <v>VLOE34 OR VLOE34F</v>
      </c>
      <c r="W48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v>
      </c>
      <c r="AB480" s="6" t="str">
        <f t="shared" si="90"/>
        <v>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v>
      </c>
    </row>
    <row r="481">
      <c r="A481" s="2">
        <v>0.0</v>
      </c>
      <c r="B481" s="2" t="s">
        <v>165</v>
      </c>
      <c r="C481" s="2" t="s">
        <v>2447</v>
      </c>
      <c r="D481" s="2" t="s">
        <v>1612</v>
      </c>
      <c r="E481" s="2" t="s">
        <v>172</v>
      </c>
      <c r="F481" s="2" t="s">
        <v>2448</v>
      </c>
      <c r="G481" s="2" t="s">
        <v>2378</v>
      </c>
      <c r="H481" s="37" t="s">
        <v>173</v>
      </c>
      <c r="I481" s="37" t="s">
        <v>174</v>
      </c>
      <c r="V481" s="6" t="str">
        <f t="shared" si="93"/>
        <v>NIKE34F OR NIKE34</v>
      </c>
      <c r="W48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v>
      </c>
      <c r="AB481" s="6" t="str">
        <f t="shared" si="90"/>
        <v>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v>
      </c>
    </row>
    <row r="482">
      <c r="A482" s="2">
        <v>0.0</v>
      </c>
      <c r="B482" s="2" t="s">
        <v>165</v>
      </c>
      <c r="C482" s="2" t="s">
        <v>1653</v>
      </c>
      <c r="D482" s="2" t="s">
        <v>1660</v>
      </c>
      <c r="E482" s="4" t="s">
        <v>175</v>
      </c>
      <c r="F482" s="2" t="s">
        <v>2449</v>
      </c>
      <c r="G482" s="2" t="s">
        <v>2378</v>
      </c>
      <c r="H482" s="37" t="s">
        <v>176</v>
      </c>
      <c r="I482" s="37" t="s">
        <v>177</v>
      </c>
      <c r="V482" s="6" t="str">
        <f t="shared" si="93"/>
        <v>MCDC34F OR MCDC34</v>
      </c>
      <c r="W48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v>
      </c>
      <c r="AB482" s="6" t="str">
        <f t="shared" si="90"/>
        <v>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v>
      </c>
    </row>
    <row r="483">
      <c r="A483" s="2">
        <v>0.0</v>
      </c>
      <c r="B483" s="2" t="s">
        <v>2405</v>
      </c>
      <c r="C483" s="2" t="s">
        <v>2405</v>
      </c>
      <c r="D483" s="2" t="s">
        <v>2405</v>
      </c>
      <c r="E483" s="2" t="s">
        <v>645</v>
      </c>
      <c r="F483" s="2" t="s">
        <v>2450</v>
      </c>
      <c r="G483" s="2" t="s">
        <v>2378</v>
      </c>
      <c r="H483" s="41" t="s">
        <v>647</v>
      </c>
      <c r="V483" s="6" t="str">
        <f t="shared" ref="V483:V500" si="94">H483</f>
        <v>VLYB34</v>
      </c>
      <c r="W48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v>
      </c>
      <c r="AB483" s="6" t="str">
        <f t="shared" si="90"/>
        <v>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v>
      </c>
    </row>
    <row r="484">
      <c r="A484" s="2">
        <v>0.0</v>
      </c>
      <c r="B484" s="2" t="s">
        <v>2405</v>
      </c>
      <c r="C484" s="2" t="s">
        <v>2405</v>
      </c>
      <c r="D484" s="2" t="s">
        <v>2405</v>
      </c>
      <c r="E484" s="2" t="s">
        <v>642</v>
      </c>
      <c r="F484" s="2" t="s">
        <v>2451</v>
      </c>
      <c r="G484" s="2" t="s">
        <v>2378</v>
      </c>
      <c r="H484" s="30" t="s">
        <v>644</v>
      </c>
      <c r="V484" s="6" t="str">
        <f t="shared" si="94"/>
        <v>VRSN34</v>
      </c>
      <c r="W48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v>
      </c>
      <c r="AB484" s="6" t="str">
        <f t="shared" si="90"/>
        <v>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v>
      </c>
    </row>
    <row r="485">
      <c r="A485" s="2">
        <v>0.0</v>
      </c>
      <c r="B485" s="2" t="s">
        <v>2405</v>
      </c>
      <c r="C485" s="2" t="s">
        <v>2405</v>
      </c>
      <c r="D485" s="2" t="s">
        <v>2405</v>
      </c>
      <c r="E485" s="2" t="s">
        <v>639</v>
      </c>
      <c r="F485" s="2" t="s">
        <v>2452</v>
      </c>
      <c r="G485" s="2" t="s">
        <v>2378</v>
      </c>
      <c r="H485" s="30" t="s">
        <v>641</v>
      </c>
      <c r="V485" s="6" t="str">
        <f t="shared" si="94"/>
        <v>VRTX34</v>
      </c>
      <c r="W48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v>
      </c>
      <c r="AB485" s="6" t="str">
        <f t="shared" si="90"/>
        <v>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v>
      </c>
    </row>
    <row r="486">
      <c r="A486" s="2">
        <v>0.0</v>
      </c>
      <c r="B486" s="2" t="s">
        <v>2405</v>
      </c>
      <c r="C486" s="2" t="s">
        <v>2405</v>
      </c>
      <c r="D486" s="2" t="s">
        <v>2405</v>
      </c>
      <c r="E486" s="2" t="s">
        <v>636</v>
      </c>
      <c r="F486" s="2" t="s">
        <v>2453</v>
      </c>
      <c r="G486" s="2" t="s">
        <v>2378</v>
      </c>
      <c r="H486" s="30" t="s">
        <v>638</v>
      </c>
      <c r="V486" s="6" t="str">
        <f t="shared" si="94"/>
        <v>W1AB34</v>
      </c>
      <c r="W48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v>
      </c>
      <c r="AB486" s="6" t="str">
        <f t="shared" si="90"/>
        <v>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v>
      </c>
    </row>
    <row r="487">
      <c r="A487" s="2">
        <v>0.0</v>
      </c>
      <c r="B487" s="2" t="s">
        <v>2405</v>
      </c>
      <c r="C487" s="2" t="s">
        <v>2405</v>
      </c>
      <c r="D487" s="2" t="s">
        <v>2405</v>
      </c>
      <c r="E487" s="2" t="s">
        <v>633</v>
      </c>
      <c r="F487" s="2" t="s">
        <v>2454</v>
      </c>
      <c r="G487" s="2" t="s">
        <v>2378</v>
      </c>
      <c r="H487" s="30" t="s">
        <v>635</v>
      </c>
      <c r="V487" s="6" t="str">
        <f t="shared" si="94"/>
        <v>W1DA34</v>
      </c>
      <c r="W48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v>
      </c>
      <c r="AB487" s="6" t="str">
        <f t="shared" si="90"/>
        <v>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v>
      </c>
    </row>
    <row r="488">
      <c r="A488" s="2">
        <v>0.0</v>
      </c>
      <c r="B488" s="2" t="s">
        <v>2405</v>
      </c>
      <c r="C488" s="2" t="s">
        <v>2405</v>
      </c>
      <c r="D488" s="2" t="s">
        <v>2405</v>
      </c>
      <c r="E488" s="2" t="s">
        <v>630</v>
      </c>
      <c r="F488" s="2" t="s">
        <v>2455</v>
      </c>
      <c r="G488" s="2" t="s">
        <v>2378</v>
      </c>
      <c r="H488" s="30" t="s">
        <v>632</v>
      </c>
      <c r="V488" s="6" t="str">
        <f t="shared" si="94"/>
        <v>W1DC34</v>
      </c>
      <c r="W48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v>
      </c>
      <c r="AB488" s="6" t="str">
        <f t="shared" si="90"/>
        <v>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v>
      </c>
    </row>
    <row r="489">
      <c r="A489" s="2">
        <v>0.0</v>
      </c>
      <c r="B489" s="2" t="s">
        <v>2405</v>
      </c>
      <c r="C489" s="2" t="s">
        <v>2405</v>
      </c>
      <c r="D489" s="2" t="s">
        <v>2405</v>
      </c>
      <c r="E489" s="2" t="s">
        <v>627</v>
      </c>
      <c r="F489" s="2" t="s">
        <v>2456</v>
      </c>
      <c r="G489" s="2" t="s">
        <v>2378</v>
      </c>
      <c r="H489" s="30" t="s">
        <v>629</v>
      </c>
      <c r="V489" s="6" t="str">
        <f t="shared" si="94"/>
        <v>W1EC34</v>
      </c>
      <c r="W48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v>
      </c>
      <c r="AB489" s="6" t="str">
        <f t="shared" si="90"/>
        <v>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v>
      </c>
    </row>
    <row r="490">
      <c r="A490" s="2">
        <v>0.0</v>
      </c>
      <c r="B490" s="2" t="s">
        <v>2405</v>
      </c>
      <c r="C490" s="2" t="s">
        <v>2405</v>
      </c>
      <c r="D490" s="2" t="s">
        <v>2405</v>
      </c>
      <c r="E490" s="2" t="s">
        <v>624</v>
      </c>
      <c r="F490" s="2" t="s">
        <v>2457</v>
      </c>
      <c r="G490" s="2" t="s">
        <v>2378</v>
      </c>
      <c r="H490" s="30" t="s">
        <v>626</v>
      </c>
      <c r="V490" s="6" t="str">
        <f t="shared" si="94"/>
        <v>W1EL34</v>
      </c>
      <c r="W49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v>
      </c>
      <c r="AB490" s="6" t="str">
        <f t="shared" si="90"/>
        <v>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v>
      </c>
    </row>
    <row r="491">
      <c r="A491" s="2">
        <v>0.0</v>
      </c>
      <c r="B491" s="2" t="s">
        <v>2405</v>
      </c>
      <c r="C491" s="2" t="s">
        <v>2405</v>
      </c>
      <c r="D491" s="2" t="s">
        <v>2405</v>
      </c>
      <c r="E491" s="2" t="s">
        <v>621</v>
      </c>
      <c r="F491" s="2" t="s">
        <v>2458</v>
      </c>
      <c r="G491" s="2" t="s">
        <v>2378</v>
      </c>
      <c r="H491" s="30" t="s">
        <v>623</v>
      </c>
      <c r="V491" s="6" t="str">
        <f t="shared" si="94"/>
        <v>W1HR34</v>
      </c>
      <c r="W49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v>
      </c>
      <c r="AB491" s="6" t="str">
        <f t="shared" si="90"/>
        <v>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v>
      </c>
    </row>
    <row r="492">
      <c r="A492" s="2">
        <v>0.0</v>
      </c>
      <c r="B492" s="2" t="s">
        <v>2405</v>
      </c>
      <c r="C492" s="2" t="s">
        <v>2405</v>
      </c>
      <c r="D492" s="2" t="s">
        <v>2405</v>
      </c>
      <c r="E492" s="2" t="s">
        <v>618</v>
      </c>
      <c r="F492" s="2" t="s">
        <v>2459</v>
      </c>
      <c r="G492" s="2" t="s">
        <v>2378</v>
      </c>
      <c r="H492" s="30" t="s">
        <v>620</v>
      </c>
      <c r="V492" s="6" t="str">
        <f t="shared" si="94"/>
        <v>W1LT34</v>
      </c>
      <c r="W49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v>
      </c>
      <c r="AB492" s="6" t="str">
        <f t="shared" si="90"/>
        <v>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v>
      </c>
    </row>
    <row r="493">
      <c r="A493" s="2">
        <v>0.0</v>
      </c>
      <c r="B493" s="2" t="s">
        <v>2405</v>
      </c>
      <c r="C493" s="2" t="s">
        <v>2405</v>
      </c>
      <c r="D493" s="2" t="s">
        <v>2405</v>
      </c>
      <c r="E493" s="2" t="s">
        <v>615</v>
      </c>
      <c r="F493" s="2" t="s">
        <v>2460</v>
      </c>
      <c r="G493" s="2" t="s">
        <v>2378</v>
      </c>
      <c r="H493" s="30" t="s">
        <v>617</v>
      </c>
      <c r="V493" s="6" t="str">
        <f t="shared" si="94"/>
        <v>W1MB34</v>
      </c>
      <c r="W49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v>
      </c>
      <c r="AB493" s="6" t="str">
        <f t="shared" si="90"/>
        <v>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v>
      </c>
    </row>
    <row r="494">
      <c r="A494" s="2">
        <v>0.0</v>
      </c>
      <c r="B494" s="2" t="s">
        <v>2405</v>
      </c>
      <c r="C494" s="2" t="s">
        <v>2405</v>
      </c>
      <c r="D494" s="2" t="s">
        <v>2405</v>
      </c>
      <c r="E494" s="2" t="s">
        <v>612</v>
      </c>
      <c r="F494" s="2" t="s">
        <v>2461</v>
      </c>
      <c r="G494" s="2" t="s">
        <v>2378</v>
      </c>
      <c r="H494" s="30" t="s">
        <v>614</v>
      </c>
      <c r="V494" s="6" t="str">
        <f t="shared" si="94"/>
        <v>W1MC34</v>
      </c>
      <c r="W49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v>
      </c>
      <c r="AB494" s="6" t="str">
        <f t="shared" si="90"/>
        <v>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v>
      </c>
    </row>
    <row r="495">
      <c r="A495" s="2">
        <v>0.0</v>
      </c>
      <c r="B495" s="2" t="s">
        <v>2405</v>
      </c>
      <c r="C495" s="2" t="s">
        <v>2405</v>
      </c>
      <c r="D495" s="2" t="s">
        <v>2405</v>
      </c>
      <c r="E495" s="2" t="s">
        <v>609</v>
      </c>
      <c r="F495" s="2" t="s">
        <v>2462</v>
      </c>
      <c r="G495" s="2" t="s">
        <v>2378</v>
      </c>
      <c r="H495" s="30" t="s">
        <v>611</v>
      </c>
      <c r="V495" s="6" t="str">
        <f t="shared" si="94"/>
        <v>W1RK34</v>
      </c>
      <c r="W49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v>
      </c>
      <c r="AB495" s="6" t="str">
        <f t="shared" si="90"/>
        <v>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v>
      </c>
    </row>
    <row r="496">
      <c r="A496" s="2">
        <v>0.0</v>
      </c>
      <c r="B496" s="2" t="s">
        <v>2405</v>
      </c>
      <c r="C496" s="2" t="s">
        <v>2405</v>
      </c>
      <c r="D496" s="2" t="s">
        <v>2405</v>
      </c>
      <c r="E496" s="2" t="s">
        <v>606</v>
      </c>
      <c r="F496" s="2" t="s">
        <v>2463</v>
      </c>
      <c r="G496" s="2" t="s">
        <v>2378</v>
      </c>
      <c r="H496" s="30" t="s">
        <v>608</v>
      </c>
      <c r="V496" s="6" t="str">
        <f t="shared" si="94"/>
        <v>W1YC34</v>
      </c>
      <c r="W49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v>
      </c>
      <c r="AB496" s="6" t="str">
        <f t="shared" si="90"/>
        <v>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v>
      </c>
    </row>
    <row r="497">
      <c r="A497" s="2">
        <v>0.0</v>
      </c>
      <c r="B497" s="2" t="s">
        <v>2405</v>
      </c>
      <c r="C497" s="2" t="s">
        <v>2405</v>
      </c>
      <c r="D497" s="2" t="s">
        <v>2405</v>
      </c>
      <c r="E497" s="2" t="s">
        <v>603</v>
      </c>
      <c r="F497" s="2" t="s">
        <v>2464</v>
      </c>
      <c r="G497" s="2" t="s">
        <v>2378</v>
      </c>
      <c r="H497" s="30" t="s">
        <v>605</v>
      </c>
      <c r="V497" s="6" t="str">
        <f t="shared" si="94"/>
        <v>W1YN34</v>
      </c>
      <c r="W49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v>
      </c>
      <c r="AB497" s="6" t="str">
        <f t="shared" si="90"/>
        <v>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v>
      </c>
    </row>
    <row r="498">
      <c r="A498" s="2">
        <v>0.0</v>
      </c>
      <c r="B498" s="2" t="s">
        <v>2405</v>
      </c>
      <c r="C498" s="2" t="s">
        <v>2405</v>
      </c>
      <c r="D498" s="2" t="s">
        <v>2405</v>
      </c>
      <c r="E498" s="2" t="s">
        <v>600</v>
      </c>
      <c r="F498" s="2" t="s">
        <v>2465</v>
      </c>
      <c r="G498" s="2" t="s">
        <v>2378</v>
      </c>
      <c r="H498" s="34" t="s">
        <v>602</v>
      </c>
      <c r="V498" s="6" t="str">
        <f t="shared" si="94"/>
        <v>WABC34</v>
      </c>
      <c r="W49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v>
      </c>
      <c r="AB498" s="6" t="str">
        <f t="shared" si="90"/>
        <v>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v>
      </c>
    </row>
    <row r="499">
      <c r="A499" s="2">
        <v>0.0</v>
      </c>
      <c r="B499" s="2" t="s">
        <v>2405</v>
      </c>
      <c r="C499" s="2" t="s">
        <v>2405</v>
      </c>
      <c r="D499" s="2" t="s">
        <v>2405</v>
      </c>
      <c r="E499" s="2" t="s">
        <v>597</v>
      </c>
      <c r="F499" s="2" t="s">
        <v>2466</v>
      </c>
      <c r="G499" s="2" t="s">
        <v>2378</v>
      </c>
      <c r="H499" s="30" t="s">
        <v>598</v>
      </c>
      <c r="V499" s="6" t="str">
        <f t="shared" si="94"/>
        <v>WATC34</v>
      </c>
      <c r="W49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v>
      </c>
      <c r="AB499" s="6" t="str">
        <f t="shared" si="90"/>
        <v>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v>
      </c>
    </row>
    <row r="500">
      <c r="A500" s="2">
        <v>0.0</v>
      </c>
      <c r="B500" s="2" t="s">
        <v>2405</v>
      </c>
      <c r="C500" s="2" t="s">
        <v>2405</v>
      </c>
      <c r="D500" s="2" t="s">
        <v>2405</v>
      </c>
      <c r="E500" s="2" t="s">
        <v>594</v>
      </c>
      <c r="F500" s="2" t="s">
        <v>2467</v>
      </c>
      <c r="G500" s="2" t="s">
        <v>2378</v>
      </c>
      <c r="H500" s="30" t="s">
        <v>596</v>
      </c>
      <c r="V500" s="6" t="str">
        <f t="shared" si="94"/>
        <v>WGBA34</v>
      </c>
      <c r="W50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v>
      </c>
      <c r="AB500" s="6" t="str">
        <f t="shared" si="90"/>
        <v>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v>
      </c>
    </row>
    <row r="501">
      <c r="A501" s="2">
        <v>0.0</v>
      </c>
      <c r="B501" s="2" t="s">
        <v>375</v>
      </c>
      <c r="C501" s="2" t="s">
        <v>2170</v>
      </c>
      <c r="D501" s="2" t="s">
        <v>2170</v>
      </c>
      <c r="E501" s="2" t="s">
        <v>591</v>
      </c>
      <c r="F501" s="2" t="s">
        <v>2468</v>
      </c>
      <c r="G501" s="2" t="s">
        <v>2378</v>
      </c>
      <c r="H501" s="30" t="s">
        <v>593</v>
      </c>
      <c r="I501" s="42" t="s">
        <v>592</v>
      </c>
      <c r="V501" s="6" t="str">
        <f>H501&amp;" OR "&amp;I501</f>
        <v>WUNI34 OR WUNI34F</v>
      </c>
      <c r="W50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v>
      </c>
      <c r="AB501" s="6" t="str">
        <f t="shared" si="90"/>
        <v>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v>
      </c>
    </row>
    <row r="502">
      <c r="A502" s="2">
        <v>0.0</v>
      </c>
      <c r="B502" s="2" t="s">
        <v>165</v>
      </c>
      <c r="C502" s="2" t="s">
        <v>2447</v>
      </c>
      <c r="D502" s="2" t="s">
        <v>1608</v>
      </c>
      <c r="E502" s="2" t="s">
        <v>2469</v>
      </c>
      <c r="F502" s="2" t="s">
        <v>2470</v>
      </c>
      <c r="G502" s="2" t="s">
        <v>1013</v>
      </c>
      <c r="H502" s="34" t="s">
        <v>2471</v>
      </c>
      <c r="V502" s="6" t="str">
        <f t="shared" ref="V502:V503" si="95">H502</f>
        <v>TFCO4</v>
      </c>
      <c r="W50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v>
      </c>
      <c r="AB502" s="6" t="str">
        <f t="shared" si="90"/>
        <v>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v>
      </c>
    </row>
    <row r="503">
      <c r="A503" s="2">
        <v>0.0</v>
      </c>
      <c r="B503" s="2" t="s">
        <v>2405</v>
      </c>
      <c r="C503" s="2" t="s">
        <v>2405</v>
      </c>
      <c r="D503" s="2" t="s">
        <v>2405</v>
      </c>
      <c r="E503" s="2" t="s">
        <v>588</v>
      </c>
      <c r="F503" s="2" t="s">
        <v>2472</v>
      </c>
      <c r="G503" s="2" t="s">
        <v>2378</v>
      </c>
      <c r="H503" s="30" t="s">
        <v>590</v>
      </c>
      <c r="V503" s="6" t="str">
        <f t="shared" si="95"/>
        <v>X1EL34</v>
      </c>
      <c r="W50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v>
      </c>
      <c r="AB503" s="6" t="str">
        <f t="shared" si="90"/>
        <v>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v>
      </c>
    </row>
    <row r="504">
      <c r="A504" s="2">
        <v>0.0</v>
      </c>
      <c r="B504" s="2" t="s">
        <v>165</v>
      </c>
      <c r="C504" s="2" t="s">
        <v>1430</v>
      </c>
      <c r="D504" s="2" t="s">
        <v>1738</v>
      </c>
      <c r="E504" s="4" t="s">
        <v>178</v>
      </c>
      <c r="F504" s="2" t="s">
        <v>2473</v>
      </c>
      <c r="G504" s="2" t="s">
        <v>2378</v>
      </c>
      <c r="H504" s="37" t="s">
        <v>179</v>
      </c>
      <c r="I504" s="37" t="s">
        <v>180</v>
      </c>
      <c r="V504" s="6" t="str">
        <f t="shared" ref="V504:V533" si="96">H504&amp;" OR "&amp;I504</f>
        <v>HOME34F OR HOME34</v>
      </c>
      <c r="W50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v>
      </c>
      <c r="AB504" s="6" t="str">
        <f t="shared" si="90"/>
        <v>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v>
      </c>
    </row>
    <row r="505">
      <c r="A505" s="2">
        <v>0.0</v>
      </c>
      <c r="B505" s="2" t="s">
        <v>165</v>
      </c>
      <c r="C505" s="2" t="s">
        <v>1643</v>
      </c>
      <c r="D505" s="2" t="s">
        <v>1643</v>
      </c>
      <c r="E505" s="4" t="s">
        <v>181</v>
      </c>
      <c r="F505" s="2" t="s">
        <v>2474</v>
      </c>
      <c r="G505" s="2" t="s">
        <v>2378</v>
      </c>
      <c r="H505" s="37" t="s">
        <v>182</v>
      </c>
      <c r="I505" s="37" t="s">
        <v>183</v>
      </c>
      <c r="V505" s="6" t="str">
        <f t="shared" si="96"/>
        <v>FDMO34F OR FDMO34</v>
      </c>
      <c r="W50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v>
      </c>
      <c r="AB505" s="6" t="str">
        <f t="shared" si="90"/>
        <v>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v>
      </c>
    </row>
    <row r="506">
      <c r="A506" s="2">
        <v>0.0</v>
      </c>
      <c r="B506" s="2" t="s">
        <v>1823</v>
      </c>
      <c r="C506" s="2" t="s">
        <v>1835</v>
      </c>
      <c r="D506" s="2" t="s">
        <v>1836</v>
      </c>
      <c r="E506" s="4" t="s">
        <v>184</v>
      </c>
      <c r="F506" s="2" t="s">
        <v>2475</v>
      </c>
      <c r="G506" s="2" t="s">
        <v>2378</v>
      </c>
      <c r="H506" s="5" t="s">
        <v>185</v>
      </c>
      <c r="I506" s="12" t="s">
        <v>2476</v>
      </c>
      <c r="V506" s="6" t="str">
        <f t="shared" si="96"/>
        <v>CMCS34F OR CMCS34</v>
      </c>
      <c r="W50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v>
      </c>
      <c r="AB506" s="6" t="str">
        <f t="shared" si="90"/>
        <v>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v>
      </c>
    </row>
    <row r="507">
      <c r="A507" s="2">
        <v>0.0</v>
      </c>
      <c r="B507" s="2" t="s">
        <v>165</v>
      </c>
      <c r="C507" s="2" t="s">
        <v>1430</v>
      </c>
      <c r="D507" s="2" t="s">
        <v>1738</v>
      </c>
      <c r="E507" s="4" t="s">
        <v>186</v>
      </c>
      <c r="F507" s="2" t="s">
        <v>2477</v>
      </c>
      <c r="G507" s="2" t="s">
        <v>2378</v>
      </c>
      <c r="H507" s="5" t="s">
        <v>187</v>
      </c>
      <c r="I507" s="2" t="s">
        <v>2478</v>
      </c>
      <c r="V507" s="6" t="str">
        <f t="shared" si="96"/>
        <v>AMZO34F OR AMZO34</v>
      </c>
      <c r="W50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v>
      </c>
      <c r="AB507" s="6" t="str">
        <f t="shared" si="90"/>
        <v>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v>
      </c>
    </row>
    <row r="508">
      <c r="A508" s="2">
        <v>0.0</v>
      </c>
      <c r="B508" s="2" t="s">
        <v>165</v>
      </c>
      <c r="C508" s="2" t="s">
        <v>1653</v>
      </c>
      <c r="D508" s="2" t="s">
        <v>1660</v>
      </c>
      <c r="E508" s="2" t="s">
        <v>294</v>
      </c>
      <c r="G508" s="2" t="s">
        <v>2378</v>
      </c>
      <c r="H508" s="2" t="s">
        <v>295</v>
      </c>
      <c r="I508" s="2" t="s">
        <v>320</v>
      </c>
      <c r="V508" s="6" t="str">
        <f t="shared" si="96"/>
        <v>SBUB34 OR SBUB34F</v>
      </c>
      <c r="W50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v>
      </c>
      <c r="AB508" s="6" t="str">
        <f t="shared" si="90"/>
        <v>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v>
      </c>
    </row>
    <row r="509">
      <c r="A509" s="2">
        <v>0.0</v>
      </c>
      <c r="B509" s="2" t="s">
        <v>2405</v>
      </c>
      <c r="C509" s="2" t="s">
        <v>2405</v>
      </c>
      <c r="D509" s="2" t="s">
        <v>2405</v>
      </c>
      <c r="E509" s="2" t="s">
        <v>585</v>
      </c>
      <c r="F509" s="2" t="s">
        <v>2479</v>
      </c>
      <c r="G509" s="2" t="s">
        <v>2378</v>
      </c>
      <c r="H509" s="5" t="s">
        <v>587</v>
      </c>
      <c r="I509" s="5" t="s">
        <v>586</v>
      </c>
      <c r="V509" s="6" t="str">
        <f t="shared" si="96"/>
        <v>X1LN34 OR X1LN34F</v>
      </c>
      <c r="W50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 OR X1YL34 OR X1YL34F</v>
      </c>
      <c r="AB509" s="6" t="str">
        <f t="shared" si="90"/>
        <v>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 OR X1YL34 OR X1YL34F</v>
      </c>
    </row>
    <row r="510">
      <c r="A510" s="2">
        <v>0.0</v>
      </c>
      <c r="B510" s="2" t="s">
        <v>2405</v>
      </c>
      <c r="C510" s="2" t="s">
        <v>2405</v>
      </c>
      <c r="D510" s="2" t="s">
        <v>2405</v>
      </c>
      <c r="E510" s="2" t="s">
        <v>582</v>
      </c>
      <c r="F510" s="2" t="s">
        <v>2480</v>
      </c>
      <c r="G510" s="2" t="s">
        <v>2378</v>
      </c>
      <c r="H510" s="5" t="s">
        <v>584</v>
      </c>
      <c r="I510" s="5" t="s">
        <v>583</v>
      </c>
      <c r="V510" s="6" t="str">
        <f t="shared" si="96"/>
        <v>X1YL34 OR X1YL34F</v>
      </c>
      <c r="W51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 OR X1YL34 OR X1YL34F OR XRAY34 OR XRAY34F</v>
      </c>
      <c r="AB510" s="6" t="str">
        <f t="shared" si="90"/>
        <v>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 OR X1YL34 OR X1YL34F OR XRAY34 OR XRAY34F</v>
      </c>
    </row>
    <row r="511">
      <c r="A511" s="2">
        <v>0.0</v>
      </c>
      <c r="B511" s="2" t="s">
        <v>2405</v>
      </c>
      <c r="C511" s="2" t="s">
        <v>2405</v>
      </c>
      <c r="D511" s="2" t="s">
        <v>2405</v>
      </c>
      <c r="E511" s="2" t="s">
        <v>579</v>
      </c>
      <c r="F511" s="2" t="s">
        <v>2481</v>
      </c>
      <c r="G511" s="2" t="s">
        <v>2378</v>
      </c>
      <c r="H511" s="5" t="s">
        <v>581</v>
      </c>
      <c r="I511" s="5" t="s">
        <v>580</v>
      </c>
      <c r="V511" s="6" t="str">
        <f t="shared" si="96"/>
        <v>XRAY34 OR XRAY34F</v>
      </c>
      <c r="W51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 OR X1YL34 OR X1YL34F OR XRAY34 OR XRAY34F OR YUMR34 OR YUMR34F</v>
      </c>
      <c r="AB511" s="6" t="str">
        <f t="shared" si="90"/>
        <v>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 OR X1YL34 OR X1YL34F OR XRAY34 OR XRAY34F OR YUMR34 OR YUMR34F</v>
      </c>
    </row>
    <row r="512">
      <c r="A512" s="2">
        <v>0.0</v>
      </c>
      <c r="B512" s="2" t="s">
        <v>2405</v>
      </c>
      <c r="C512" s="2" t="s">
        <v>2405</v>
      </c>
      <c r="D512" s="2" t="s">
        <v>2405</v>
      </c>
      <c r="E512" s="2" t="s">
        <v>576</v>
      </c>
      <c r="F512" s="2" t="s">
        <v>2482</v>
      </c>
      <c r="G512" s="2" t="s">
        <v>2378</v>
      </c>
      <c r="H512" s="5" t="s">
        <v>578</v>
      </c>
      <c r="I512" s="5" t="s">
        <v>577</v>
      </c>
      <c r="V512" s="6" t="str">
        <f t="shared" si="96"/>
        <v>YUMR34 OR YUMR34F</v>
      </c>
      <c r="W51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 OR X1YL34 OR X1YL34F OR XRAY34 OR XRAY34F OR YUMR34 OR YUMR34F OR Z1BH34 OR Z1BH34F</v>
      </c>
      <c r="AB512" s="6" t="str">
        <f t="shared" si="90"/>
        <v>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 OR X1YL34 OR X1YL34F OR XRAY34 OR XRAY34F OR YUMR34 OR YUMR34F OR Z1BH34 OR Z1BH34F</v>
      </c>
    </row>
    <row r="513">
      <c r="A513" s="2">
        <v>0.0</v>
      </c>
      <c r="B513" s="2" t="s">
        <v>2405</v>
      </c>
      <c r="C513" s="2" t="s">
        <v>2405</v>
      </c>
      <c r="D513" s="2" t="s">
        <v>2405</v>
      </c>
      <c r="E513" s="2" t="s">
        <v>573</v>
      </c>
      <c r="F513" s="2" t="s">
        <v>2483</v>
      </c>
      <c r="G513" s="2" t="s">
        <v>2378</v>
      </c>
      <c r="H513" s="5" t="s">
        <v>575</v>
      </c>
      <c r="I513" s="5" t="s">
        <v>574</v>
      </c>
      <c r="V513" s="6" t="str">
        <f t="shared" si="96"/>
        <v>Z1BH34 OR Z1BH34F</v>
      </c>
      <c r="W51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 OR X1YL34 OR X1YL34F OR XRAY34 OR XRAY34F OR YUMR34 OR YUMR34F OR Z1BH34 OR Z1BH34F OR Z1IO34 OR Z1IO34F</v>
      </c>
      <c r="AB513" s="6" t="str">
        <f t="shared" si="90"/>
        <v>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 OR X1YL34 OR X1YL34F OR XRAY34 OR XRAY34F OR YUMR34 OR YUMR34F OR Z1BH34 OR Z1BH34F OR Z1IO34 OR Z1IO34F</v>
      </c>
    </row>
    <row r="514">
      <c r="A514" s="2">
        <v>0.0</v>
      </c>
      <c r="B514" s="2" t="s">
        <v>2405</v>
      </c>
      <c r="C514" s="2" t="s">
        <v>2405</v>
      </c>
      <c r="D514" s="2" t="s">
        <v>2405</v>
      </c>
      <c r="E514" s="2" t="s">
        <v>570</v>
      </c>
      <c r="F514" s="2" t="s">
        <v>2484</v>
      </c>
      <c r="G514" s="2" t="s">
        <v>2378</v>
      </c>
      <c r="H514" s="5" t="s">
        <v>572</v>
      </c>
      <c r="I514" s="5" t="s">
        <v>571</v>
      </c>
      <c r="V514" s="6" t="str">
        <f t="shared" si="96"/>
        <v>Z1IO34 OR Z1IO34F</v>
      </c>
      <c r="W51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 OR X1YL34 OR X1YL34F OR XRAY34 OR XRAY34F OR YUMR34 OR YUMR34F OR Z1BH34 OR Z1BH34F OR Z1IO34 OR Z1IO34F OR Z1TS34 OR Z1TS34F</v>
      </c>
      <c r="AB514" s="6" t="str">
        <f t="shared" si="90"/>
        <v>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 OR X1YL34 OR X1YL34F OR XRAY34 OR XRAY34F OR YUMR34 OR YUMR34F OR Z1BH34 OR Z1BH34F OR Z1IO34 OR Z1IO34F OR Z1TS34 OR Z1TS34F</v>
      </c>
    </row>
    <row r="515">
      <c r="A515" s="2">
        <v>0.0</v>
      </c>
      <c r="B515" s="2" t="s">
        <v>2405</v>
      </c>
      <c r="C515" s="2" t="s">
        <v>2405</v>
      </c>
      <c r="D515" s="2" t="s">
        <v>2405</v>
      </c>
      <c r="E515" s="2" t="s">
        <v>2485</v>
      </c>
      <c r="F515" s="2" t="s">
        <v>2486</v>
      </c>
      <c r="G515" s="2" t="s">
        <v>2378</v>
      </c>
      <c r="H515" s="5" t="s">
        <v>569</v>
      </c>
      <c r="I515" s="5" t="s">
        <v>568</v>
      </c>
      <c r="V515" s="6" t="str">
        <f t="shared" si="96"/>
        <v>Z1TS34 OR Z1TS34F</v>
      </c>
      <c r="W51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 OR X1YL34 OR X1YL34F OR XRAY34 OR XRAY34F OR YUMR34 OR YUMR34F OR Z1BH34 OR Z1BH34F OR Z1IO34 OR Z1IO34F OR Z1TS34 OR Z1TS34F OR FCXO34 OR FCXO34F</v>
      </c>
      <c r="AB515" s="6" t="str">
        <f t="shared" si="90"/>
        <v>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 OR X1YL34 OR X1YL34F OR XRAY34 OR XRAY34F OR YUMR34 OR YUMR34F OR Z1BH34 OR Z1BH34F OR Z1IO34 OR Z1IO34F OR Z1TS34 OR Z1TS34F OR FCXO34 OR FCXO34F</v>
      </c>
    </row>
    <row r="516">
      <c r="A516" s="2">
        <v>0.0</v>
      </c>
      <c r="B516" s="2" t="s">
        <v>507</v>
      </c>
      <c r="C516" s="2" t="s">
        <v>1025</v>
      </c>
      <c r="D516" s="2" t="s">
        <v>1026</v>
      </c>
      <c r="E516" s="4" t="s">
        <v>511</v>
      </c>
      <c r="F516" s="2" t="s">
        <v>2487</v>
      </c>
      <c r="G516" s="2" t="s">
        <v>2378</v>
      </c>
      <c r="H516" s="5" t="s">
        <v>513</v>
      </c>
      <c r="I516" s="5" t="s">
        <v>512</v>
      </c>
      <c r="V516" s="6" t="str">
        <f t="shared" si="96"/>
        <v>FCXO34 OR FCXO34F</v>
      </c>
      <c r="W51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 OR X1YL34 OR X1YL34F OR XRAY34 OR XRAY34F OR YUMR34 OR YUMR34F OR Z1BH34 OR Z1BH34F OR Z1IO34 OR Z1IO34F OR Z1TS34 OR Z1TS34F OR FCXO34 OR FCXO34F OR BBSE3 OR BBSE3F</v>
      </c>
      <c r="AB516" s="6" t="str">
        <f t="shared" si="90"/>
        <v>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 OR X1YL34 OR X1YL34F OR XRAY34 OR XRAY34F OR YUMR34 OR YUMR34F OR Z1BH34 OR Z1BH34F OR Z1IO34 OR Z1IO34F OR Z1TS34 OR Z1TS34F OR FCXO34 OR FCXO34F OR BBSE3 OR BBSE3F</v>
      </c>
    </row>
    <row r="517">
      <c r="A517" s="2">
        <v>0.0</v>
      </c>
      <c r="B517" s="2" t="s">
        <v>375</v>
      </c>
      <c r="C517" s="2" t="s">
        <v>2195</v>
      </c>
      <c r="D517" s="2" t="s">
        <v>2488</v>
      </c>
      <c r="E517" s="4" t="s">
        <v>498</v>
      </c>
      <c r="F517" s="2" t="s">
        <v>2208</v>
      </c>
      <c r="G517" s="2" t="s">
        <v>1001</v>
      </c>
      <c r="H517" s="5" t="s">
        <v>499</v>
      </c>
      <c r="I517" s="43" t="s">
        <v>2209</v>
      </c>
      <c r="V517" s="6" t="str">
        <f t="shared" si="96"/>
        <v>BBSE3 OR BBSE3F</v>
      </c>
      <c r="W51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 OR X1YL34 OR X1YL34F OR XRAY34 OR XRAY34F OR YUMR34 OR YUMR34F OR Z1BH34 OR Z1BH34F OR Z1IO34 OR Z1IO34F OR Z1TS34 OR Z1TS34F OR FCXO34 OR FCXO34F OR BBSE3 OR BBSE3F OR MMMC34 OR MMMC34F</v>
      </c>
      <c r="AB517" s="6" t="str">
        <f t="shared" si="90"/>
        <v>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 OR X1YL34 OR X1YL34F OR XRAY34 OR XRAY34F OR YUMR34 OR YUMR34F OR Z1BH34 OR Z1BH34F OR Z1IO34 OR Z1IO34F OR Z1TS34 OR Z1TS34F OR FCXO34 OR FCXO34F OR BBSE3 OR BBSE3F OR MMMC34 OR MMMC34F</v>
      </c>
    </row>
    <row r="518">
      <c r="A518" s="2">
        <v>0.0</v>
      </c>
      <c r="B518" s="2" t="s">
        <v>375</v>
      </c>
      <c r="C518" s="2" t="s">
        <v>2278</v>
      </c>
      <c r="D518" s="2" t="s">
        <v>2278</v>
      </c>
      <c r="E518" s="2" t="s">
        <v>417</v>
      </c>
      <c r="F518" s="2" t="s">
        <v>2489</v>
      </c>
      <c r="G518" s="2" t="s">
        <v>2378</v>
      </c>
      <c r="H518" s="5" t="s">
        <v>419</v>
      </c>
      <c r="I518" s="5" t="s">
        <v>418</v>
      </c>
      <c r="V518" s="6" t="str">
        <f t="shared" si="96"/>
        <v>MMMC34 OR MMMC34F</v>
      </c>
      <c r="W51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 OR X1YL34 OR X1YL34F OR XRAY34 OR XRAY34F OR YUMR34 OR YUMR34F OR Z1BH34 OR Z1BH34F OR Z1IO34 OR Z1IO34F OR Z1TS34 OR Z1TS34F OR FCXO34 OR FCXO34F OR BBSE3 OR BBSE3F OR MMMC34 OR MMMC34F OR BOAC34 OR BOAC34F</v>
      </c>
      <c r="AB518" s="6" t="str">
        <f t="shared" si="90"/>
        <v>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 OR X1YL34 OR X1YL34F OR XRAY34 OR XRAY34F OR YUMR34 OR YUMR34F OR Z1BH34 OR Z1BH34F OR Z1IO34 OR Z1IO34F OR Z1TS34 OR Z1TS34F OR FCXO34 OR FCXO34F OR BBSE3 OR BBSE3F OR MMMC34 OR MMMC34F OR BOAC34 OR BOAC34F</v>
      </c>
    </row>
    <row r="519">
      <c r="A519" s="2">
        <v>0.0</v>
      </c>
      <c r="B519" s="2" t="s">
        <v>375</v>
      </c>
      <c r="C519" s="2" t="s">
        <v>2024</v>
      </c>
      <c r="D519" s="2" t="s">
        <v>2025</v>
      </c>
      <c r="E519" s="2" t="s">
        <v>414</v>
      </c>
      <c r="F519" s="2" t="s">
        <v>2490</v>
      </c>
      <c r="G519" s="2" t="s">
        <v>2378</v>
      </c>
      <c r="H519" s="5" t="s">
        <v>416</v>
      </c>
      <c r="I519" s="2" t="s">
        <v>415</v>
      </c>
      <c r="V519" s="6" t="str">
        <f t="shared" si="96"/>
        <v>BOAC34 OR BOAC34F</v>
      </c>
      <c r="W51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 OR X1YL34 OR X1YL34F OR XRAY34 OR XRAY34F OR YUMR34 OR YUMR34F OR Z1BH34 OR Z1BH34F OR Z1IO34 OR Z1IO34F OR Z1TS34 OR Z1TS34F OR FCXO34 OR FCXO34F OR BBSE3 OR BBSE3F OR MMMC34 OR MMMC34F OR BOAC34 OR BOAC34F OR CTGP34 OR CTGP34F</v>
      </c>
      <c r="AB519" s="6" t="str">
        <f t="shared" si="90"/>
        <v>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 OR X1YL34 OR X1YL34F OR XRAY34 OR XRAY34F OR YUMR34 OR YUMR34F OR Z1BH34 OR Z1BH34F OR Z1IO34 OR Z1IO34F OR Z1TS34 OR Z1TS34F OR FCXO34 OR FCXO34F OR BBSE3 OR BBSE3F OR MMMC34 OR MMMC34F OR BOAC34 OR BOAC34F OR CTGP34 OR CTGP34F</v>
      </c>
    </row>
    <row r="520">
      <c r="A520" s="2">
        <v>0.0</v>
      </c>
      <c r="B520" s="2" t="s">
        <v>375</v>
      </c>
      <c r="C520" s="2" t="s">
        <v>2024</v>
      </c>
      <c r="D520" s="2" t="s">
        <v>2025</v>
      </c>
      <c r="E520" s="2" t="s">
        <v>411</v>
      </c>
      <c r="F520" s="2" t="s">
        <v>2491</v>
      </c>
      <c r="G520" s="2" t="s">
        <v>2378</v>
      </c>
      <c r="H520" s="5" t="s">
        <v>413</v>
      </c>
      <c r="I520" s="2" t="s">
        <v>412</v>
      </c>
      <c r="V520" s="6" t="str">
        <f t="shared" si="96"/>
        <v>CTGP34 OR CTGP34F</v>
      </c>
      <c r="W52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 OR X1YL34 OR X1YL34F OR XRAY34 OR XRAY34F OR YUMR34 OR YUMR34F OR Z1BH34 OR Z1BH34F OR Z1IO34 OR Z1IO34F OR Z1TS34 OR Z1TS34F OR FCXO34 OR FCXO34F OR BBSE3 OR BBSE3F OR MMMC34 OR MMMC34F OR BOAC34 OR BOAC34F OR CTGP34 OR CTGP34F OR GSGI34 OR GSGI34F</v>
      </c>
      <c r="AB520" s="6" t="str">
        <f t="shared" si="90"/>
        <v>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 OR X1YL34 OR X1YL34F OR XRAY34 OR XRAY34F OR YUMR34 OR YUMR34F OR Z1BH34 OR Z1BH34F OR Z1IO34 OR Z1IO34F OR Z1TS34 OR Z1TS34F OR FCXO34 OR FCXO34F OR BBSE3 OR BBSE3F OR MMMC34 OR MMMC34F OR BOAC34 OR BOAC34F OR CTGP34 OR CTGP34F OR GSGI34 OR GSGI34F</v>
      </c>
    </row>
    <row r="521">
      <c r="A521" s="2">
        <v>0.0</v>
      </c>
      <c r="B521" s="2" t="s">
        <v>375</v>
      </c>
      <c r="C521" s="2" t="s">
        <v>2024</v>
      </c>
      <c r="D521" s="2" t="s">
        <v>2025</v>
      </c>
      <c r="E521" s="2" t="s">
        <v>408</v>
      </c>
      <c r="F521" s="2" t="s">
        <v>2492</v>
      </c>
      <c r="G521" s="2" t="s">
        <v>2378</v>
      </c>
      <c r="H521" s="5" t="s">
        <v>410</v>
      </c>
      <c r="I521" s="5" t="s">
        <v>409</v>
      </c>
      <c r="V521" s="6" t="str">
        <f t="shared" si="96"/>
        <v>GSGI34 OR GSGI34F</v>
      </c>
      <c r="W52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 OR X1YL34 OR X1YL34F OR XRAY34 OR XRAY34F OR YUMR34 OR YUMR34F OR Z1BH34 OR Z1BH34F OR Z1IO34 OR Z1IO34F OR Z1TS34 OR Z1TS34F OR FCXO34 OR FCXO34F OR BBSE3 OR BBSE3F OR MMMC34 OR MMMC34F OR BOAC34 OR BOAC34F OR CTGP34 OR CTGP34F OR GSGI34 OR GSGI34F OR GEOO34 OR GEOO34F</v>
      </c>
      <c r="AB521" s="6" t="str">
        <f t="shared" si="90"/>
        <v>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 OR X1YL34 OR X1YL34F OR XRAY34 OR XRAY34F OR YUMR34 OR YUMR34F OR Z1BH34 OR Z1BH34F OR Z1IO34 OR Z1IO34F OR Z1TS34 OR Z1TS34F OR FCXO34 OR FCXO34F OR BBSE3 OR BBSE3F OR MMMC34 OR MMMC34F OR BOAC34 OR BOAC34F OR CTGP34 OR CTGP34F OR GSGI34 OR GSGI34F OR GEOO34 OR GEOO34F</v>
      </c>
    </row>
    <row r="522">
      <c r="A522" s="2">
        <v>0.0</v>
      </c>
      <c r="B522" s="2" t="s">
        <v>375</v>
      </c>
      <c r="C522" s="2" t="s">
        <v>2278</v>
      </c>
      <c r="D522" s="2" t="s">
        <v>2278</v>
      </c>
      <c r="E522" s="2" t="s">
        <v>405</v>
      </c>
      <c r="F522" s="2" t="s">
        <v>2493</v>
      </c>
      <c r="G522" s="2" t="s">
        <v>2378</v>
      </c>
      <c r="H522" s="5" t="s">
        <v>407</v>
      </c>
      <c r="I522" s="5" t="s">
        <v>406</v>
      </c>
      <c r="V522" s="6" t="str">
        <f t="shared" si="96"/>
        <v>GEOO34 OR GEOO34F</v>
      </c>
      <c r="W52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 OR X1YL34 OR X1YL34F OR XRAY34 OR XRAY34F OR YUMR34 OR YUMR34F OR Z1BH34 OR Z1BH34F OR Z1IO34 OR Z1IO34F OR Z1TS34 OR Z1TS34F OR FCXO34 OR FCXO34F OR BBSE3 OR BBSE3F OR MMMC34 OR MMMC34F OR BOAC34 OR BOAC34F OR CTGP34 OR CTGP34F OR GSGI34 OR GSGI34F OR GEOO34 OR GEOO34F OR HONB34 OR HONB34F</v>
      </c>
      <c r="AB522" s="6" t="str">
        <f t="shared" si="90"/>
        <v>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 OR X1YL34 OR X1YL34F OR XRAY34 OR XRAY34F OR YUMR34 OR YUMR34F OR Z1BH34 OR Z1BH34F OR Z1IO34 OR Z1IO34F OR Z1TS34 OR Z1TS34F OR FCXO34 OR FCXO34F OR BBSE3 OR BBSE3F OR MMMC34 OR MMMC34F OR BOAC34 OR BOAC34F OR CTGP34 OR CTGP34F OR GSGI34 OR GSGI34F OR GEOO34 OR GEOO34F OR HONB34 OR HONB34F</v>
      </c>
    </row>
    <row r="523">
      <c r="A523" s="2">
        <v>0.0</v>
      </c>
      <c r="B523" s="2" t="s">
        <v>375</v>
      </c>
      <c r="C523" s="2" t="s">
        <v>2278</v>
      </c>
      <c r="D523" s="2" t="s">
        <v>2278</v>
      </c>
      <c r="E523" s="2" t="s">
        <v>402</v>
      </c>
      <c r="F523" s="2" t="s">
        <v>2494</v>
      </c>
      <c r="G523" s="2" t="s">
        <v>2378</v>
      </c>
      <c r="H523" s="5" t="s">
        <v>404</v>
      </c>
      <c r="I523" s="5" t="s">
        <v>403</v>
      </c>
      <c r="V523" s="6" t="str">
        <f t="shared" si="96"/>
        <v>HONB34 OR HONB34F</v>
      </c>
      <c r="W52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 OR X1YL34 OR X1YL34F OR XRAY34 OR XRAY34F OR YUMR34 OR YUMR34F OR Z1BH34 OR Z1BH34F OR Z1IO34 OR Z1IO34F OR Z1TS34 OR Z1TS34F OR FCXO34 OR FCXO34F OR BBSE3 OR BBSE3F OR MMMC34 OR MMMC34F OR BOAC34 OR BOAC34F OR CTGP34 OR CTGP34F OR GSGI34 OR GSGI34F OR GEOO34 OR GEOO34F OR HONB34 OR HONB34F OR JPMC34 OR JPMC34F</v>
      </c>
      <c r="AB523" s="6" t="str">
        <f t="shared" si="90"/>
        <v>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 OR X1YL34 OR X1YL34F OR XRAY34 OR XRAY34F OR YUMR34 OR YUMR34F OR Z1BH34 OR Z1BH34F OR Z1IO34 OR Z1IO34F OR Z1TS34 OR Z1TS34F OR FCXO34 OR FCXO34F OR BBSE3 OR BBSE3F OR MMMC34 OR MMMC34F OR BOAC34 OR BOAC34F OR CTGP34 OR CTGP34F OR GSGI34 OR GSGI34F OR GEOO34 OR GEOO34F OR HONB34 OR HONB34F OR JPMC34 OR JPMC34F</v>
      </c>
    </row>
    <row r="524">
      <c r="A524" s="2">
        <v>0.0</v>
      </c>
      <c r="B524" s="2" t="s">
        <v>375</v>
      </c>
      <c r="C524" s="2" t="s">
        <v>2024</v>
      </c>
      <c r="D524" s="2" t="s">
        <v>2025</v>
      </c>
      <c r="E524" s="2" t="s">
        <v>399</v>
      </c>
      <c r="F524" s="2" t="s">
        <v>2495</v>
      </c>
      <c r="G524" s="2" t="s">
        <v>2378</v>
      </c>
      <c r="H524" s="5" t="s">
        <v>401</v>
      </c>
      <c r="I524" s="5" t="s">
        <v>400</v>
      </c>
      <c r="V524" s="6" t="str">
        <f t="shared" si="96"/>
        <v>JPMC34 OR JPMC34F</v>
      </c>
      <c r="W524"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 OR X1YL34 OR X1YL34F OR XRAY34 OR XRAY34F OR YUMR34 OR YUMR34F OR Z1BH34 OR Z1BH34F OR Z1IO34 OR Z1IO34F OR Z1TS34 OR Z1TS34F OR FCXO34 OR FCXO34F OR BBSE3 OR BBSE3F OR MMMC34 OR MMMC34F OR BOAC34 OR BOAC34F OR CTGP34 OR CTGP34F OR GSGI34 OR GSGI34F OR GEOO34 OR GEOO34F OR HONB34 OR HONB34F OR JPMC34 OR JPMC34F OR MSCD34 OR MSCD34F</v>
      </c>
      <c r="AB524" s="6" t="str">
        <f t="shared" si="90"/>
        <v>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 OR X1YL34 OR X1YL34F OR XRAY34 OR XRAY34F OR YUMR34 OR YUMR34F OR Z1BH34 OR Z1BH34F OR Z1IO34 OR Z1IO34F OR Z1TS34 OR Z1TS34F OR FCXO34 OR FCXO34F OR BBSE3 OR BBSE3F OR MMMC34 OR MMMC34F OR BOAC34 OR BOAC34F OR CTGP34 OR CTGP34F OR GSGI34 OR GSGI34F OR GEOO34 OR GEOO34F OR HONB34 OR HONB34F OR JPMC34 OR JPMC34F OR MSCD34 OR MSCD34F</v>
      </c>
    </row>
    <row r="525">
      <c r="A525" s="2">
        <v>0.0</v>
      </c>
      <c r="B525" s="2" t="s">
        <v>375</v>
      </c>
      <c r="C525" s="2" t="s">
        <v>2170</v>
      </c>
      <c r="D525" s="2" t="s">
        <v>2170</v>
      </c>
      <c r="E525" s="2" t="s">
        <v>396</v>
      </c>
      <c r="F525" s="2" t="s">
        <v>2496</v>
      </c>
      <c r="G525" s="2" t="s">
        <v>2378</v>
      </c>
      <c r="H525" s="5" t="s">
        <v>398</v>
      </c>
      <c r="I525" s="5" t="s">
        <v>397</v>
      </c>
      <c r="V525" s="6" t="str">
        <f t="shared" si="96"/>
        <v>MSCD34 OR MSCD34F</v>
      </c>
      <c r="W525"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 OR X1YL34 OR X1YL34F OR XRAY34 OR XRAY34F OR YUMR34 OR YUMR34F OR Z1BH34 OR Z1BH34F OR Z1IO34 OR Z1IO34F OR Z1TS34 OR Z1TS34F OR FCXO34 OR FCXO34F OR BBSE3 OR BBSE3F OR MMMC34 OR MMMC34F OR BOAC34 OR BOAC34F OR CTGP34 OR CTGP34F OR GSGI34 OR GSGI34F OR GEOO34 OR GEOO34F OR HONB34 OR HONB34F OR JPMC34 OR JPMC34F OR MSCD34 OR MSCD34F OR MSBR34F OR MSBR34</v>
      </c>
      <c r="AB525" s="6" t="str">
        <f t="shared" si="90"/>
        <v>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 OR X1YL34 OR X1YL34F OR XRAY34 OR XRAY34F OR YUMR34 OR YUMR34F OR Z1BH34 OR Z1BH34F OR Z1IO34 OR Z1IO34F OR Z1TS34 OR Z1TS34F OR FCXO34 OR FCXO34F OR BBSE3 OR BBSE3F OR MMMC34 OR MMMC34F OR BOAC34 OR BOAC34F OR CTGP34 OR CTGP34F OR GSGI34 OR GSGI34F OR GEOO34 OR GEOO34F OR HONB34 OR HONB34F OR JPMC34 OR JPMC34F OR MSCD34 OR MSCD34F OR MSBR34F OR MSBR34</v>
      </c>
    </row>
    <row r="526">
      <c r="A526" s="2">
        <v>0.0</v>
      </c>
      <c r="B526" s="2" t="s">
        <v>375</v>
      </c>
      <c r="C526" s="2" t="s">
        <v>2170</v>
      </c>
      <c r="D526" s="2" t="s">
        <v>2170</v>
      </c>
      <c r="E526" s="2" t="s">
        <v>393</v>
      </c>
      <c r="F526" s="2" t="s">
        <v>2497</v>
      </c>
      <c r="G526" s="2" t="s">
        <v>2378</v>
      </c>
      <c r="H526" s="5" t="s">
        <v>394</v>
      </c>
      <c r="I526" s="12" t="s">
        <v>395</v>
      </c>
      <c r="V526" s="6" t="str">
        <f t="shared" si="96"/>
        <v>MSBR34F OR MSBR34</v>
      </c>
      <c r="W526"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 OR X1YL34 OR X1YL34F OR XRAY34 OR XRAY34F OR YUMR34 OR YUMR34F OR Z1BH34 OR Z1BH34F OR Z1IO34 OR Z1IO34F OR Z1TS34 OR Z1TS34F OR FCXO34 OR FCXO34F OR BBSE3 OR BBSE3F OR MMMC34 OR MMMC34F OR BOAC34 OR BOAC34F OR CTGP34 OR CTGP34F OR GSGI34 OR GSGI34F OR GEOO34 OR GEOO34F OR HONB34 OR HONB34F OR JPMC34 OR JPMC34F OR MSCD34 OR MSCD34F OR MSBR34F OR MSBR34 OR VISA34 OR VISA34F</v>
      </c>
      <c r="AB526" s="6" t="str">
        <f t="shared" si="90"/>
        <v>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 OR X1YL34 OR X1YL34F OR XRAY34 OR XRAY34F OR YUMR34 OR YUMR34F OR Z1BH34 OR Z1BH34F OR Z1IO34 OR Z1IO34F OR Z1TS34 OR Z1TS34F OR FCXO34 OR FCXO34F OR BBSE3 OR BBSE3F OR MMMC34 OR MMMC34F OR BOAC34 OR BOAC34F OR CTGP34 OR CTGP34F OR GSGI34 OR GSGI34F OR GEOO34 OR GEOO34F OR HONB34 OR HONB34F OR JPMC34 OR JPMC34F OR MSCD34 OR MSCD34F OR MSBR34F OR MSBR34 OR VISA34 OR VISA34F</v>
      </c>
    </row>
    <row r="527">
      <c r="A527" s="2">
        <v>0.0</v>
      </c>
      <c r="B527" s="2" t="s">
        <v>375</v>
      </c>
      <c r="C527" s="2" t="s">
        <v>2170</v>
      </c>
      <c r="D527" s="2" t="s">
        <v>2170</v>
      </c>
      <c r="E527" s="2" t="s">
        <v>390</v>
      </c>
      <c r="F527" s="2" t="s">
        <v>2498</v>
      </c>
      <c r="G527" s="2" t="s">
        <v>2378</v>
      </c>
      <c r="H527" s="5" t="s">
        <v>392</v>
      </c>
      <c r="I527" s="2" t="s">
        <v>391</v>
      </c>
      <c r="V527" s="6" t="str">
        <f t="shared" si="96"/>
        <v>VISA34 OR VISA34F</v>
      </c>
      <c r="W527"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 OR X1YL34 OR X1YL34F OR XRAY34 OR XRAY34F OR YUMR34 OR YUMR34F OR Z1BH34 OR Z1BH34F OR Z1IO34 OR Z1IO34F OR Z1TS34 OR Z1TS34F OR FCXO34 OR FCXO34F OR BBSE3 OR BBSE3F OR MMMC34 OR MMMC34F OR BOAC34 OR BOAC34F OR CTGP34 OR CTGP34F OR GSGI34 OR GSGI34F OR GEOO34 OR GEOO34F OR HONB34 OR HONB34F OR JPMC34 OR JPMC34F OR MSCD34 OR MSCD34F OR MSBR34F OR MSBR34 OR VISA34 OR VISA34F OR WFCO34 OR WFCO34F</v>
      </c>
      <c r="AB527" s="6" t="str">
        <f t="shared" si="90"/>
        <v>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 OR X1YL34 OR X1YL34F OR XRAY34 OR XRAY34F OR YUMR34 OR YUMR34F OR Z1BH34 OR Z1BH34F OR Z1IO34 OR Z1IO34F OR Z1TS34 OR Z1TS34F OR FCXO34 OR FCXO34F OR BBSE3 OR BBSE3F OR MMMC34 OR MMMC34F OR BOAC34 OR BOAC34F OR CTGP34 OR CTGP34F OR GSGI34 OR GSGI34F OR GEOO34 OR GEOO34F OR HONB34 OR HONB34F OR JPMC34 OR JPMC34F OR MSCD34 OR MSCD34F OR MSBR34F OR MSBR34 OR VISA34 OR VISA34F OR WFCO34 OR WFCO34F</v>
      </c>
    </row>
    <row r="528">
      <c r="A528" s="2">
        <v>0.0</v>
      </c>
      <c r="B528" s="2" t="s">
        <v>375</v>
      </c>
      <c r="C528" s="2" t="s">
        <v>2024</v>
      </c>
      <c r="D528" s="2" t="s">
        <v>2025</v>
      </c>
      <c r="E528" s="2" t="s">
        <v>387</v>
      </c>
      <c r="F528" s="2" t="s">
        <v>2499</v>
      </c>
      <c r="G528" s="2" t="s">
        <v>2378</v>
      </c>
      <c r="H528" s="5" t="s">
        <v>389</v>
      </c>
      <c r="I528" s="5" t="s">
        <v>388</v>
      </c>
      <c r="V528" s="6" t="str">
        <f t="shared" si="96"/>
        <v>WFCO34 OR WFCO34F</v>
      </c>
      <c r="W528"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 OR X1YL34 OR X1YL34F OR XRAY34 OR XRAY34F OR YUMR34 OR YUMR34F OR Z1BH34 OR Z1BH34F OR Z1IO34 OR Z1IO34F OR Z1TS34 OR Z1TS34F OR FCXO34 OR FCXO34F OR BBSE3 OR BBSE3F OR MMMC34 OR MMMC34F OR BOAC34 OR BOAC34F OR CTGP34 OR CTGP34F OR GSGI34 OR GSGI34F OR GEOO34 OR GEOO34F OR HONB34 OR HONB34F OR JPMC34 OR JPMC34F OR MSCD34 OR MSCD34F OR MSBR34F OR MSBR34 OR VISA34 OR VISA34F OR WFCO34 OR WFCO34F OR PGCO34 OR PGCO34F</v>
      </c>
      <c r="AB528" s="6" t="str">
        <f t="shared" si="90"/>
        <v>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 OR X1YL34 OR X1YL34F OR XRAY34 OR XRAY34F OR YUMR34 OR YUMR34F OR Z1BH34 OR Z1BH34F OR Z1IO34 OR Z1IO34F OR Z1TS34 OR Z1TS34F OR FCXO34 OR FCXO34F OR BBSE3 OR BBSE3F OR MMMC34 OR MMMC34F OR BOAC34 OR BOAC34F OR CTGP34 OR CTGP34F OR GSGI34 OR GSGI34F OR GEOO34 OR GEOO34F OR HONB34 OR HONB34F OR JPMC34 OR JPMC34F OR MSCD34 OR MSCD34F OR MSBR34F OR MSBR34 OR VISA34 OR VISA34F OR WFCO34 OR WFCO34F OR PGCO34 OR PGCO34F</v>
      </c>
    </row>
    <row r="529">
      <c r="A529" s="2">
        <v>0.0</v>
      </c>
      <c r="B529" s="2" t="s">
        <v>165</v>
      </c>
      <c r="C529" s="2" t="s">
        <v>1507</v>
      </c>
      <c r="D529" s="2" t="s">
        <v>1508</v>
      </c>
      <c r="E529" s="2" t="s">
        <v>321</v>
      </c>
      <c r="F529" s="2" t="s">
        <v>2500</v>
      </c>
      <c r="G529" s="2" t="s">
        <v>2378</v>
      </c>
      <c r="H529" s="5" t="s">
        <v>372</v>
      </c>
      <c r="I529" s="2" t="s">
        <v>322</v>
      </c>
      <c r="V529" s="6" t="str">
        <f t="shared" si="96"/>
        <v>PGCO34 OR PGCO34F</v>
      </c>
      <c r="W529"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 OR X1YL34 OR X1YL34F OR XRAY34 OR XRAY34F OR YUMR34 OR YUMR34F OR Z1BH34 OR Z1BH34F OR Z1IO34 OR Z1IO34F OR Z1TS34 OR Z1TS34F OR FCXO34 OR FCXO34F OR BBSE3 OR BBSE3F OR MMMC34 OR MMMC34F OR BOAC34 OR BOAC34F OR CTGP34 OR CTGP34F OR GSGI34 OR GSGI34F OR GEOO34 OR GEOO34F OR HONB34 OR HONB34F OR JPMC34 OR JPMC34F OR MSCD34 OR MSCD34F OR MSBR34F OR MSBR34 OR VISA34 OR VISA34F OR WFCO34 OR WFCO34F OR PGCO34 OR PGCO34F OR COCA34 OR COCA34F</v>
      </c>
      <c r="AB529" s="6" t="str">
        <f t="shared" si="90"/>
        <v>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 OR X1YL34 OR X1YL34F OR XRAY34 OR XRAY34F OR YUMR34 OR YUMR34F OR Z1BH34 OR Z1BH34F OR Z1IO34 OR Z1IO34F OR Z1TS34 OR Z1TS34F OR FCXO34 OR FCXO34F OR BBSE3 OR BBSE3F OR MMMC34 OR MMMC34F OR BOAC34 OR BOAC34F OR CTGP34 OR CTGP34F OR GSGI34 OR GSGI34F OR GEOO34 OR GEOO34F OR HONB34 OR HONB34F OR JPMC34 OR JPMC34F OR MSCD34 OR MSCD34F OR MSBR34F OR MSBR34 OR VISA34 OR VISA34F OR WFCO34 OR WFCO34F OR PGCO34 OR PGCO34F OR COCA34 OR COCA34F</v>
      </c>
    </row>
    <row r="530">
      <c r="A530" s="2">
        <v>0.0</v>
      </c>
      <c r="B530" s="2" t="s">
        <v>1444</v>
      </c>
      <c r="C530" s="2" t="s">
        <v>1502</v>
      </c>
      <c r="D530" s="2" t="s">
        <v>1503</v>
      </c>
      <c r="E530" s="2" t="s">
        <v>329</v>
      </c>
      <c r="F530" s="2" t="s">
        <v>2501</v>
      </c>
      <c r="G530" s="2" t="s">
        <v>2378</v>
      </c>
      <c r="H530" s="5" t="s">
        <v>331</v>
      </c>
      <c r="I530" s="2" t="s">
        <v>330</v>
      </c>
      <c r="V530" s="6" t="str">
        <f t="shared" si="96"/>
        <v>COCA34 OR COCA34F</v>
      </c>
      <c r="W530"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 OR X1YL34 OR X1YL34F OR XRAY34 OR XRAY34F OR YUMR34 OR YUMR34F OR Z1BH34 OR Z1BH34F OR Z1IO34 OR Z1IO34F OR Z1TS34 OR Z1TS34F OR FCXO34 OR FCXO34F OR BBSE3 OR BBSE3F OR MMMC34 OR MMMC34F OR BOAC34 OR BOAC34F OR CTGP34 OR CTGP34F OR GSGI34 OR GSGI34F OR GEOO34 OR GEOO34F OR HONB34 OR HONB34F OR JPMC34 OR JPMC34F OR MSCD34 OR MSCD34F OR MSBR34F OR MSBR34 OR VISA34 OR VISA34F OR WFCO34 OR WFCO34F OR PGCO34 OR PGCO34F OR COCA34 OR COCA34F OR COLG34 OR COLG34F</v>
      </c>
      <c r="AB530" s="6" t="str">
        <f t="shared" si="90"/>
        <v>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 OR X1YL34 OR X1YL34F OR XRAY34 OR XRAY34F OR YUMR34 OR YUMR34F OR Z1BH34 OR Z1BH34F OR Z1IO34 OR Z1IO34F OR Z1TS34 OR Z1TS34F OR FCXO34 OR FCXO34F OR BBSE3 OR BBSE3F OR MMMC34 OR MMMC34F OR BOAC34 OR BOAC34F OR CTGP34 OR CTGP34F OR GSGI34 OR GSGI34F OR GEOO34 OR GEOO34F OR HONB34 OR HONB34F OR JPMC34 OR JPMC34F OR MSCD34 OR MSCD34F OR MSBR34F OR MSBR34 OR VISA34 OR VISA34F OR WFCO34 OR WFCO34F OR PGCO34 OR PGCO34F OR COCA34 OR COCA34F OR COLG34 OR COLG34F</v>
      </c>
    </row>
    <row r="531">
      <c r="A531" s="2">
        <v>0.0</v>
      </c>
      <c r="B531" s="2" t="s">
        <v>1444</v>
      </c>
      <c r="C531" s="2" t="s">
        <v>1507</v>
      </c>
      <c r="D531" s="2" t="s">
        <v>1508</v>
      </c>
      <c r="E531" s="2" t="s">
        <v>326</v>
      </c>
      <c r="F531" s="2" t="s">
        <v>2502</v>
      </c>
      <c r="G531" s="2" t="s">
        <v>2378</v>
      </c>
      <c r="H531" s="5" t="s">
        <v>328</v>
      </c>
      <c r="I531" s="2" t="s">
        <v>327</v>
      </c>
      <c r="V531" s="6" t="str">
        <f t="shared" si="96"/>
        <v>COLG34 OR COLG34F</v>
      </c>
      <c r="W531"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 OR X1YL34 OR X1YL34F OR XRAY34 OR XRAY34F OR YUMR34 OR YUMR34F OR Z1BH34 OR Z1BH34F OR Z1IO34 OR Z1IO34F OR Z1TS34 OR Z1TS34F OR FCXO34 OR FCXO34F OR BBSE3 OR BBSE3F OR MMMC34 OR MMMC34F OR BOAC34 OR BOAC34F OR CTGP34 OR CTGP34F OR GSGI34 OR GSGI34F OR GEOO34 OR GEOO34F OR HONB34 OR HONB34F OR JPMC34 OR JPMC34F OR MSCD34 OR MSCD34F OR MSBR34F OR MSBR34 OR VISA34 OR VISA34F OR WFCO34 OR WFCO34F OR PGCO34 OR PGCO34F OR COCA34 OR COCA34F OR COLG34 OR COLG34F OR PEPB34 OR PEPB34F</v>
      </c>
      <c r="AB531" s="6" t="str">
        <f t="shared" si="90"/>
        <v>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 OR X1YL34 OR X1YL34F OR XRAY34 OR XRAY34F OR YUMR34 OR YUMR34F OR Z1BH34 OR Z1BH34F OR Z1IO34 OR Z1IO34F OR Z1TS34 OR Z1TS34F OR FCXO34 OR FCXO34F OR BBSE3 OR BBSE3F OR MMMC34 OR MMMC34F OR BOAC34 OR BOAC34F OR CTGP34 OR CTGP34F OR GSGI34 OR GSGI34F OR GEOO34 OR GEOO34F OR HONB34 OR HONB34F OR JPMC34 OR JPMC34F OR MSCD34 OR MSCD34F OR MSBR34F OR MSBR34 OR VISA34 OR VISA34F OR WFCO34 OR WFCO34F OR PGCO34 OR PGCO34F OR COCA34 OR COCA34F OR COLG34 OR COLG34F OR PEPB34 OR PEPB34F</v>
      </c>
    </row>
    <row r="532">
      <c r="A532" s="2">
        <v>0.0</v>
      </c>
      <c r="B532" s="2" t="s">
        <v>1444</v>
      </c>
      <c r="C532" s="2" t="s">
        <v>1502</v>
      </c>
      <c r="D532" s="2" t="s">
        <v>1503</v>
      </c>
      <c r="E532" s="2" t="s">
        <v>323</v>
      </c>
      <c r="F532" s="2" t="s">
        <v>2503</v>
      </c>
      <c r="G532" s="2" t="s">
        <v>2378</v>
      </c>
      <c r="H532" s="5" t="s">
        <v>325</v>
      </c>
      <c r="I532" s="2" t="s">
        <v>324</v>
      </c>
      <c r="V532" s="6" t="str">
        <f t="shared" si="96"/>
        <v>PEPB34 OR PEPB34F</v>
      </c>
      <c r="W532"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 OR X1YL34 OR X1YL34F OR XRAY34 OR XRAY34F OR YUMR34 OR YUMR34F OR Z1BH34 OR Z1BH34F OR Z1IO34 OR Z1IO34F OR Z1TS34 OR Z1TS34F OR FCXO34 OR FCXO34F OR BBSE3 OR BBSE3F OR MMMC34 OR MMMC34F OR BOAC34 OR BOAC34F OR CTGP34 OR CTGP34F OR GSGI34 OR GSGI34F OR GEOO34 OR GEOO34F OR HONB34 OR HONB34F OR JPMC34 OR JPMC34F OR MSCD34 OR MSCD34F OR MSBR34F OR MSBR34 OR VISA34 OR VISA34F OR WFCO34 OR WFCO34F OR PGCO34 OR PGCO34F OR COCA34 OR COCA34F OR COLG34 OR COLG34F OR PEPB34 OR PEPB34F OR WALM34F OR WALM34</v>
      </c>
      <c r="AB532" s="6" t="str">
        <f t="shared" si="90"/>
        <v>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 OR X1YL34 OR X1YL34F OR XRAY34 OR XRAY34F OR YUMR34 OR YUMR34F OR Z1BH34 OR Z1BH34F OR Z1IO34 OR Z1IO34F OR Z1TS34 OR Z1TS34F OR FCXO34 OR FCXO34F OR BBSE3 OR BBSE3F OR MMMC34 OR MMMC34F OR BOAC34 OR BOAC34F OR CTGP34 OR CTGP34F OR GSGI34 OR GSGI34F OR GEOO34 OR GEOO34F OR HONB34 OR HONB34F OR JPMC34 OR JPMC34F OR MSCD34 OR MSCD34F OR MSBR34F OR MSBR34 OR VISA34 OR VISA34F OR WFCO34 OR WFCO34F OR PGCO34 OR PGCO34F OR COCA34 OR COCA34F OR COLG34 OR COLG34F OR PEPB34 OR PEPB34F OR WALM34F OR WALM34</v>
      </c>
    </row>
    <row r="533">
      <c r="A533" s="2">
        <v>0.0</v>
      </c>
      <c r="B533" s="2" t="s">
        <v>1444</v>
      </c>
      <c r="C533" s="2" t="s">
        <v>1514</v>
      </c>
      <c r="D533" s="2" t="s">
        <v>1515</v>
      </c>
      <c r="E533" s="4" t="s">
        <v>317</v>
      </c>
      <c r="F533" s="2" t="s">
        <v>318</v>
      </c>
      <c r="G533" s="2" t="s">
        <v>2378</v>
      </c>
      <c r="H533" s="37" t="s">
        <v>318</v>
      </c>
      <c r="I533" s="37" t="s">
        <v>319</v>
      </c>
      <c r="V533" s="6" t="str">
        <f t="shared" si="96"/>
        <v>WALM34F OR WALM34</v>
      </c>
      <c r="W533" s="6" t="str">
        <f t="shared" si="1"/>
        <v>CSAN3 OR CSAN3F OR DMMO11 OR DMMO3F OR DMMO3 OR DMMO1 OR ENAT3 OR RPMG3F OR RPMG3 OR PETR4F OR PETR4 OR PETR3F OR PETR3 OR BRDT3 OR PRIO3F OR PRIO3 OR UGPA3 OR UGPA3F OR LUPA3F OR LUPA3 OR LUPA11 OR OSXB3F OR OSXB3 OR BRAP4F OR BRAP4 OR BRAP3F OR BRAP3 OR LTEL3B OR LTEL11BF OR LTEL3BF OR LTEL5BF OR LTLA3B OR MMXM11F OR MMXM3F OR MMXM11 OR MMXM3 OR VALE3 OR VALE3F OR FESA4F OR FESA3F OR FESA4 OR FESA3 OR GOAU4 OR GOAU3 OR GOAU3F OR GOAU4F OR GOAU3 OR GOAU4 OR GOAU3F OR GOAU4F OR CSNA3F OR CSNA3 OR USIM6 OR USIM5 OR USIM3 OR USIM3F OR USIM5F OR USIM6F OR MGEL3 OR MGEL4 OR MGEL3F OR MGEL4F OR PATI3 OR PATI4 OR PATI0F OR PATI3F OR PATI4F OR PATI9F OR TKNO3F OR TKNO4F OR TKNO3 OR TKNO4 OR PMAM3F OR PMAM3 OR BRKM6 OR BRKM5F OR BRKM5 OR BRKM3 OR BRKM3F OR BRKM6F OR GPCP3 OR GPCP4 OR GPCP3F OR GPCP4F OR FHER3 OR FHER3F OR NUTR3 OR NUTR3F OR CRPG3 OR CRPG5 OR CRPG6 OR CRPG3F OR CRPG5F OR CRPG6F OR UNIP3F OR UNIP5F OR UNIP6F OR UNIP3 OR UNIP5 OR UNIP6 OR DTEX3 OR DTEX3F OR EUCA4F OR EUCA3F OR EUCA4 OR EUCA3 OR RANI4 OR RANI3 OR RANI4F OR RANI3F OR KLBN4F OR KLBN3F OR KLBN11F OR KLBN4 OR KLBN3 OR KLBN11 OR MSPA3 OR MSPA4 OR MSPA3F OR MSPA4F OR STTZ OR NEMO5F OR NEMO5 OR NEMO3F OR NEMO3 OR NEMO6F OR NEMO6 OR SUZB3F OR SUZB3 OR MTIG3 OR MTIG4 OR MTIG3F OR MTIG4F OR SNSY3 OR SNSY5 OR SNSY6 OR SNSY3F OR SNSY5F OR SNSY6F OR ETER3F OR ETER3 OR HAGA3 OR HAGA4 OR HAGA3F OR HAGA4F OR PTBL3F OR PTBL3 OR AZEV3 OR AZEV4 OR AZEV3F OR AZEV4F OR SOND3 OR SOND5 OR SOND6 OR SOND3F OR SOND5F OR SOND6F OR TCNO3 OR TCNO4 OR TCNO3F OR TCNO4F OR MILS3 OR MILS3F OR EMBR3 OR EMBR3F OR FRAS3F OR FRAS3 OR POMO4F OR POMO3F OR POMO4 OR POMO3 OR RAPT3F OR RAPT4F OR RAPT4 OR RAPT3 OR RCSL3 OR RCSL4 OR RCSL3F OR RCSL4F OR RSUL3 OR RSUL4 OR RSUL3F OR RSUL4F OR TUPY3 OR TUPY3F OR MWET3 OR MWET4 OR MWET3F OR MWET4F OR SHUL4F OR SHUL4 OR SHUL3 OR SHUL3F OR WEGE3F OR WEGE3 OR EALT3F OR EALT4F OR EALT3 OR EALT4 OR BDLL4F OR BDLL3F OR BDLL3 OR BDLL4 OR ROMI3 OR ROMI3F OR INEP4F OR INEP3F OR INEP4 OR INEP3 OR KEPL11 OR KEPL3 OR KEPL11F OR KEPL3F OR FRIO3 OR FRIO3F OR NORD3 OR NORD3F OR PTCA11 OR PTCA3 OR MTSA3 OR MTSA4 OR MTSA3F OR MTSA4F OR STTR3 OR STTR3F OR TASA4F OR TASA3F OR TASA4 OR TASA3 OR TASA13 OR TASA15 OR TASA17 OR AZUL4 OR AZUL4F OR GOLL11 OR GOL4F OR GOLL4 OR GOLL12 OR FRRN3B OR FRRN5B OR FRRN6B OR FRRN3BF OR FRRN5BF OR FRRN6BF OR GASC OR RLOG3F OR RLOG3 OR VSPT1 OR VSPT3 OR VSPT4 OR VSPT3F OR VSPT4F OR MRSA OR RAIL3F OR RAIL3 OR HBSA3 OR LOGN3 OR LOGN12F OR LOGN3F OR LUXM3 OR LUXM4 OR LUXM3F OR LUXM4F OR JSLG11 OR JSLG3F OR TGMA3 OR TGMA3F OR ANHB OR CCRO3 OR CCRO3F OR RPTA OR CRTE3B OR CRTE5B OR CRTE3BF OR CRTE5BF OR ERDV OR ECNT OR ASCP OR ECOR3 OR ECOR3F OR ECOV OR COLN OR RDVT OR CRBD OR TRIA OR TPIS3F OR TPIS3 OR VOES OR AGRU OR PSVM11 OR IVPR3B OR IVPR4B OR IVPR3BF OR IVPR4BF OR SAIP OR STBP3F OR STBP3 OR WSON33 OR WSON33F OR ATMP3 OR AMBP3 OR BBML3 OR CARD3F OR CARD3 OR DTCY3 OR ALPK3 OR FLEX3 OR PRNR3 OR PRNR3F OR SEQL3 OR VLID3F OR VLID3 OR BTTL3F OR BTTL3 OR BTTL4F OR MMAQ3 OR MMAQ4 OR MMAQ3F OR MMAQ4F OR WLMM4 OR APTI3 OR APTI4 OR AGRO3F OR AGRO3 OR FRTA3 OR FRTA3F OR FRTA1F OR SLCE3 OR SLCE3F OR TESA12 OR TESA3 OR TESA3F OR BSEV3F OR BSEV3 OR RESA OR SMTO3F OR SMTO3 OR BRFS3 OR BRFS3F OR BAUH4 OR JBSS3F OR JBSS3 OR MRFG3F OR MRFG3 OR BEEF3F OR BEEF3 OR BEEF11 OR MNPR3 OR CAML3F OR CAML3 OR JMCD OR JOPA3 OR MDIA3F OR MDIA3 OR ODER3 OR ODER4 OR ABEV3 OR NTCO3F OR NTCO3 OR BOBR4 OR CRFB3F OR CRFB3 OR GMAT3 OR PCAR3F OR PCAR4F OR PCAR3 OR CALI3 OR CALI4 OR CRDE3 OR CRDE3F OR CURY3 OR CYRE3 OR CYRE3F OR DIRR3F OR DIRR3 OR EVEN3F OR EVEN3 OR EZTC3F OR EZTC3 OR GFSA3 OR GFSA3F OR HBOR3F OR HBOR3 OR HBOR9F OR INTT3 OR JHSF3F OR JHSF3 OR JFEN3 OR LAVV3 OR MELK3 OR MTRE3 OR MDNE3 OR MRVE3F OR MRVE3 OR PDGR3F OR PDGR3 OR PDGR11F OR PLPL3 OR RDNI3F OR RDNI3 OR RSID3F OR RSID3 OR TCSA3F OR TCSA3 OR TEND3 OR TRIS3 OR VIVR3 OR CEDO4F OR CEDO3F OR CEDO4 OR CEDO3 OR CTNM3F OR CTNM4F OR CTNM4 OR CTNM3 OR DOHL3 OR ECPR3 OR CATA3 OR CATA4 OR CTKA4F OR CTKA3F OR CTKA4 OR CTKA3 OR PTNT4 OR CTSA3 OR SGPS3 OR TEKA4 OR TXRX4 OR HGTX3F OR HGTX3 OR ALPA3F OR ALPA4F OR ALPA3 OR ALPA4 OR CAMB3 OR GRND3F OR GRND3 OR VULC3 OR MNDL3F OR MNDL3 OR TECN3 OR VIVA3 OR WHRL4F OR WHRL3F OR WHRL4 OR WHRL3 OR UCAS3 OR HETA4 OR MYPK3F OR MYPK3 OR MYPK11F OR MYPK12F OR LEVE3F OR LEVE3 OR PLAS3 OR PLAS11 OR HOOT4 OR HOOT3 OR HOOT4F OR HOOT3F OR BKBR3 OR MEAL3 OR BMKS3 OR ESTR4F OR ESTR3F OR ESTR4 OR ESTR3 OR AHEB3 OR SHOW3 OR CVCB3 OR CVCB3F OR CVCB11 OR SMTF3 OR ANIM3F OR ANIM3 OR BAHI3 OR COGN3F OR COGN3 OR SEER3 OR SEER3F OR YDUQ3 OR RENT3F OR RENT3 OR LCAM3F OR LCAM3 OR MSRO3 OR MOVI3F OR MOVI3 OR LCAM3 OR SMLS3F OR SMLS3 OR ARZZ3F OR ARZZ3 OR CEAB3 OR CGRA3F OR CGRA4F OR CGRA4 OR CGRA3 OR SOMA3 OR GUAR3 OR LLIS3F OR LLIS3 OR AMAR3F OR AMAR3 OR LREN3F OR LREN3 OR MGLU3F OR MGLU3 OR VVAR3F OR VVAR3 OR VVAR11F OR VVAR4F OR VIIA3 OR BTOW3 OR CNTO3 OR LAME4F OR LAME4 OR LAME3F OR LAME3 OR PETZ3 OR LJQQ3 OR SLED4F OR SLED3F OR SLED3 OR SLED11 OR SLED12 OR SLED4 OR BIOM3F OR BIOM3 OR BIOM1 OR GBIO33F OR GBIO33 OR NRTQ3 OR OFSA3F OR OFSA3 OR ADHM3 OR AALR3F OR AALR3 OR DASA3 OR FLRY3 OR FLRY3F OR HAPV3 OR PARD3 OR FLRY3F OR GNDI3 OR ODPV3F OR ODPV3 OR QUAL3F OR QUAL3 OR BALM3F OR BALM4F OR BALM4 OR BALM3 OR LMED3 OR PNVL4F OR PNVL3F OR PNVL4 OR PNVL3 OR DMVF3 OR HYPE3 OR HYPE3F OR PGMN3 OR PFRM3 OR PFRM3F OR RADL3F OR RADL3 OR POSI3F OR POSI3 OR BRQB3 OR BRQB3F OR LINX3F OR LINX3 OR LWSA3 OR QUSW3 OR QUSW3F OR SQIA3 OR TOTS3F OR TOTS3 OR ALGT OR OIBR4F OR OIBR4 OR OIBR3 OR OIBR3F OR TELB4F OR TELB4 OR TELB3F OR TELB3 OR VIVT4F OR VIVT4 OR VIVT3F OR VIVT3 OR TIMS3 OR TIMP3F OR TIMP3 OR CNSY3 OR CNSY3F OR AESL3 OR TIET11F OR TIET3F OR TIET4F OR TIET4 OR TIET11 OR TIET3 OR AFLT3F OR AFLT3 OR ALUP4F OR ALUP3F OR ALUP11F OR ALUP4 OR ALUP3 OR ALUP11 OR CBEE3 OR CPTE OR CEBR3F OR CEBR6F OR CEBR5F OR CEBR6 OR CEBR3 OR CEBR5 OR CEED3F OR CEED4F OR CEED4 OR CEED3 OR EEEL4F OR EEEL3F OR EEEL4 OR EEEL3 OR CLSC4F OR CLSC3F OR CLSC4 OR CLSC3 OR GPAR3 OR CEPE6F OR CEPE5F OR CEPE3F OR CEPE6 OR CEPE5 OR CEPE3 OR CMIG4 OR CMIG3F OR CMIG3 OR CMIG4F OR CMIG10F OR CMIG9F OR CMGD OR CMGT OR CESP6 OR CESP5 OR CESP3F OR CESP3 OR CESP6F OR CESP5F OR CEEB5 OR CEEB3 OR CEEB6 OR COCE6F OR COCE5F OR COCE3F OR COCE6 OR COCE3 OR COCE5 OR CPLE5F OR CPLE6F OR CPLE6 OR CPLE5 OR CPLE3 OR CPLE3F OR CSRN3 OR CSRN5 OR CSRN6 OR CPFE3F OR CPFE3 OR CPFG OR CPFP OR CPRE3F OR CPRE3 OR EBEN OR EKTR3 OR EKTR4 OR ELET3 OR ELET5 OR ELET6 OR ELET3F OR ELET5F OR ELET6F OR LIPR3 OR EMAE4 OR ENBR3 OR ENBR3F OR ENGI3 OR ENGI4 OR ENGI11 OR ENMT4 OR ENER OR ENEV3F OR ENEV3 OR EGIE3F OR EGIE3F OR EQPA5 OR EQPA6 OR EQPA7 OR EQMA3B OR EQMA5B OR EQMA6B OR EQTL3 OR EQTL3F OR ESCE OR FGEN OR GEPA4F OR GEPA3F OR GEPA4 OR GEPA3 OR ITPB OR LIGT3 OR LIGT3F OR NEOE3 OR NEOE3BF OR OMGE3 OR OMGE3F OR PALF OR PRMN3B OR PRMN3BF OR REDE3 OR REDE3F OR RNEW11F OR RNEW11 OR RNEW4F OR RNEW4 OR RNEW3 OR RNEW3F OR STKF3 OR STKF3F OR STEN OR TAEE4 OR TAEE3 OR TAEE11 OR TAEE11F OR TAEE3F OR TAEE4F OR TMPE OR TEPE OR TRPL4F OR TRPL4 OR TRPL3F OR TRPL3 OR UPKP3B OR UPKP3F OR CASN4F OR CASN3F OR CASN4 OR CASN3 OR CSMG3 OR CSMG3F OR IGSN3 OR IGSN3F OR SBSP3F OR SBSP3 OR SAPR11F OR SAPR4F OR SAPR3F OR SAPR4 OR SAPR3 OR SAPR11 OR SNST OR CEGR3F OR CEGR3 OR CGAS3F OR CGAS5F OR CGAS5 OR CGAS3 OR ABCB10 OR ABCB4 OR ABCB4F OR RPAD3 OR RPAD5 OR RPAD6 OR RPAD3F OR RPAD5F OR RPAD6F OR BRIV3 OR BRIV4 OR BRIV3F OR BRIV4F OR BAZA3 OR BAZA3F OR BMGB11 OR BMGB4 OR BIDI3 OR BIDI11 OR BIDI4 OR BPAN4F OR BPAN4 OR BPAN2F OR BGIP3 OR BGIP4 OR BGIP3F OR BGIP4F OR BEES3 OR BEES4 OR BEES3F OR BEES4F OR BPAR3F OR BPAR3 OR BRSR6F OR BRSR5F OR BRSR3F OR BRSR6 OR BRSR5 OR BRSR3 OR BBDC4F OR BBDC4 OR BBDC3 OR BBDC3F OR BBAS3F OR BBAS3 OR BBAS12 OR BBAS11 OR BBAS11F OR BBAS12F OR BSLI4F OR BSLI3F OR BSLI4 OR BSLI3 OR BPAC11 OR BPAC3 OR BPAC5 OR BPAC11F OR BPAC3F OR BPAC5F OR IDVL3 OR IDVL4 OR IDVL3F OR IDVL4F OR ITSA4F OR ITSA4 OR ITSA3F OR ITSA3 OR ITUB3F OR ITUB4 OR ITUB3 OR ITUB4F OR BMEB3 OR BMEB4 OR BMEB3F OR BMEB4F OR BMEB9F OR BMIN3 OR BMIN4 OR BMIN3F OR BMIN4F OR BNBR3 OR BNBR3F OR PRBC OR PINE3 OR PINE4 OR PINE3F OR PINE4F OR SANB4F OR SANB3F OR SANB11F OR SANB4 OR SANB3 OR SANB11F OR CRIV3 OR CRIV4 OR CRIV3F OR CRIV4F OR FNCN3 OR FNCN3F OR MERC4 OR MERC3 OR MERC3F OR MERC4F OR BDLS OR DBEN OR BZRS OR BSCS OR WTVR OR CBSC OR ECOA OR GAFL OR GAIA OR OCTS OR PDGS OR PLSC OR RBRA OR APCS OR VERT OR WTPI OR BNDP OR BFRE OR GPIV33 OR GPIV33F OR PDTC3 OR PPLA11 OR PPLA11F OR B3SA3 OR BOAS3 OR CIEL3 OR CIEL3F OR BRGE11 OR BRGE12 OR BRGE3 OR BRGE5 OR BRGE6 OR BRGE7 OR BRGE8 OR BRGE11F OR BRGE12F OR BRGE3F OR BRGE5F OR BRGE6F OR BRGE7F OR BRGE8F OR BBSE3 OR BBSE3F OR IRBR3 OR IRBR3F OR PSSA3F OR PSSA3 OR CSAB3 OR CSAB4 OR CSAB3F OR CSAB4F OR SULA11 OR SULA3 OR SULA4 OR SULA11F OR SULA3F OR SULA4F OR APER3F OR APER3 OR WIZS3 OR WIZS3F OR ALSO3 OR BRML3 OR BRML3F OR BRPR3F OR BRPR3 OR CORR3 OR CORR4 OR CORR3F OR CORR4F OR CCPR3 OR CCPR3F OR GSHP3F OR GSHP3 OR HBTS3 OR HBTS5 OR HBTS6 OR HBTS3F OR HBTS5F OR HBTS6F OR IGBR3F OR IGBR3 OR IGTA3 OR IGTA3F OR JPSA3 OR LOGG3 OR MNZC3B OR MNZC3BF OR MULT3F OR MULT3 OR SCAR3F OR SCAR3 OR BBRK3F OR BBRK3 OR LPSB3F OR LPSB3 OR MOAR3 OR MOAR3F OR PEAB3 OR PEAB4 OR PEAB3F OR PEAB4F OR SIMH3F OR SIMH3 OR CTBA OR MCRJ OR PMSP OR QVQP3B OR QVQP3BF OR ALEF3B OR ALEF3BF OR ATOM3 OR ATOM3F OR BETP3B OR BETP3BF OR CABI3B OR CABI3BF OR CACO3B OR CACO3BF OR MAPT3 OR MAPT4 OR MAPT3F OR MAPT4F OR CMSA3 OR CMSA4 OR CMSA3F OR CMSA4F OR OPGM3B OR OPGM3BF OR FIGE3 OR FIGE4 OR FIGE3F OR FIGE4F OR JBDU3 OR JBDU4 OR JBDU3F OR JBDU4F OR MGIP OR OPHE3B OR OPHE3BF OR PPAR3 OR PPAR3F OR PRPT3B OR PRPT3BF OR SLCT3B OR SLCT3BF OR OPSE3B OR OPSE3BF OR OPTS3B OR OPTS3BF OR PASS3 OR ATTB34F OR ATTB34 OR VERZ34F OR VERZ34 OR EBAY34F OR EBAY34 OR AAPL34F OR AAPL34 OR CSCO34F OR CSCO34 OR HPQB34F OR HPQB34 OR ITLC34F OR ITLC34 OR IBMB34F OR IBMB34 OR MSFT34F OR MSFT34 OR ORCL34F OR ORCL34 OR QCOM34F OR QCOM34 OR XRXB34F OR XRXB34 OR ABTT34 OR BMYB34F OR BMYB34 OR JNJB34F OR JNJB34 OR MRCK34F OR MRCK34 OR PFIZ34F OR PFIZ34 OR EXXO34F OR EXXO34 OR CHVX34F OR CHVX34 OR COPH34 OR COPH34F OR HALI34F OR HALI34 OR SLBG34F OR SLBG34 OR TSNF34 OR TWTR34F OR TWTR34 OR TXSA34F OR TXSA34 OR U1AI34F OR U1AI34 OR 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 OR X1YL34 OR X1YL34F OR XRAY34 OR XRAY34F OR YUMR34 OR YUMR34F OR Z1BH34 OR Z1BH34F OR Z1IO34 OR Z1IO34F OR Z1TS34 OR Z1TS34F OR FCXO34 OR FCXO34F OR BBSE3 OR BBSE3F OR MMMC34 OR MMMC34F OR BOAC34 OR BOAC34F OR CTGP34 OR CTGP34F OR GSGI34 OR GSGI34F OR GEOO34 OR GEOO34F OR HONB34 OR HONB34F OR JPMC34 OR JPMC34F OR MSCD34 OR MSCD34F OR MSBR34F OR MSBR34 OR VISA34 OR VISA34F OR WFCO34 OR WFCO34F OR PGCO34 OR PGCO34F OR COCA34 OR COCA34F OR COLG34 OR COLG34F OR PEPB34 OR PEPB34F OR WALM34F OR WALM34 OR </v>
      </c>
      <c r="AB533" s="6" t="str">
        <f t="shared" si="90"/>
        <v>U1AL34 OR U1AL34F OR U1BE34F OR U1BE34 OR U1DR34F OR U1DR34 OR U1HS34F OR U1HS34 OR U1LT34F OR U1LT34 OR U1NM34F OR U1NM34 OR UPSS34 OR UPSS34F OR LMTB34F OR LMTB34 OR FDXB34F OR FDXB34 OR U1RI34 OR UBSG34 OR UNSG34F OR ULEV34 OR CATP34F OR CATP34 OR BOEI34F OR BOEI34 OR ARMT34F OR ARMT34 OR AXPB34F OR AXPB34 OR UNHH34F OR UNHH34 OR UPAC34F OR UPAC34 OR USBC34F OR USBC34 OR USSX34F OR USSX34 OR V1AR34 OR V1MC34 OR V1NO34 OR V1RS34 OR V1TA34 OR VFCO34 OR NFLX34F OR NFLX34 OR VLOE34 OR VLOE34F OR NIKE34F OR NIKE34 OR MCDC34F OR MCDC34 OR VLYB34 OR VRSN34 OR VRTX34 OR W1AB34 OR W1DA34 OR W1DC34 OR W1EC34 OR W1EL34 OR W1HR34 OR W1LT34 OR W1MB34 OR W1MC34 OR W1RK34 OR W1YC34 OR W1YN34 OR WABC34 OR WATC34 OR WGBA34 OR WUNI34 OR WUNI34F OR TFCO4 OR X1EL34 OR HOME34F OR HOME34 OR FDMO34F OR FDMO34 OR CMCS34F OR CMCS34 OR AMZO34F OR AMZO34 OR SBUB34 OR SBUB34F OR X1LN34 OR X1LN34F OR X1YL34 OR X1YL34F OR XRAY34 OR XRAY34F OR YUMR34 OR YUMR34F OR Z1BH34 OR Z1BH34F OR Z1IO34 OR Z1IO34F OR Z1TS34 OR Z1TS34F OR FCXO34 OR FCXO34F OR BBSE3 OR BBSE3F OR MMMC34 OR MMMC34F OR BOAC34 OR BOAC34F OR CTGP34 OR CTGP34F OR GSGI34 OR GSGI34F OR GEOO34 OR GEOO34F OR HONB34 OR HONB34F OR JPMC34 OR JPMC34F OR MSCD34 OR MSCD34F OR MSBR34F OR MSBR34 OR VISA34 OR VISA34F OR WFCO34 OR WFCO34F OR PGCO34 OR PGCO34F OR COCA34 OR COCA34F OR COLG34 OR COLG34F OR PEPB34 OR PEPB34F OR WALM34F OR WALM34 OR </v>
      </c>
    </row>
    <row r="535">
      <c r="W535" s="2" t="s">
        <v>4813</v>
      </c>
    </row>
  </sheetData>
  <autoFilter ref="$A$1:$W$533"/>
  <customSheetViews>
    <customSheetView guid="{AAB0FE73-7724-42EF-8104-7F9501FD80CF}" filter="1" showAutoFilter="1">
      <autoFilter ref="$A$1:$L$500">
        <filterColumn colId="7">
          <filters>
            <filter val="ASCP"/>
            <filter val="TEPE"/>
            <filter val="MMAQ3"/>
            <filter val="WABC34"/>
            <filter val="DTCY3"/>
            <filter val="OMGE3"/>
            <filter val="REDE3"/>
            <filter val="BBSE3"/>
            <filter val="U1AI34F"/>
            <filter val="MILS3"/>
            <filter val="TRIA"/>
            <filter val="U1HS34F"/>
            <filter val="BETP3B"/>
            <filter val="UCAS3"/>
            <filter val="CEEB5"/>
            <filter val="PINE3"/>
            <filter val="W1EL34"/>
            <filter val="PATI3"/>
            <filter val="CABI3B"/>
            <filter val="RDVT"/>
            <filter val="OPGM3B"/>
            <filter val="SHOW3"/>
            <filter val="MGIP"/>
            <filter val="BMKS3"/>
            <filter val="FRRN3B"/>
            <filter val="CTBA"/>
            <filter val="WSON33"/>
            <filter val="RBRA"/>
            <filter val="TIMS3"/>
            <filter val="ITPB"/>
            <filter val="STTZ"/>
            <filter val="BZRS"/>
            <filter val="GASC"/>
            <filter val="MEAL3"/>
            <filter val="FIGE3"/>
            <filter val="STKF3"/>
            <filter val="GPAR3"/>
            <filter val="MSPA3"/>
            <filter val="GOAU3"/>
            <filter val="FNCN3"/>
            <filter val="BSCS"/>
            <filter val="BAUH4"/>
            <filter val="FLEX3"/>
            <filter val="DOHL3"/>
            <filter val="JPSA3"/>
            <filter val="LTEL3B"/>
            <filter val="PPAR3"/>
            <filter val="ELET3"/>
            <filter val="DTEX3"/>
            <filter val="W1AB34"/>
            <filter val="CSMG3"/>
            <filter val="MAPT3"/>
            <filter val="APCS"/>
            <filter val="JMCD"/>
            <filter val="JOPA3"/>
            <filter val="MGEL3"/>
            <filter val="BMEB3"/>
            <filter val="CSRN3"/>
            <filter val="CSAN3"/>
            <filter val="EKTR3"/>
            <filter val="WIZS3"/>
            <filter val="W1LT34"/>
            <filter val="CRBD"/>
            <filter val="ABCB10"/>
            <filter val="AGRU"/>
            <filter val="MTSA3"/>
            <filter val="LCAM3"/>
            <filter val="GPIV33"/>
            <filter val="FGEN"/>
            <filter val="TGMA3"/>
            <filter val="RPTA"/>
            <filter val="VOES"/>
            <filter val="EMAE4"/>
            <filter val="VERT"/>
            <filter val="CBEE3"/>
            <filter val="PRNR3"/>
            <filter val="MOAR3"/>
            <filter val="CMSA3"/>
            <filter val="QUSW3"/>
            <filter val="PMSP"/>
            <filter val="TEKA4"/>
            <filter val="MNPR3"/>
            <filter val="SEQL3"/>
            <filter val="BDLS"/>
            <filter val="PRPT3B"/>
            <filter val="PPLA11"/>
            <filter val="HETA4"/>
            <filter val="TXRX4"/>
            <filter val="NRTQ3"/>
            <filter val="IDVL3"/>
            <filter val="BFRE"/>
            <filter val="PLSC"/>
            <filter val="BAHI3"/>
            <filter val="AZEV3"/>
            <filter val="TKNO3F"/>
            <filter val="TCNO3"/>
            <filter val="CATA3"/>
            <filter val="SLCT3B"/>
            <filter val="RCSL3"/>
            <filter val="CIEL3"/>
            <filter val="CNSY3"/>
            <filter val="CRPG3"/>
            <filter val="BRIV3"/>
            <filter val="TESA12"/>
            <filter val="ESCE"/>
            <filter val="BOBR4"/>
            <filter val="PDTC3"/>
            <filter val="ENGI3"/>
            <filter val="DBEN"/>
            <filter val="VIVR3"/>
            <filter val="JBDU3"/>
            <filter val="WTPI"/>
            <filter val="SULA11"/>
            <filter val="PDGS"/>
            <filter val="BNDP"/>
            <filter val="TRIS3"/>
            <filter val="WGBA34"/>
            <filter val="BNBR3"/>
            <filter val="CORR3"/>
            <filter val="OPTS3B"/>
            <filter val="VRSN34"/>
            <filter val="ENMT4"/>
            <filter val="DASA3"/>
            <filter val="SOND3"/>
            <filter val="TECN3"/>
            <filter val="SNST"/>
            <filter val="RPAD3"/>
            <filter val="JFEN3"/>
            <filter val="CCPR3"/>
            <filter val="ERDV"/>
            <filter val="BEES3"/>
            <filter val="AESL3"/>
            <filter val="LUXM3"/>
            <filter val="PRBC"/>
            <filter val="RANI4"/>
            <filter val="CPFP"/>
            <filter val="TEND3"/>
            <filter val="TUPY3"/>
            <filter val="W1HR34"/>
            <filter val="CPFG"/>
            <filter val="BBML3"/>
            <filter val="ANHB"/>
            <filter val="PRMN3B"/>
            <filter val="VLYB34"/>
            <filter val="LMED3"/>
            <filter val="CRIV3"/>
            <filter val="TMPE"/>
            <filter val="GNDI3"/>
            <filter val="W1DA34"/>
            <filter val="ROMI3"/>
            <filter val="CSAB3"/>
            <filter val="LIGT3"/>
            <filter val="AZUL4"/>
            <filter val="AHEB3"/>
            <filter val="PTNT4"/>
            <filter val="EBEN"/>
            <filter val="RSUL3"/>
            <filter val="VSPT1"/>
            <filter val="BPAC11"/>
            <filter val="U1BE34F"/>
            <filter val="UPKP3B"/>
            <filter val="BRQB3"/>
            <filter val="NUTR3"/>
            <filter val="PTCA11"/>
            <filter val="ALEF3B"/>
            <filter val="CTSA3"/>
            <filter val="BGIP3"/>
            <filter val="ALGT"/>
            <filter val="INTT3"/>
            <filter val="U1DR34F"/>
            <filter val="SQIA3"/>
            <filter val="PLAS3"/>
            <filter val="HBTS3"/>
            <filter val="ABEV3"/>
            <filter val="MSRO3"/>
            <filter val="LTLA3B"/>
            <filter val="GUAR3"/>
            <filter val="ATMP3"/>
            <filter val="MCRJ"/>
            <filter val="B3SA3"/>
            <filter val="BTOW3"/>
            <filter val="WTVR"/>
            <filter val="W1EC34"/>
            <filter val="APTI3"/>
            <filter val="BRGE11"/>
            <filter val="BAZA3"/>
            <filter val="NORD3"/>
            <filter val="U1NM34F"/>
            <filter val="TXSA34F"/>
            <filter val="MRSA"/>
            <filter val="PEAB3"/>
            <filter val="KEPL11"/>
            <filter val="VULC3"/>
            <filter val="W1YN34"/>
            <filter val="PSVM11"/>
            <filter val="ECOR3"/>
            <filter val="ATOM3"/>
            <filter val="ECNT"/>
            <filter val="CMGT"/>
            <filter val="ECOA"/>
            <filter val="CRDE3"/>
            <filter val="FHER3"/>
            <filter val="CMGD"/>
            <filter val="OPHE3B"/>
            <filter val="SNSY3"/>
            <filter val="U1LT34F"/>
            <filter val="WATC34"/>
            <filter val="STEN"/>
            <filter val="CBSC"/>
            <filter val="COLN"/>
            <filter val="CALI3"/>
            <filter val="CCRO3"/>
            <filter val="OPSE3B"/>
            <filter val="ECPR3"/>
            <filter val="GAFL"/>
            <filter val="PALF"/>
            <filter val="SGPS3"/>
            <filter val="HAGA3"/>
            <filter val="CNTO3"/>
            <filter val="FRTA3"/>
            <filter val="MWET3"/>
            <filter val="ECOV"/>
            <filter val="PFRM3"/>
            <filter val="CACO3B"/>
            <filter val="ENER"/>
            <filter val="W1MB34"/>
            <filter val="BKBR3"/>
            <filter val="HAPV3"/>
            <filter val="ODER3"/>
            <filter val="GAIA"/>
            <filter val="W1RK34"/>
            <filter val="JSLG11"/>
            <filter val="QVQP3B"/>
            <filter val="ENBR3"/>
            <filter val="CRTE3B"/>
            <filter val="WLMM4"/>
            <filter val="OCTS"/>
            <filter val="ADHM3"/>
            <filter val="IGSN3"/>
            <filter val="EQTL3"/>
            <filter val="W1MC34"/>
            <filter val="FRIO3"/>
            <filter val="CPTE"/>
            <filter val="LIPR3"/>
            <filter val="W1DC34"/>
            <filter val="LOGN3"/>
            <filter val="MNZC3B"/>
            <filter val="MTIG3"/>
            <filter val="SLCE3"/>
            <filter val="UNHH34F"/>
            <filter val="GMAT3"/>
            <filter val="EQPA5"/>
            <filter val="VRTX34"/>
            <filter val="EMBR3"/>
            <filter val="STTR3"/>
            <filter val="GPCP3"/>
            <filter val="SMTF3"/>
            <filter val="SAIP"/>
            <filter val="RESA"/>
            <filter val="IVPR3B"/>
            <filter val="CAMB3"/>
            <filter val="W1YC34"/>
            <filter val="EQMA3B"/>
          </filters>
        </filterColumn>
      </autoFilter>
    </customSheetView>
    <customSheetView guid="{B6B21839-C3D4-4CE6-9153-5B03C56252CC}" filter="1" showAutoFilter="1">
      <autoFilter ref="$A$1:$M$425">
        <filterColumn colId="0">
          <filters>
            <filter val="1"/>
          </filters>
        </filterColumn>
      </autoFilter>
    </customSheetView>
  </customSheetViews>
  <hyperlinks>
    <hyperlink r:id="rId1" ref="I186"/>
    <hyperlink r:id="rId2" ref="J186"/>
    <hyperlink r:id="rId3" ref="I221"/>
    <hyperlink r:id="rId4" ref="H451"/>
    <hyperlink r:id="rId5" ref="I451"/>
    <hyperlink r:id="rId6" ref="H452"/>
    <hyperlink r:id="rId7" ref="I452"/>
    <hyperlink r:id="rId8" ref="H454"/>
    <hyperlink r:id="rId9" ref="I454"/>
    <hyperlink r:id="rId10" ref="H455"/>
    <hyperlink r:id="rId11" ref="I455"/>
    <hyperlink r:id="rId12" ref="H456"/>
    <hyperlink r:id="rId13" ref="I456"/>
    <hyperlink r:id="rId14" ref="H457"/>
    <hyperlink r:id="rId15" ref="I457"/>
    <hyperlink r:id="rId16" ref="H458"/>
    <hyperlink r:id="rId17" ref="I458"/>
    <hyperlink r:id="rId18" ref="H469"/>
    <hyperlink r:id="rId19" ref="I469"/>
    <hyperlink r:id="rId20" ref="H504"/>
    <hyperlink r:id="rId21" ref="I504"/>
    <hyperlink r:id="rId22" ref="H505"/>
    <hyperlink r:id="rId23" ref="I505"/>
    <hyperlink r:id="rId24" ref="H506"/>
    <hyperlink r:id="rId25" ref="I506"/>
    <hyperlink r:id="rId26" ref="H507"/>
    <hyperlink r:id="rId27" ref="H509"/>
    <hyperlink r:id="rId28" ref="I509"/>
    <hyperlink r:id="rId29" ref="H510"/>
    <hyperlink r:id="rId30" ref="I510"/>
    <hyperlink r:id="rId31" ref="H511"/>
    <hyperlink r:id="rId32" ref="I511"/>
    <hyperlink r:id="rId33" ref="H512"/>
    <hyperlink r:id="rId34" ref="I512"/>
    <hyperlink r:id="rId35" ref="H513"/>
    <hyperlink r:id="rId36" ref="I513"/>
    <hyperlink r:id="rId37" ref="H514"/>
    <hyperlink r:id="rId38" ref="I514"/>
    <hyperlink r:id="rId39" ref="H515"/>
    <hyperlink r:id="rId40" ref="I515"/>
    <hyperlink r:id="rId41" ref="H516"/>
    <hyperlink r:id="rId42" ref="I516"/>
    <hyperlink r:id="rId43" ref="H517"/>
    <hyperlink r:id="rId44" ref="H518"/>
    <hyperlink r:id="rId45" ref="I518"/>
    <hyperlink r:id="rId46" ref="H519"/>
    <hyperlink r:id="rId47" ref="H520"/>
    <hyperlink r:id="rId48" ref="H521"/>
    <hyperlink r:id="rId49" ref="I521"/>
    <hyperlink r:id="rId50" ref="H522"/>
    <hyperlink r:id="rId51" ref="I522"/>
    <hyperlink r:id="rId52" ref="H523"/>
    <hyperlink r:id="rId53" ref="I523"/>
    <hyperlink r:id="rId54" ref="H524"/>
    <hyperlink r:id="rId55" ref="I524"/>
    <hyperlink r:id="rId56" ref="H525"/>
    <hyperlink r:id="rId57" ref="I525"/>
    <hyperlink r:id="rId58" ref="H526"/>
    <hyperlink r:id="rId59" ref="I526"/>
    <hyperlink r:id="rId60" ref="H527"/>
    <hyperlink r:id="rId61" ref="H528"/>
    <hyperlink r:id="rId62" ref="I528"/>
    <hyperlink r:id="rId63" ref="H529"/>
    <hyperlink r:id="rId64" ref="H530"/>
    <hyperlink r:id="rId65" ref="H531"/>
    <hyperlink r:id="rId66" ref="H532"/>
    <hyperlink r:id="rId67" ref="H533"/>
    <hyperlink r:id="rId68" ref="I533"/>
  </hyperlinks>
  <drawing r:id="rId69"/>
</worksheet>
</file>