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ate1904="1"/>
  <mc:AlternateContent xmlns:mc="http://schemas.openxmlformats.org/markup-compatibility/2006">
    <mc:Choice Requires="x15">
      <x15ac:absPath xmlns:x15ac="http://schemas.microsoft.com/office/spreadsheetml/2010/11/ac" url="/All My Stuff/Datasets/Datasets18/To transfer/"/>
    </mc:Choice>
  </mc:AlternateContent>
  <xr:revisionPtr revIDLastSave="0" documentId="13_ncr:1_{58F4113E-6D4C-F248-BF16-CFC508519125}" xr6:coauthVersionLast="37" xr6:coauthVersionMax="37" xr10:uidLastSave="{00000000-0000-0000-0000-000000000000}"/>
  <bookViews>
    <workbookView xWindow="1640" yWindow="640" windowWidth="29960" windowHeight="19220" activeTab="1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79021" iterate="1" iterateDelta="9.9999999999994451E-4"/>
  <pivotCaches>
    <pivotCache cacheId="5" r:id="rId17"/>
  </pivotCaches>
</workbook>
</file>

<file path=xl/calcChain.xml><?xml version="1.0" encoding="utf-8"?>
<calcChain xmlns="http://schemas.openxmlformats.org/spreadsheetml/2006/main">
  <c r="L4" i="23" l="1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D126" i="5"/>
  <c r="J35" i="5"/>
  <c r="J52" i="5"/>
  <c r="J46" i="5"/>
  <c r="J103" i="5"/>
  <c r="J25" i="5"/>
  <c r="J64" i="5"/>
  <c r="J77" i="5"/>
  <c r="J26" i="5"/>
  <c r="J89" i="5"/>
  <c r="J34" i="5"/>
  <c r="J87" i="5"/>
  <c r="J90" i="5"/>
  <c r="J58" i="5"/>
  <c r="B51" i="10"/>
  <c r="I46" i="10"/>
  <c r="M46" i="10"/>
  <c r="I39" i="10"/>
  <c r="M39" i="10"/>
  <c r="B27" i="10"/>
  <c r="I23" i="10"/>
  <c r="M23" i="10"/>
  <c r="G89" i="3"/>
  <c r="B89" i="3"/>
  <c r="G138" i="3"/>
  <c r="B138" i="3"/>
  <c r="G126" i="3"/>
  <c r="B126" i="3"/>
  <c r="D138" i="5"/>
  <c r="C138" i="19"/>
  <c r="C138" i="2"/>
  <c r="B138" i="5"/>
  <c r="A138" i="2"/>
  <c r="A138" i="5"/>
  <c r="D89" i="5"/>
  <c r="D120" i="5"/>
  <c r="B138" i="19"/>
  <c r="C126" i="19"/>
  <c r="B126" i="19"/>
  <c r="C89" i="19"/>
  <c r="C89" i="2"/>
  <c r="C89" i="3"/>
  <c r="B89" i="19"/>
  <c r="C138" i="3"/>
  <c r="B138" i="2"/>
  <c r="C126" i="2"/>
  <c r="B126" i="2"/>
  <c r="A126" i="2"/>
  <c r="A126" i="5"/>
  <c r="B89" i="2"/>
  <c r="A89" i="2"/>
  <c r="A95" i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I685" i="26"/>
  <c r="I686" i="26"/>
  <c r="I687" i="26"/>
  <c r="I688" i="26"/>
  <c r="I689" i="26"/>
  <c r="I690" i="26"/>
  <c r="I691" i="26"/>
  <c r="I692" i="26"/>
  <c r="I693" i="26"/>
  <c r="I694" i="26"/>
  <c r="I695" i="26"/>
  <c r="I696" i="26"/>
  <c r="I697" i="26"/>
  <c r="I698" i="26"/>
  <c r="I699" i="26"/>
  <c r="I700" i="26"/>
  <c r="I701" i="26"/>
  <c r="I702" i="26"/>
  <c r="I703" i="26"/>
  <c r="I704" i="26"/>
  <c r="I705" i="26"/>
  <c r="I706" i="26"/>
  <c r="I707" i="26"/>
  <c r="I708" i="26"/>
  <c r="I709" i="26"/>
  <c r="I710" i="26"/>
  <c r="I711" i="26"/>
  <c r="I712" i="26"/>
  <c r="I713" i="26"/>
  <c r="I714" i="26"/>
  <c r="I715" i="26"/>
  <c r="I716" i="26"/>
  <c r="I717" i="26"/>
  <c r="I718" i="26"/>
  <c r="I719" i="26"/>
  <c r="I720" i="26"/>
  <c r="I721" i="26"/>
  <c r="I722" i="26"/>
  <c r="I723" i="26"/>
  <c r="I724" i="26"/>
  <c r="I725" i="26"/>
  <c r="I726" i="26"/>
  <c r="I727" i="26"/>
  <c r="I728" i="26"/>
  <c r="I729" i="26"/>
  <c r="I730" i="26"/>
  <c r="I731" i="26"/>
  <c r="I732" i="26"/>
  <c r="I733" i="26"/>
  <c r="I734" i="26"/>
  <c r="I735" i="26"/>
  <c r="I736" i="26"/>
  <c r="I737" i="26"/>
  <c r="I738" i="26"/>
  <c r="I739" i="26"/>
  <c r="I740" i="26"/>
  <c r="I741" i="26"/>
  <c r="I742" i="26"/>
  <c r="I743" i="26"/>
  <c r="I744" i="26"/>
  <c r="I745" i="26"/>
  <c r="I746" i="26"/>
  <c r="I747" i="26"/>
  <c r="I748" i="26"/>
  <c r="I749" i="26"/>
  <c r="I750" i="26"/>
  <c r="I751" i="26"/>
  <c r="I752" i="26"/>
  <c r="I753" i="26"/>
  <c r="I754" i="26"/>
  <c r="I755" i="26"/>
  <c r="I756" i="26"/>
  <c r="I757" i="26"/>
  <c r="I758" i="26"/>
  <c r="I759" i="26"/>
  <c r="I760" i="26"/>
  <c r="I761" i="26"/>
  <c r="I762" i="26"/>
  <c r="I763" i="26"/>
  <c r="I764" i="26"/>
  <c r="I765" i="26"/>
  <c r="I766" i="26"/>
  <c r="I767" i="26"/>
  <c r="I768" i="26"/>
  <c r="I769" i="26"/>
  <c r="I770" i="26"/>
  <c r="I771" i="26"/>
  <c r="I772" i="26"/>
  <c r="I773" i="26"/>
  <c r="I774" i="26"/>
  <c r="I775" i="26"/>
  <c r="I776" i="26"/>
  <c r="I777" i="26"/>
  <c r="I778" i="26"/>
  <c r="I779" i="26"/>
  <c r="I780" i="26"/>
  <c r="I781" i="26"/>
  <c r="I782" i="26"/>
  <c r="I783" i="26"/>
  <c r="I784" i="26"/>
  <c r="I785" i="26"/>
  <c r="I786" i="26"/>
  <c r="I787" i="26"/>
  <c r="I788" i="26"/>
  <c r="I789" i="26"/>
  <c r="I790" i="26"/>
  <c r="I791" i="26"/>
  <c r="I792" i="26"/>
  <c r="I793" i="26"/>
  <c r="I794" i="26"/>
  <c r="I795" i="26"/>
  <c r="I796" i="26"/>
  <c r="I797" i="26"/>
  <c r="I798" i="26"/>
  <c r="I799" i="26"/>
  <c r="I800" i="26"/>
  <c r="I801" i="26"/>
  <c r="I802" i="26"/>
  <c r="I803" i="26"/>
  <c r="I804" i="26"/>
  <c r="I805" i="26"/>
  <c r="I806" i="26"/>
  <c r="I807" i="26"/>
  <c r="I808" i="26"/>
  <c r="I809" i="26"/>
  <c r="I810" i="26"/>
  <c r="I811" i="26"/>
  <c r="I812" i="26"/>
  <c r="I813" i="26"/>
  <c r="I814" i="26"/>
  <c r="I815" i="26"/>
  <c r="I816" i="26"/>
  <c r="I817" i="26"/>
  <c r="I818" i="26"/>
  <c r="I819" i="26"/>
  <c r="I820" i="26"/>
  <c r="I821" i="26"/>
  <c r="I822" i="26"/>
  <c r="I823" i="26"/>
  <c r="I824" i="26"/>
  <c r="I825" i="26"/>
  <c r="I826" i="26"/>
  <c r="I827" i="26"/>
  <c r="I828" i="26"/>
  <c r="I829" i="26"/>
  <c r="I830" i="26"/>
  <c r="I831" i="26"/>
  <c r="I832" i="26"/>
  <c r="I833" i="26"/>
  <c r="I834" i="26"/>
  <c r="I835" i="26"/>
  <c r="I836" i="26"/>
  <c r="I837" i="26"/>
  <c r="I838" i="26"/>
  <c r="I839" i="26"/>
  <c r="I840" i="26"/>
  <c r="I841" i="26"/>
  <c r="I842" i="26"/>
  <c r="I843" i="26"/>
  <c r="I844" i="26"/>
  <c r="I845" i="26"/>
  <c r="I846" i="26"/>
  <c r="I847" i="26"/>
  <c r="I848" i="26"/>
  <c r="I849" i="26"/>
  <c r="I850" i="26"/>
  <c r="I851" i="26"/>
  <c r="I852" i="26"/>
  <c r="I853" i="26"/>
  <c r="I854" i="26"/>
  <c r="I855" i="26"/>
  <c r="I856" i="26"/>
  <c r="I857" i="26"/>
  <c r="I858" i="26"/>
  <c r="I859" i="26"/>
  <c r="I860" i="26"/>
  <c r="I861" i="26"/>
  <c r="I862" i="26"/>
  <c r="I863" i="26"/>
  <c r="I864" i="26"/>
  <c r="I865" i="26"/>
  <c r="I866" i="26"/>
  <c r="I867" i="26"/>
  <c r="I868" i="26"/>
  <c r="I869" i="26"/>
  <c r="I870" i="26"/>
  <c r="I871" i="26"/>
  <c r="I872" i="26"/>
  <c r="I873" i="26"/>
  <c r="I874" i="26"/>
  <c r="I875" i="26"/>
  <c r="I876" i="26"/>
  <c r="I877" i="26"/>
  <c r="I878" i="26"/>
  <c r="I879" i="26"/>
  <c r="I880" i="26"/>
  <c r="I881" i="26"/>
  <c r="I882" i="26"/>
  <c r="I883" i="26"/>
  <c r="I884" i="26"/>
  <c r="I885" i="26"/>
  <c r="I886" i="26"/>
  <c r="I887" i="26"/>
  <c r="I888" i="26"/>
  <c r="I889" i="26"/>
  <c r="I890" i="26"/>
  <c r="I891" i="26"/>
  <c r="I892" i="26"/>
  <c r="I893" i="26"/>
  <c r="I894" i="26"/>
  <c r="I895" i="26"/>
  <c r="I896" i="26"/>
  <c r="I897" i="26"/>
  <c r="I898" i="26"/>
  <c r="I899" i="26"/>
  <c r="I900" i="26"/>
  <c r="I901" i="26"/>
  <c r="I902" i="26"/>
  <c r="I903" i="26"/>
  <c r="I904" i="26"/>
  <c r="I905" i="26"/>
  <c r="I906" i="26"/>
  <c r="I907" i="26"/>
  <c r="I908" i="26"/>
  <c r="I909" i="26"/>
  <c r="I910" i="26"/>
  <c r="I911" i="26"/>
  <c r="I912" i="26"/>
  <c r="I913" i="26"/>
  <c r="I914" i="26"/>
  <c r="I915" i="26"/>
  <c r="I916" i="26"/>
  <c r="I917" i="26"/>
  <c r="I918" i="26"/>
  <c r="I919" i="26"/>
  <c r="I920" i="26"/>
  <c r="I921" i="26"/>
  <c r="I922" i="26"/>
  <c r="I923" i="26"/>
  <c r="I924" i="26"/>
  <c r="I925" i="26"/>
  <c r="I926" i="26"/>
  <c r="I927" i="26"/>
  <c r="I928" i="26"/>
  <c r="I929" i="26"/>
  <c r="I930" i="26"/>
  <c r="I931" i="26"/>
  <c r="I932" i="26"/>
  <c r="I933" i="26"/>
  <c r="I934" i="26"/>
  <c r="I935" i="26"/>
  <c r="I936" i="26"/>
  <c r="I937" i="26"/>
  <c r="I938" i="26"/>
  <c r="I939" i="26"/>
  <c r="I940" i="26"/>
  <c r="I941" i="26"/>
  <c r="I942" i="26"/>
  <c r="I943" i="26"/>
  <c r="I944" i="26"/>
  <c r="I945" i="26"/>
  <c r="I946" i="26"/>
  <c r="I947" i="26"/>
  <c r="I948" i="26"/>
  <c r="I949" i="26"/>
  <c r="I950" i="26"/>
  <c r="I951" i="26"/>
  <c r="I952" i="26"/>
  <c r="I953" i="26"/>
  <c r="I954" i="26"/>
  <c r="I955" i="26"/>
  <c r="I956" i="26"/>
  <c r="I957" i="26"/>
  <c r="I958" i="26"/>
  <c r="I959" i="26"/>
  <c r="I960" i="26"/>
  <c r="I961" i="26"/>
  <c r="I962" i="26"/>
  <c r="I963" i="26"/>
  <c r="I964" i="26"/>
  <c r="I965" i="26"/>
  <c r="I966" i="26"/>
  <c r="I967" i="26"/>
  <c r="I968" i="26"/>
  <c r="I969" i="26"/>
  <c r="I970" i="26"/>
  <c r="I971" i="26"/>
  <c r="I972" i="26"/>
  <c r="I973" i="26"/>
  <c r="I974" i="26"/>
  <c r="I975" i="26"/>
  <c r="I976" i="26"/>
  <c r="I977" i="26"/>
  <c r="I978" i="26"/>
  <c r="I979" i="26"/>
  <c r="I980" i="26"/>
  <c r="I981" i="26"/>
  <c r="I982" i="26"/>
  <c r="I983" i="26"/>
  <c r="I984" i="26"/>
  <c r="I985" i="26"/>
  <c r="I986" i="26"/>
  <c r="I987" i="26"/>
  <c r="I988" i="26"/>
  <c r="I989" i="26"/>
  <c r="I990" i="26"/>
  <c r="I991" i="26"/>
  <c r="I992" i="26"/>
  <c r="I993" i="26"/>
  <c r="I994" i="26"/>
  <c r="I995" i="26"/>
  <c r="I996" i="26"/>
  <c r="I997" i="26"/>
  <c r="I998" i="26"/>
  <c r="I999" i="26"/>
  <c r="I1000" i="26"/>
  <c r="I1001" i="26"/>
  <c r="I1002" i="26"/>
  <c r="I1003" i="26"/>
  <c r="I1004" i="26"/>
  <c r="I1005" i="26"/>
  <c r="I1006" i="26"/>
  <c r="I1007" i="26"/>
  <c r="I1008" i="26"/>
  <c r="I1009" i="26"/>
  <c r="I1010" i="26"/>
  <c r="I1011" i="26"/>
  <c r="I1012" i="26"/>
  <c r="I1013" i="26"/>
  <c r="I1014" i="26"/>
  <c r="I1015" i="26"/>
  <c r="I1016" i="26"/>
  <c r="I1017" i="26"/>
  <c r="I1018" i="26"/>
  <c r="I1019" i="26"/>
  <c r="I1020" i="26"/>
  <c r="I1021" i="26"/>
  <c r="I1022" i="26"/>
  <c r="I1023" i="26"/>
  <c r="I1024" i="26"/>
  <c r="I1025" i="26"/>
  <c r="I1026" i="26"/>
  <c r="I1027" i="26"/>
  <c r="I1028" i="26"/>
  <c r="I1029" i="26"/>
  <c r="I1030" i="26"/>
  <c r="I1031" i="26"/>
  <c r="I1032" i="26"/>
  <c r="I1033" i="26"/>
  <c r="I1034" i="26"/>
  <c r="I1035" i="26"/>
  <c r="I1036" i="26"/>
  <c r="I1037" i="26"/>
  <c r="I1038" i="26"/>
  <c r="I1039" i="26"/>
  <c r="I1040" i="26"/>
  <c r="I1041" i="26"/>
  <c r="I1042" i="26"/>
  <c r="I1043" i="26"/>
  <c r="I1044" i="26"/>
  <c r="I1045" i="26"/>
  <c r="I1046" i="26"/>
  <c r="I1047" i="26"/>
  <c r="I1048" i="26"/>
  <c r="I1049" i="26"/>
  <c r="I1050" i="26"/>
  <c r="I1051" i="26"/>
  <c r="I1052" i="26"/>
  <c r="I1053" i="26"/>
  <c r="I1054" i="26"/>
  <c r="I1055" i="26"/>
  <c r="I1056" i="26"/>
  <c r="I1057" i="26"/>
  <c r="I1058" i="26"/>
  <c r="I1059" i="26"/>
  <c r="I1060" i="26"/>
  <c r="I1061" i="26"/>
  <c r="I1062" i="26"/>
  <c r="I1063" i="26"/>
  <c r="I1064" i="26"/>
  <c r="I1065" i="26"/>
  <c r="I1066" i="26"/>
  <c r="I1067" i="26"/>
  <c r="I1068" i="26"/>
  <c r="I1069" i="26"/>
  <c r="I1070" i="26"/>
  <c r="I1071" i="26"/>
  <c r="I1072" i="26"/>
  <c r="I1073" i="26"/>
  <c r="I1074" i="26"/>
  <c r="I1075" i="26"/>
  <c r="I1076" i="26"/>
  <c r="I1077" i="26"/>
  <c r="I1078" i="26"/>
  <c r="I1079" i="26"/>
  <c r="I1080" i="26"/>
  <c r="I1081" i="26"/>
  <c r="I1082" i="26"/>
  <c r="I1083" i="26"/>
  <c r="I1084" i="26"/>
  <c r="I1085" i="26"/>
  <c r="I1086" i="26"/>
  <c r="I1087" i="26"/>
  <c r="I1088" i="26"/>
  <c r="I1089" i="26"/>
  <c r="I1090" i="26"/>
  <c r="I1091" i="26"/>
  <c r="I1092" i="26"/>
  <c r="I1093" i="26"/>
  <c r="I1094" i="26"/>
  <c r="I1095" i="26"/>
  <c r="I1096" i="26"/>
  <c r="I1097" i="26"/>
  <c r="I1098" i="26"/>
  <c r="I1099" i="26"/>
  <c r="I1100" i="26"/>
  <c r="I1101" i="26"/>
  <c r="I1102" i="26"/>
  <c r="I1103" i="26"/>
  <c r="I1104" i="26"/>
  <c r="I1105" i="26"/>
  <c r="I1106" i="26"/>
  <c r="I1107" i="26"/>
  <c r="I1108" i="26"/>
  <c r="I1109" i="26"/>
  <c r="I1110" i="26"/>
  <c r="I1111" i="26"/>
  <c r="I1112" i="26"/>
  <c r="I1113" i="26"/>
  <c r="I1114" i="26"/>
  <c r="I1115" i="26"/>
  <c r="I1116" i="26"/>
  <c r="I1117" i="26"/>
  <c r="I1118" i="26"/>
  <c r="I1119" i="26"/>
  <c r="I1120" i="26"/>
  <c r="I1121" i="26"/>
  <c r="I1122" i="26"/>
  <c r="I1123" i="26"/>
  <c r="I1124" i="26"/>
  <c r="I1125" i="26"/>
  <c r="I1126" i="26"/>
  <c r="I1127" i="26"/>
  <c r="I1128" i="26"/>
  <c r="I1129" i="26"/>
  <c r="I1130" i="26"/>
  <c r="I1131" i="26"/>
  <c r="I1132" i="26"/>
  <c r="I1133" i="26"/>
  <c r="I1134" i="26"/>
  <c r="I1135" i="26"/>
  <c r="I1136" i="26"/>
  <c r="I1137" i="26"/>
  <c r="I1138" i="26"/>
  <c r="I1139" i="26"/>
  <c r="I1140" i="26"/>
  <c r="I1141" i="26"/>
  <c r="I1142" i="26"/>
  <c r="I1143" i="26"/>
  <c r="I1144" i="26"/>
  <c r="I1145" i="26"/>
  <c r="I1146" i="26"/>
  <c r="I1147" i="26"/>
  <c r="I1148" i="26"/>
  <c r="I1149" i="26"/>
  <c r="I1150" i="26"/>
  <c r="I1151" i="26"/>
  <c r="I1152" i="26"/>
  <c r="I1153" i="26"/>
  <c r="I1154" i="26"/>
  <c r="I1155" i="26"/>
  <c r="I1156" i="26"/>
  <c r="I1157" i="26"/>
  <c r="I1158" i="26"/>
  <c r="I1159" i="26"/>
  <c r="I1160" i="26"/>
  <c r="I1161" i="26"/>
  <c r="I1162" i="26"/>
  <c r="I1163" i="26"/>
  <c r="I1164" i="26"/>
  <c r="I1165" i="26"/>
  <c r="I1166" i="26"/>
  <c r="I1167" i="26"/>
  <c r="I1168" i="26"/>
  <c r="I1169" i="26"/>
  <c r="I1170" i="26"/>
  <c r="I1171" i="26"/>
  <c r="I1172" i="26"/>
  <c r="I1173" i="26"/>
  <c r="I1174" i="26"/>
  <c r="I1175" i="26"/>
  <c r="I1176" i="26"/>
  <c r="I1177" i="26"/>
  <c r="I1178" i="26"/>
  <c r="I1179" i="26"/>
  <c r="I1180" i="26"/>
  <c r="I1181" i="26"/>
  <c r="I1182" i="26"/>
  <c r="I1183" i="26"/>
  <c r="I1184" i="26"/>
  <c r="I1185" i="26"/>
  <c r="I1186" i="26"/>
  <c r="I1187" i="26"/>
  <c r="I1188" i="26"/>
  <c r="I1189" i="26"/>
  <c r="I1190" i="26"/>
  <c r="I1191" i="26"/>
  <c r="I1192" i="26"/>
  <c r="I1193" i="26"/>
  <c r="I1194" i="26"/>
  <c r="I1195" i="26"/>
  <c r="I1196" i="26"/>
  <c r="I1197" i="26"/>
  <c r="I1198" i="26"/>
  <c r="I1199" i="26"/>
  <c r="I1200" i="26"/>
  <c r="I1201" i="26"/>
  <c r="I1202" i="26"/>
  <c r="I1203" i="26"/>
  <c r="I1204" i="26"/>
  <c r="I1205" i="26"/>
  <c r="I1206" i="26"/>
  <c r="I1207" i="26"/>
  <c r="I1208" i="26"/>
  <c r="I1209" i="26"/>
  <c r="I1210" i="26"/>
  <c r="I1211" i="26"/>
  <c r="I1212" i="26"/>
  <c r="I1213" i="26"/>
  <c r="I1214" i="26"/>
  <c r="I1215" i="26"/>
  <c r="I1216" i="26"/>
  <c r="I1217" i="26"/>
  <c r="I1218" i="26"/>
  <c r="I1219" i="26"/>
  <c r="I1220" i="26"/>
  <c r="I1221" i="26"/>
  <c r="I1222" i="26"/>
  <c r="I1223" i="26"/>
  <c r="I1224" i="26"/>
  <c r="I1225" i="26"/>
  <c r="I1226" i="26"/>
  <c r="I1227" i="26"/>
  <c r="I1228" i="26"/>
  <c r="I1229" i="26"/>
  <c r="I1230" i="26"/>
  <c r="I1231" i="26"/>
  <c r="I1232" i="26"/>
  <c r="I1233" i="26"/>
  <c r="I1234" i="26"/>
  <c r="I1235" i="26"/>
  <c r="I1236" i="26"/>
  <c r="I1237" i="26"/>
  <c r="I1238" i="26"/>
  <c r="I1239" i="26"/>
  <c r="I1240" i="26"/>
  <c r="I1241" i="26"/>
  <c r="I1242" i="26"/>
  <c r="I1243" i="26"/>
  <c r="I1244" i="26"/>
  <c r="I1245" i="26"/>
  <c r="I1246" i="26"/>
  <c r="I1247" i="26"/>
  <c r="I1248" i="26"/>
  <c r="I1249" i="26"/>
  <c r="I1250" i="26"/>
  <c r="I1251" i="26"/>
  <c r="I1252" i="26"/>
  <c r="I1253" i="26"/>
  <c r="I1254" i="26"/>
  <c r="I1255" i="26"/>
  <c r="I1256" i="26"/>
  <c r="I1257" i="26"/>
  <c r="I1258" i="26"/>
  <c r="I1259" i="26"/>
  <c r="I1260" i="26"/>
  <c r="I1261" i="26"/>
  <c r="I1262" i="26"/>
  <c r="I1263" i="26"/>
  <c r="I1264" i="26"/>
  <c r="I1265" i="26"/>
  <c r="I1266" i="26"/>
  <c r="I1267" i="26"/>
  <c r="I1268" i="26"/>
  <c r="I1269" i="26"/>
  <c r="I1270" i="26"/>
  <c r="I1271" i="26"/>
  <c r="I1272" i="26"/>
  <c r="I1273" i="26"/>
  <c r="I1274" i="26"/>
  <c r="I1275" i="26"/>
  <c r="I1276" i="26"/>
  <c r="I1277" i="26"/>
  <c r="I1278" i="26"/>
  <c r="I1279" i="26"/>
  <c r="I1280" i="26"/>
  <c r="I1281" i="26"/>
  <c r="I1282" i="26"/>
  <c r="I1283" i="26"/>
  <c r="I1284" i="26"/>
  <c r="I1285" i="26"/>
  <c r="I1286" i="26"/>
  <c r="I1287" i="26"/>
  <c r="I1288" i="26"/>
  <c r="I1289" i="26"/>
  <c r="I1290" i="26"/>
  <c r="I1291" i="26"/>
  <c r="I1292" i="26"/>
  <c r="I1293" i="26"/>
  <c r="I1294" i="26"/>
  <c r="I1295" i="26"/>
  <c r="I1296" i="26"/>
  <c r="I1297" i="26"/>
  <c r="I1298" i="26"/>
  <c r="I1299" i="26"/>
  <c r="I1300" i="26"/>
  <c r="I1301" i="26"/>
  <c r="I1302" i="26"/>
  <c r="I1303" i="26"/>
  <c r="I1304" i="26"/>
  <c r="I1305" i="26"/>
  <c r="I1306" i="26"/>
  <c r="I1307" i="26"/>
  <c r="I1308" i="26"/>
  <c r="I1309" i="26"/>
  <c r="I1310" i="26"/>
  <c r="I1311" i="26"/>
  <c r="I1312" i="26"/>
  <c r="I1313" i="26"/>
  <c r="I1314" i="26"/>
  <c r="I1315" i="26"/>
  <c r="I1316" i="26"/>
  <c r="I1317" i="26"/>
  <c r="I1318" i="26"/>
  <c r="I1319" i="26"/>
  <c r="I1320" i="26"/>
  <c r="K15" i="26"/>
  <c r="D16" i="26"/>
  <c r="D15" i="26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C2" i="5"/>
  <c r="D2" i="5"/>
  <c r="J105" i="5"/>
  <c r="J102" i="5"/>
  <c r="J101" i="5"/>
  <c r="J100" i="5"/>
  <c r="J99" i="5"/>
  <c r="J98" i="5"/>
  <c r="J97" i="5"/>
  <c r="J96" i="5"/>
  <c r="J95" i="5"/>
  <c r="J94" i="5"/>
  <c r="J93" i="5"/>
  <c r="J92" i="5"/>
  <c r="J91" i="5"/>
  <c r="J88" i="5"/>
  <c r="J86" i="5"/>
  <c r="J85" i="5"/>
  <c r="J84" i="5"/>
  <c r="J83" i="5"/>
  <c r="J82" i="5"/>
  <c r="J81" i="5"/>
  <c r="J80" i="5"/>
  <c r="J79" i="5"/>
  <c r="J78" i="5"/>
  <c r="J76" i="5"/>
  <c r="J75" i="5"/>
  <c r="J74" i="5"/>
  <c r="J73" i="5"/>
  <c r="J72" i="5"/>
  <c r="J71" i="5"/>
  <c r="J70" i="5"/>
  <c r="J69" i="5"/>
  <c r="J68" i="5"/>
  <c r="J67" i="5"/>
  <c r="J66" i="5"/>
  <c r="J65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5" i="5"/>
  <c r="J44" i="5"/>
  <c r="J43" i="5"/>
  <c r="J42" i="5"/>
  <c r="J41" i="5"/>
  <c r="J40" i="5"/>
  <c r="J39" i="5"/>
  <c r="J38" i="5"/>
  <c r="J37" i="5"/>
  <c r="J36" i="5"/>
  <c r="J33" i="5"/>
  <c r="J32" i="5"/>
  <c r="J31" i="5"/>
  <c r="J30" i="5"/>
  <c r="J29" i="5"/>
  <c r="J28" i="5"/>
  <c r="J27" i="5"/>
  <c r="J24" i="5"/>
  <c r="F135" i="23"/>
  <c r="F131" i="23"/>
  <c r="I36" i="25"/>
  <c r="I24" i="25"/>
  <c r="I18" i="2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1" i="5"/>
  <c r="D122" i="5"/>
  <c r="D123" i="5"/>
  <c r="D124" i="5"/>
  <c r="D125" i="5"/>
  <c r="D127" i="5"/>
  <c r="D128" i="5"/>
  <c r="D129" i="5"/>
  <c r="D130" i="5"/>
  <c r="D131" i="5"/>
  <c r="D132" i="5"/>
  <c r="D133" i="5"/>
  <c r="D134" i="5"/>
  <c r="D135" i="5"/>
  <c r="D136" i="5"/>
  <c r="D137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G137" i="3"/>
  <c r="B137" i="3"/>
  <c r="G133" i="3"/>
  <c r="B133" i="3"/>
  <c r="C133" i="19"/>
  <c r="C133" i="2"/>
  <c r="B133" i="19"/>
  <c r="B133" i="2"/>
  <c r="C137" i="19"/>
  <c r="C137" i="2"/>
  <c r="B137" i="19"/>
  <c r="B137" i="2"/>
  <c r="A137" i="2"/>
  <c r="A133" i="2"/>
  <c r="I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9" i="25"/>
  <c r="I20" i="25"/>
  <c r="I21" i="25"/>
  <c r="I22" i="25"/>
  <c r="I23" i="25"/>
  <c r="I25" i="25"/>
  <c r="I26" i="25"/>
  <c r="I27" i="25"/>
  <c r="I28" i="25"/>
  <c r="I29" i="25"/>
  <c r="I30" i="25"/>
  <c r="I31" i="25"/>
  <c r="I32" i="25"/>
  <c r="I33" i="25"/>
  <c r="I34" i="25"/>
  <c r="I35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B152" i="19"/>
  <c r="B151" i="19"/>
  <c r="B150" i="19"/>
  <c r="B149" i="19"/>
  <c r="B149" i="2"/>
  <c r="B148" i="19"/>
  <c r="B148" i="2"/>
  <c r="B147" i="19"/>
  <c r="B147" i="2"/>
  <c r="B146" i="19"/>
  <c r="B146" i="2"/>
  <c r="B145" i="19"/>
  <c r="B144" i="19"/>
  <c r="B143" i="19"/>
  <c r="B142" i="19"/>
  <c r="B141" i="19"/>
  <c r="B141" i="2"/>
  <c r="B140" i="19"/>
  <c r="B140" i="2"/>
  <c r="B139" i="19"/>
  <c r="B139" i="2"/>
  <c r="B136" i="19"/>
  <c r="B136" i="2"/>
  <c r="B135" i="19"/>
  <c r="B134" i="19"/>
  <c r="B132" i="19"/>
  <c r="B131" i="19"/>
  <c r="B130" i="19"/>
  <c r="B130" i="2"/>
  <c r="B129" i="19"/>
  <c r="B128" i="19"/>
  <c r="B128" i="2"/>
  <c r="B127" i="19"/>
  <c r="B127" i="2"/>
  <c r="B125" i="19"/>
  <c r="B124" i="19"/>
  <c r="B123" i="19"/>
  <c r="B122" i="19"/>
  <c r="B121" i="19"/>
  <c r="B121" i="2"/>
  <c r="B120" i="19"/>
  <c r="B120" i="2"/>
  <c r="B119" i="19"/>
  <c r="B119" i="2"/>
  <c r="B118" i="19"/>
  <c r="B118" i="2"/>
  <c r="B117" i="19"/>
  <c r="B116" i="19"/>
  <c r="B115" i="19"/>
  <c r="B114" i="19"/>
  <c r="B113" i="19"/>
  <c r="B113" i="2"/>
  <c r="B112" i="19"/>
  <c r="B111" i="19"/>
  <c r="B111" i="2"/>
  <c r="B110" i="19"/>
  <c r="B110" i="2"/>
  <c r="B109" i="19"/>
  <c r="B108" i="19"/>
  <c r="B107" i="19"/>
  <c r="B106" i="19"/>
  <c r="B105" i="19"/>
  <c r="B105" i="2"/>
  <c r="B104" i="19"/>
  <c r="B103" i="19"/>
  <c r="B103" i="2"/>
  <c r="B102" i="19"/>
  <c r="B102" i="2"/>
  <c r="B101" i="19"/>
  <c r="B100" i="19"/>
  <c r="B99" i="19"/>
  <c r="B98" i="19"/>
  <c r="B97" i="19"/>
  <c r="B97" i="2"/>
  <c r="B96" i="19"/>
  <c r="B95" i="19"/>
  <c r="B94" i="19"/>
  <c r="B94" i="2"/>
  <c r="B93" i="19"/>
  <c r="B92" i="19"/>
  <c r="B91" i="19"/>
  <c r="B90" i="19"/>
  <c r="B88" i="19"/>
  <c r="B88" i="2"/>
  <c r="B87" i="19"/>
  <c r="B86" i="19"/>
  <c r="B85" i="19"/>
  <c r="B85" i="2"/>
  <c r="B84" i="19"/>
  <c r="B83" i="19"/>
  <c r="B82" i="19"/>
  <c r="B81" i="19"/>
  <c r="B80" i="19"/>
  <c r="B80" i="2"/>
  <c r="B79" i="19"/>
  <c r="B79" i="2"/>
  <c r="B78" i="19"/>
  <c r="B78" i="2"/>
  <c r="B77" i="19"/>
  <c r="B77" i="2"/>
  <c r="B76" i="19"/>
  <c r="B75" i="19"/>
  <c r="B74" i="19"/>
  <c r="B73" i="19"/>
  <c r="B72" i="19"/>
  <c r="B71" i="19"/>
  <c r="B71" i="2"/>
  <c r="B70" i="19"/>
  <c r="B70" i="2"/>
  <c r="B69" i="19"/>
  <c r="B69" i="2"/>
  <c r="B68" i="19"/>
  <c r="B67" i="19"/>
  <c r="B66" i="19"/>
  <c r="B65" i="19"/>
  <c r="B64" i="19"/>
  <c r="B63" i="19"/>
  <c r="B63" i="2"/>
  <c r="B62" i="19"/>
  <c r="B62" i="2"/>
  <c r="B61" i="19"/>
  <c r="B61" i="2"/>
  <c r="B60" i="19"/>
  <c r="B59" i="19"/>
  <c r="B58" i="19"/>
  <c r="B57" i="19"/>
  <c r="B56" i="19"/>
  <c r="B55" i="19"/>
  <c r="B55" i="2"/>
  <c r="B54" i="19"/>
  <c r="B54" i="2"/>
  <c r="B53" i="19"/>
  <c r="B53" i="2"/>
  <c r="B52" i="19"/>
  <c r="B51" i="19"/>
  <c r="B50" i="19"/>
  <c r="B49" i="19"/>
  <c r="B48" i="19"/>
  <c r="B47" i="19"/>
  <c r="B5" i="17"/>
  <c r="B46" i="19"/>
  <c r="B46" i="2"/>
  <c r="B45" i="19"/>
  <c r="B45" i="2"/>
  <c r="B44" i="19"/>
  <c r="B43" i="19"/>
  <c r="B42" i="19"/>
  <c r="B41" i="19"/>
  <c r="B40" i="19"/>
  <c r="B39" i="19"/>
  <c r="B39" i="2"/>
  <c r="B38" i="19"/>
  <c r="B38" i="2"/>
  <c r="B37" i="19"/>
  <c r="B37" i="2"/>
  <c r="B36" i="19"/>
  <c r="B35" i="19"/>
  <c r="B34" i="19"/>
  <c r="B33" i="19"/>
  <c r="B32" i="19"/>
  <c r="B31" i="19"/>
  <c r="B31" i="2"/>
  <c r="B30" i="19"/>
  <c r="B30" i="2"/>
  <c r="B29" i="19"/>
  <c r="B29" i="2"/>
  <c r="B28" i="19"/>
  <c r="B27" i="19"/>
  <c r="B26" i="19"/>
  <c r="B25" i="19"/>
  <c r="B24" i="19"/>
  <c r="B23" i="19"/>
  <c r="B23" i="2"/>
  <c r="B22" i="19"/>
  <c r="B22" i="2"/>
  <c r="B21" i="19"/>
  <c r="B21" i="2"/>
  <c r="B20" i="19"/>
  <c r="B19" i="19"/>
  <c r="B18" i="19"/>
  <c r="B17" i="19"/>
  <c r="B16" i="19"/>
  <c r="B15" i="19"/>
  <c r="B15" i="2"/>
  <c r="B14" i="19"/>
  <c r="B14" i="2"/>
  <c r="B13" i="19"/>
  <c r="B13" i="2"/>
  <c r="B12" i="19"/>
  <c r="B11" i="19"/>
  <c r="B10" i="19"/>
  <c r="B9" i="19"/>
  <c r="B8" i="19"/>
  <c r="B7" i="19"/>
  <c r="B7" i="2"/>
  <c r="B6" i="19"/>
  <c r="B6" i="2"/>
  <c r="B5" i="19"/>
  <c r="B5" i="2"/>
  <c r="B4" i="19"/>
  <c r="B3" i="19"/>
  <c r="C152" i="19"/>
  <c r="C151" i="19"/>
  <c r="C151" i="2"/>
  <c r="C150" i="19"/>
  <c r="C150" i="2"/>
  <c r="C149" i="19"/>
  <c r="C148" i="19"/>
  <c r="C147" i="19"/>
  <c r="C147" i="2"/>
  <c r="C146" i="19"/>
  <c r="C146" i="2"/>
  <c r="C145" i="19"/>
  <c r="C145" i="2"/>
  <c r="C144" i="19"/>
  <c r="C143" i="19"/>
  <c r="C142" i="19"/>
  <c r="C142" i="2"/>
  <c r="C141" i="19"/>
  <c r="C140" i="19"/>
  <c r="C140" i="2"/>
  <c r="C139" i="19"/>
  <c r="C139" i="2"/>
  <c r="C136" i="19"/>
  <c r="C136" i="2"/>
  <c r="C135" i="19"/>
  <c r="C135" i="2"/>
  <c r="C134" i="19"/>
  <c r="C132" i="19"/>
  <c r="C132" i="2"/>
  <c r="C131" i="19"/>
  <c r="C131" i="2"/>
  <c r="C130" i="19"/>
  <c r="C129" i="19"/>
  <c r="C128" i="19"/>
  <c r="C128" i="2"/>
  <c r="C127" i="19"/>
  <c r="C127" i="2"/>
  <c r="C125" i="19"/>
  <c r="C125" i="2"/>
  <c r="C124" i="19"/>
  <c r="C123" i="19"/>
  <c r="C123" i="2"/>
  <c r="C122" i="19"/>
  <c r="C122" i="2"/>
  <c r="C121" i="19"/>
  <c r="C120" i="19"/>
  <c r="C120" i="2"/>
  <c r="C119" i="19"/>
  <c r="C119" i="2"/>
  <c r="C118" i="19"/>
  <c r="C118" i="2"/>
  <c r="C117" i="19"/>
  <c r="C117" i="2"/>
  <c r="C116" i="19"/>
  <c r="C115" i="19"/>
  <c r="C114" i="19"/>
  <c r="C114" i="2"/>
  <c r="C113" i="19"/>
  <c r="C112" i="19"/>
  <c r="C112" i="2"/>
  <c r="C111" i="19"/>
  <c r="C111" i="2"/>
  <c r="C110" i="19"/>
  <c r="C110" i="2"/>
  <c r="C109" i="19"/>
  <c r="C109" i="2"/>
  <c r="C108" i="19"/>
  <c r="C107" i="19"/>
  <c r="C106" i="19"/>
  <c r="C106" i="2"/>
  <c r="C105" i="19"/>
  <c r="C104" i="19"/>
  <c r="C104" i="2"/>
  <c r="C103" i="19"/>
  <c r="C103" i="2"/>
  <c r="C102" i="19"/>
  <c r="C102" i="2"/>
  <c r="C101" i="19"/>
  <c r="C101" i="2"/>
  <c r="C100" i="19"/>
  <c r="C99" i="19"/>
  <c r="C99" i="2"/>
  <c r="C98" i="19"/>
  <c r="C98" i="2"/>
  <c r="C97" i="19"/>
  <c r="C96" i="19"/>
  <c r="C96" i="2"/>
  <c r="C95" i="19"/>
  <c r="C95" i="2"/>
  <c r="C94" i="19"/>
  <c r="C94" i="2"/>
  <c r="C93" i="19"/>
  <c r="C93" i="2"/>
  <c r="C92" i="19"/>
  <c r="C91" i="19"/>
  <c r="C91" i="2"/>
  <c r="C90" i="19"/>
  <c r="C90" i="2"/>
  <c r="C88" i="19"/>
  <c r="C87" i="19"/>
  <c r="C87" i="2"/>
  <c r="C86" i="19"/>
  <c r="C86" i="2"/>
  <c r="C85" i="19"/>
  <c r="C85" i="2"/>
  <c r="C84" i="19"/>
  <c r="C84" i="2"/>
  <c r="C83" i="19"/>
  <c r="C82" i="19"/>
  <c r="C81" i="19"/>
  <c r="C81" i="2"/>
  <c r="C80" i="19"/>
  <c r="C79" i="19"/>
  <c r="C79" i="2"/>
  <c r="C78" i="19"/>
  <c r="C78" i="2"/>
  <c r="C77" i="19"/>
  <c r="C77" i="2"/>
  <c r="C76" i="19"/>
  <c r="C76" i="2"/>
  <c r="C75" i="19"/>
  <c r="C74" i="19"/>
  <c r="C74" i="2"/>
  <c r="C73" i="19"/>
  <c r="C73" i="2"/>
  <c r="C72" i="19"/>
  <c r="C71" i="19"/>
  <c r="C71" i="2"/>
  <c r="C70" i="19"/>
  <c r="C70" i="2"/>
  <c r="C69" i="19"/>
  <c r="C69" i="2"/>
  <c r="C68" i="19"/>
  <c r="C68" i="2"/>
  <c r="C67" i="19"/>
  <c r="C66" i="19"/>
  <c r="C66" i="2"/>
  <c r="C65" i="19"/>
  <c r="C65" i="2"/>
  <c r="C64" i="19"/>
  <c r="C63" i="19"/>
  <c r="C62" i="19"/>
  <c r="C62" i="2"/>
  <c r="C61" i="19"/>
  <c r="C61" i="2"/>
  <c r="C60" i="19"/>
  <c r="C59" i="19"/>
  <c r="C58" i="19"/>
  <c r="C57" i="19"/>
  <c r="C57" i="2"/>
  <c r="C56" i="19"/>
  <c r="C55" i="19"/>
  <c r="C54" i="19"/>
  <c r="C54" i="2"/>
  <c r="C53" i="19"/>
  <c r="C53" i="2"/>
  <c r="C52" i="19"/>
  <c r="C52" i="2"/>
  <c r="C51" i="19"/>
  <c r="C50" i="19"/>
  <c r="C49" i="19"/>
  <c r="C49" i="2"/>
  <c r="C48" i="19"/>
  <c r="C47" i="19"/>
  <c r="C46" i="19"/>
  <c r="C46" i="2"/>
  <c r="C45" i="19"/>
  <c r="C45" i="2"/>
  <c r="C44" i="19"/>
  <c r="C44" i="2"/>
  <c r="C43" i="19"/>
  <c r="C42" i="19"/>
  <c r="C41" i="19"/>
  <c r="C40" i="19"/>
  <c r="C39" i="19"/>
  <c r="C39" i="2"/>
  <c r="C38" i="19"/>
  <c r="C37" i="19"/>
  <c r="C37" i="2"/>
  <c r="C36" i="19"/>
  <c r="C35" i="19"/>
  <c r="C34" i="19"/>
  <c r="C34" i="2"/>
  <c r="C33" i="19"/>
  <c r="C33" i="2"/>
  <c r="C32" i="19"/>
  <c r="C31" i="19"/>
  <c r="C31" i="2"/>
  <c r="C30" i="19"/>
  <c r="C30" i="2"/>
  <c r="C29" i="19"/>
  <c r="C28" i="19"/>
  <c r="C28" i="2"/>
  <c r="C27" i="19"/>
  <c r="C26" i="19"/>
  <c r="C26" i="2"/>
  <c r="C25" i="19"/>
  <c r="C25" i="2"/>
  <c r="C24" i="19"/>
  <c r="C23" i="19"/>
  <c r="C22" i="19"/>
  <c r="C22" i="2"/>
  <c r="C21" i="19"/>
  <c r="C21" i="2"/>
  <c r="C20" i="19"/>
  <c r="C19" i="19"/>
  <c r="C18" i="19"/>
  <c r="C18" i="2"/>
  <c r="C17" i="19"/>
  <c r="C17" i="2"/>
  <c r="C16" i="19"/>
  <c r="C15" i="19"/>
  <c r="C15" i="2"/>
  <c r="C14" i="19"/>
  <c r="C14" i="2"/>
  <c r="C13" i="19"/>
  <c r="C13" i="2"/>
  <c r="C12" i="19"/>
  <c r="C12" i="2"/>
  <c r="C11" i="19"/>
  <c r="C10" i="19"/>
  <c r="C10" i="2"/>
  <c r="C9" i="19"/>
  <c r="C9" i="2"/>
  <c r="C8" i="19"/>
  <c r="C7" i="19"/>
  <c r="C6" i="19"/>
  <c r="C6" i="2"/>
  <c r="C5" i="19"/>
  <c r="C5" i="2"/>
  <c r="C4" i="19"/>
  <c r="C3" i="19"/>
  <c r="C67" i="2"/>
  <c r="B55" i="10"/>
  <c r="I54" i="10"/>
  <c r="L54" i="10"/>
  <c r="B117" i="10"/>
  <c r="I115" i="10"/>
  <c r="B131" i="10"/>
  <c r="I121" i="10"/>
  <c r="I119" i="10"/>
  <c r="M119" i="10"/>
  <c r="I120" i="10"/>
  <c r="L120" i="10"/>
  <c r="I123" i="10"/>
  <c r="J123" i="10"/>
  <c r="I125" i="10"/>
  <c r="I126" i="10"/>
  <c r="L126" i="10"/>
  <c r="M126" i="10"/>
  <c r="I129" i="10"/>
  <c r="K129" i="10"/>
  <c r="I130" i="10"/>
  <c r="K130" i="10"/>
  <c r="M130" i="10"/>
  <c r="B20" i="17"/>
  <c r="B19" i="17"/>
  <c r="B8" i="24"/>
  <c r="K18" i="23"/>
  <c r="L18" i="23"/>
  <c r="C152" i="2"/>
  <c r="F149" i="23"/>
  <c r="F148" i="23"/>
  <c r="J27" i="1"/>
  <c r="J28" i="1"/>
  <c r="F147" i="23"/>
  <c r="C149" i="2"/>
  <c r="F146" i="23"/>
  <c r="C148" i="2"/>
  <c r="F145" i="23"/>
  <c r="F144" i="23"/>
  <c r="F143" i="23"/>
  <c r="F142" i="23"/>
  <c r="C144" i="2"/>
  <c r="F141" i="23"/>
  <c r="C143" i="2"/>
  <c r="F140" i="23"/>
  <c r="F139" i="23"/>
  <c r="C141" i="2"/>
  <c r="F138" i="23"/>
  <c r="F137" i="23"/>
  <c r="F136" i="23"/>
  <c r="F134" i="23"/>
  <c r="F133" i="23"/>
  <c r="C134" i="2"/>
  <c r="C134" i="3"/>
  <c r="F132" i="23"/>
  <c r="F130" i="23"/>
  <c r="F129" i="23"/>
  <c r="C130" i="2"/>
  <c r="J26" i="1"/>
  <c r="F128" i="23"/>
  <c r="C129" i="2"/>
  <c r="F127" i="23"/>
  <c r="F126" i="23"/>
  <c r="F125" i="23"/>
  <c r="F124" i="23"/>
  <c r="C124" i="2"/>
  <c r="F123" i="23"/>
  <c r="F122" i="23"/>
  <c r="F121" i="23"/>
  <c r="C121" i="2"/>
  <c r="F120" i="23"/>
  <c r="F119" i="23"/>
  <c r="F118" i="23"/>
  <c r="F117" i="23"/>
  <c r="F116" i="23"/>
  <c r="C116" i="2"/>
  <c r="F115" i="23"/>
  <c r="F114" i="23"/>
  <c r="F113" i="23"/>
  <c r="C113" i="2"/>
  <c r="F112" i="23"/>
  <c r="F111" i="23"/>
  <c r="F110" i="23"/>
  <c r="F109" i="23"/>
  <c r="F108" i="23"/>
  <c r="C108" i="2"/>
  <c r="F107" i="23"/>
  <c r="C107" i="2"/>
  <c r="F106" i="23"/>
  <c r="F105" i="23"/>
  <c r="C105" i="2"/>
  <c r="F104" i="23"/>
  <c r="F103" i="23"/>
  <c r="F102" i="23"/>
  <c r="F101" i="23"/>
  <c r="F100" i="23"/>
  <c r="C100" i="2"/>
  <c r="F99" i="23"/>
  <c r="F98" i="23"/>
  <c r="F97" i="23"/>
  <c r="C97" i="2"/>
  <c r="F96" i="23"/>
  <c r="F95" i="23"/>
  <c r="F94" i="23"/>
  <c r="F93" i="23"/>
  <c r="F92" i="23"/>
  <c r="C92" i="2"/>
  <c r="F91" i="23"/>
  <c r="F90" i="23"/>
  <c r="F89" i="23"/>
  <c r="C88" i="2"/>
  <c r="F88" i="23"/>
  <c r="F87" i="23"/>
  <c r="F86" i="23"/>
  <c r="F85" i="23"/>
  <c r="F84" i="23"/>
  <c r="C83" i="2"/>
  <c r="F83" i="23"/>
  <c r="C82" i="2"/>
  <c r="F82" i="23"/>
  <c r="F81" i="23"/>
  <c r="C80" i="2"/>
  <c r="F80" i="23"/>
  <c r="F79" i="23"/>
  <c r="F78" i="23"/>
  <c r="F77" i="23"/>
  <c r="F76" i="23"/>
  <c r="C75" i="2"/>
  <c r="F75" i="23"/>
  <c r="F74" i="23"/>
  <c r="F73" i="23"/>
  <c r="C72" i="2"/>
  <c r="F72" i="23"/>
  <c r="F71" i="23"/>
  <c r="F70" i="23"/>
  <c r="F69" i="23"/>
  <c r="F68" i="23"/>
  <c r="F67" i="23"/>
  <c r="F66" i="23"/>
  <c r="F65" i="23"/>
  <c r="C64" i="2"/>
  <c r="F64" i="23"/>
  <c r="C63" i="2"/>
  <c r="F63" i="23"/>
  <c r="F62" i="23"/>
  <c r="F61" i="23"/>
  <c r="F60" i="23"/>
  <c r="C59" i="2"/>
  <c r="F59" i="23"/>
  <c r="C58" i="2"/>
  <c r="F58" i="23"/>
  <c r="F57" i="23"/>
  <c r="C56" i="2"/>
  <c r="F56" i="23"/>
  <c r="C55" i="2"/>
  <c r="F55" i="23"/>
  <c r="F54" i="23"/>
  <c r="F53" i="23"/>
  <c r="F52" i="23"/>
  <c r="C51" i="2"/>
  <c r="F51" i="23"/>
  <c r="C50" i="2"/>
  <c r="F50" i="23"/>
  <c r="F49" i="23"/>
  <c r="F48" i="23"/>
  <c r="C47" i="2"/>
  <c r="F47" i="23"/>
  <c r="F46" i="23"/>
  <c r="F45" i="23"/>
  <c r="F44" i="23"/>
  <c r="C43" i="2"/>
  <c r="F43" i="23"/>
  <c r="C42" i="2"/>
  <c r="F42" i="23"/>
  <c r="F41" i="23"/>
  <c r="C40" i="2"/>
  <c r="F40" i="23"/>
  <c r="F39" i="23"/>
  <c r="C38" i="2"/>
  <c r="F38" i="23"/>
  <c r="F37" i="23"/>
  <c r="F36" i="23"/>
  <c r="C35" i="2"/>
  <c r="F35" i="23"/>
  <c r="F34" i="23"/>
  <c r="F33" i="23"/>
  <c r="C32" i="2"/>
  <c r="F32" i="23"/>
  <c r="F31" i="23"/>
  <c r="F30" i="23"/>
  <c r="F29" i="23"/>
  <c r="F28" i="23"/>
  <c r="C27" i="2"/>
  <c r="F27" i="23"/>
  <c r="F26" i="23"/>
  <c r="F25" i="23"/>
  <c r="C24" i="2"/>
  <c r="F24" i="23"/>
  <c r="C23" i="2"/>
  <c r="F23" i="23"/>
  <c r="F22" i="23"/>
  <c r="F21" i="23"/>
  <c r="C20" i="2"/>
  <c r="F20" i="23"/>
  <c r="C19" i="2"/>
  <c r="F19" i="23"/>
  <c r="F18" i="23"/>
  <c r="F17" i="23"/>
  <c r="C16" i="2"/>
  <c r="F16" i="23"/>
  <c r="F15" i="23"/>
  <c r="F14" i="23"/>
  <c r="F13" i="23"/>
  <c r="F12" i="23"/>
  <c r="C11" i="2"/>
  <c r="F11" i="23"/>
  <c r="F10" i="23"/>
  <c r="F9" i="23"/>
  <c r="F8" i="23"/>
  <c r="C7" i="2"/>
  <c r="F7" i="23"/>
  <c r="F6" i="23"/>
  <c r="F5" i="23"/>
  <c r="F4" i="23"/>
  <c r="C3" i="2"/>
  <c r="B3" i="24"/>
  <c r="F3" i="23"/>
  <c r="C2" i="19"/>
  <c r="C2" i="2"/>
  <c r="F2" i="23"/>
  <c r="A152" i="2"/>
  <c r="A151" i="2"/>
  <c r="A151" i="3"/>
  <c r="H151" i="3"/>
  <c r="A150" i="2"/>
  <c r="A149" i="2"/>
  <c r="A148" i="2"/>
  <c r="A147" i="2"/>
  <c r="A146" i="2"/>
  <c r="A145" i="2"/>
  <c r="A144" i="2"/>
  <c r="A143" i="2"/>
  <c r="A143" i="3"/>
  <c r="H143" i="3"/>
  <c r="A142" i="2"/>
  <c r="A141" i="2"/>
  <c r="A140" i="2"/>
  <c r="A139" i="2"/>
  <c r="A136" i="2"/>
  <c r="A135" i="2"/>
  <c r="A134" i="2"/>
  <c r="A132" i="2"/>
  <c r="A132" i="3"/>
  <c r="H132" i="3"/>
  <c r="A131" i="2"/>
  <c r="A130" i="2"/>
  <c r="A129" i="2"/>
  <c r="A128" i="2"/>
  <c r="A127" i="2"/>
  <c r="A127" i="3"/>
  <c r="H127" i="3"/>
  <c r="A125" i="2"/>
  <c r="A124" i="2"/>
  <c r="A123" i="2"/>
  <c r="A123" i="3"/>
  <c r="H123" i="3"/>
  <c r="A122" i="2"/>
  <c r="A121" i="2"/>
  <c r="A120" i="2"/>
  <c r="A119" i="2"/>
  <c r="A118" i="2"/>
  <c r="A118" i="3"/>
  <c r="H118" i="3"/>
  <c r="A117" i="2"/>
  <c r="A116" i="2"/>
  <c r="A115" i="2"/>
  <c r="A114" i="2"/>
  <c r="A113" i="2"/>
  <c r="A112" i="2"/>
  <c r="A111" i="2"/>
  <c r="A110" i="2"/>
  <c r="A109" i="2"/>
  <c r="A108" i="2"/>
  <c r="A107" i="2"/>
  <c r="A113" i="1"/>
  <c r="B113" i="1"/>
  <c r="A106" i="2"/>
  <c r="A105" i="2"/>
  <c r="A104" i="2"/>
  <c r="A103" i="2"/>
  <c r="A102" i="2"/>
  <c r="A102" i="3"/>
  <c r="H102" i="3"/>
  <c r="A101" i="2"/>
  <c r="A100" i="2"/>
  <c r="A99" i="2"/>
  <c r="A99" i="3"/>
  <c r="H99" i="3"/>
  <c r="A98" i="2"/>
  <c r="A97" i="2"/>
  <c r="A96" i="2"/>
  <c r="A95" i="2"/>
  <c r="A94" i="2"/>
  <c r="A94" i="3"/>
  <c r="H94" i="3"/>
  <c r="A93" i="2"/>
  <c r="A92" i="2"/>
  <c r="A91" i="2"/>
  <c r="A97" i="1"/>
  <c r="B97" i="1"/>
  <c r="A90" i="2"/>
  <c r="A88" i="2"/>
  <c r="A87" i="2"/>
  <c r="A86" i="2"/>
  <c r="A85" i="2"/>
  <c r="A85" i="3"/>
  <c r="H85" i="3"/>
  <c r="A84" i="2"/>
  <c r="A83" i="2"/>
  <c r="A82" i="2"/>
  <c r="A82" i="3"/>
  <c r="H82" i="3"/>
  <c r="A81" i="2"/>
  <c r="A80" i="2"/>
  <c r="A79" i="2"/>
  <c r="A78" i="2"/>
  <c r="A77" i="2"/>
  <c r="A77" i="3"/>
  <c r="H77" i="3"/>
  <c r="A76" i="2"/>
  <c r="A75" i="2"/>
  <c r="A74" i="2"/>
  <c r="A80" i="1"/>
  <c r="B80" i="1"/>
  <c r="A73" i="2"/>
  <c r="A72" i="2"/>
  <c r="A71" i="2"/>
  <c r="A70" i="2"/>
  <c r="A69" i="2"/>
  <c r="A68" i="2"/>
  <c r="A67" i="2"/>
  <c r="A66" i="2"/>
  <c r="A72" i="1"/>
  <c r="B72" i="1"/>
  <c r="A65" i="2"/>
  <c r="A64" i="2"/>
  <c r="A63" i="2"/>
  <c r="A62" i="2"/>
  <c r="A61" i="2"/>
  <c r="A60" i="2"/>
  <c r="A59" i="2"/>
  <c r="A58" i="2"/>
  <c r="A64" i="1"/>
  <c r="B64" i="1"/>
  <c r="A57" i="2"/>
  <c r="A56" i="2"/>
  <c r="A55" i="2"/>
  <c r="A54" i="2"/>
  <c r="A53" i="2"/>
  <c r="A52" i="2"/>
  <c r="A51" i="2"/>
  <c r="A50" i="2"/>
  <c r="A50" i="3"/>
  <c r="H50" i="3"/>
  <c r="A49" i="2"/>
  <c r="A48" i="2"/>
  <c r="A47" i="2"/>
  <c r="A46" i="2"/>
  <c r="A45" i="2"/>
  <c r="A45" i="3"/>
  <c r="H45" i="3"/>
  <c r="A44" i="2"/>
  <c r="A43" i="2"/>
  <c r="A42" i="2"/>
  <c r="A42" i="3"/>
  <c r="H42" i="3"/>
  <c r="A41" i="2"/>
  <c r="A40" i="2"/>
  <c r="A39" i="2"/>
  <c r="A38" i="2"/>
  <c r="A37" i="2"/>
  <c r="A36" i="2"/>
  <c r="A35" i="2"/>
  <c r="A34" i="2"/>
  <c r="A34" i="3"/>
  <c r="H34" i="3"/>
  <c r="A33" i="2"/>
  <c r="A32" i="2"/>
  <c r="A31" i="2"/>
  <c r="A30" i="2"/>
  <c r="A29" i="2"/>
  <c r="A28" i="2"/>
  <c r="A27" i="2"/>
  <c r="A26" i="2"/>
  <c r="A32" i="1"/>
  <c r="B32" i="1"/>
  <c r="A25" i="2"/>
  <c r="A24" i="2"/>
  <c r="A23" i="2"/>
  <c r="A22" i="2"/>
  <c r="A21" i="2"/>
  <c r="A21" i="3"/>
  <c r="H21" i="3"/>
  <c r="A20" i="2"/>
  <c r="A19" i="2"/>
  <c r="A18" i="2"/>
  <c r="A18" i="3"/>
  <c r="H18" i="3"/>
  <c r="A17" i="2"/>
  <c r="A16" i="2"/>
  <c r="A15" i="2"/>
  <c r="A14" i="2"/>
  <c r="A13" i="2"/>
  <c r="A13" i="3"/>
  <c r="H13" i="3"/>
  <c r="A12" i="2"/>
  <c r="A11" i="2"/>
  <c r="A10" i="2"/>
  <c r="A16" i="1"/>
  <c r="B16" i="1"/>
  <c r="A9" i="2"/>
  <c r="A8" i="2"/>
  <c r="A7" i="2"/>
  <c r="A6" i="2"/>
  <c r="A5" i="2"/>
  <c r="A4" i="2"/>
  <c r="A3" i="2"/>
  <c r="A2" i="2"/>
  <c r="A2" i="3"/>
  <c r="H2" i="3"/>
  <c r="B2" i="19"/>
  <c r="B2" i="2"/>
  <c r="G2" i="6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D66" i="6"/>
  <c r="D67" i="6"/>
  <c r="D68" i="6"/>
  <c r="D69" i="6"/>
  <c r="D70" i="6"/>
  <c r="D71" i="6"/>
  <c r="D72" i="6"/>
  <c r="D73" i="6"/>
  <c r="D74" i="6"/>
  <c r="D75" i="6"/>
  <c r="A157" i="1"/>
  <c r="B157" i="1"/>
  <c r="A156" i="1"/>
  <c r="B156" i="1"/>
  <c r="A155" i="1"/>
  <c r="B155" i="1"/>
  <c r="A154" i="1"/>
  <c r="B154" i="1"/>
  <c r="A153" i="1"/>
  <c r="B153" i="1"/>
  <c r="A105" i="1"/>
  <c r="B105" i="1"/>
  <c r="A79" i="1"/>
  <c r="B79" i="1"/>
  <c r="A38" i="1"/>
  <c r="I114" i="10"/>
  <c r="K114" i="10"/>
  <c r="M114" i="10"/>
  <c r="L114" i="10"/>
  <c r="B70" i="10"/>
  <c r="I59" i="10"/>
  <c r="K59" i="10"/>
  <c r="I56" i="10"/>
  <c r="J56" i="10"/>
  <c r="I64" i="10"/>
  <c r="J64" i="10"/>
  <c r="G79" i="3"/>
  <c r="B79" i="3"/>
  <c r="G67" i="3"/>
  <c r="B67" i="3"/>
  <c r="B67" i="2"/>
  <c r="B30" i="17"/>
  <c r="A74" i="24"/>
  <c r="A37" i="24"/>
  <c r="A19" i="24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8" i="24"/>
  <c r="A69" i="24"/>
  <c r="A70" i="24"/>
  <c r="A71" i="24"/>
  <c r="A72" i="24"/>
  <c r="A73" i="24"/>
  <c r="A75" i="24"/>
  <c r="A76" i="24"/>
  <c r="A77" i="24"/>
  <c r="A78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3" i="24"/>
  <c r="A134" i="24"/>
  <c r="A135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F168" i="10"/>
  <c r="B90" i="10"/>
  <c r="I84" i="10"/>
  <c r="M84" i="10"/>
  <c r="F171" i="10"/>
  <c r="B134" i="10"/>
  <c r="F172" i="10"/>
  <c r="B161" i="10"/>
  <c r="I137" i="10"/>
  <c r="M137" i="10"/>
  <c r="I91" i="10"/>
  <c r="L91" i="10"/>
  <c r="I92" i="10"/>
  <c r="M92" i="10"/>
  <c r="I93" i="10"/>
  <c r="M93" i="10"/>
  <c r="I94" i="10"/>
  <c r="M94" i="10"/>
  <c r="I95" i="10"/>
  <c r="L95" i="10"/>
  <c r="M95" i="10"/>
  <c r="I96" i="10"/>
  <c r="M96" i="10"/>
  <c r="I97" i="10"/>
  <c r="M97" i="10"/>
  <c r="I98" i="10"/>
  <c r="M98" i="10"/>
  <c r="I99" i="10"/>
  <c r="L99" i="10"/>
  <c r="I100" i="10"/>
  <c r="M100" i="10"/>
  <c r="I101" i="10"/>
  <c r="M101" i="10"/>
  <c r="I102" i="10"/>
  <c r="M102" i="10"/>
  <c r="I103" i="10"/>
  <c r="M103" i="10"/>
  <c r="I104" i="10"/>
  <c r="M104" i="10"/>
  <c r="I105" i="10"/>
  <c r="M105" i="10"/>
  <c r="I106" i="10"/>
  <c r="M106" i="10"/>
  <c r="I107" i="10"/>
  <c r="L107" i="10"/>
  <c r="I108" i="10"/>
  <c r="M108" i="10"/>
  <c r="I109" i="10"/>
  <c r="M109" i="10"/>
  <c r="I110" i="10"/>
  <c r="M110" i="10"/>
  <c r="I111" i="10"/>
  <c r="L111" i="10"/>
  <c r="M111" i="10"/>
  <c r="I112" i="10"/>
  <c r="M112" i="10"/>
  <c r="I113" i="10"/>
  <c r="M113" i="10"/>
  <c r="I116" i="10"/>
  <c r="M116" i="10"/>
  <c r="I133" i="10"/>
  <c r="J133" i="10"/>
  <c r="I136" i="10"/>
  <c r="M136" i="10"/>
  <c r="I138" i="10"/>
  <c r="M138" i="10"/>
  <c r="I142" i="10"/>
  <c r="L142" i="10"/>
  <c r="I143" i="10"/>
  <c r="M143" i="10"/>
  <c r="I144" i="10"/>
  <c r="M144" i="10"/>
  <c r="I148" i="10"/>
  <c r="I151" i="10"/>
  <c r="M151" i="10"/>
  <c r="I152" i="10"/>
  <c r="M152" i="10"/>
  <c r="I155" i="10"/>
  <c r="M155" i="10"/>
  <c r="I158" i="10"/>
  <c r="M158" i="10"/>
  <c r="I159" i="10"/>
  <c r="M159" i="10"/>
  <c r="I160" i="10"/>
  <c r="M160" i="10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6" i="3"/>
  <c r="G135" i="3"/>
  <c r="G134" i="3"/>
  <c r="G132" i="3"/>
  <c r="G131" i="3"/>
  <c r="G130" i="3"/>
  <c r="G129" i="3"/>
  <c r="G128" i="3"/>
  <c r="G127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3" i="3"/>
  <c r="G72" i="3"/>
  <c r="G71" i="3"/>
  <c r="G70" i="3"/>
  <c r="G69" i="3"/>
  <c r="G68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187" i="10"/>
  <c r="K92" i="10"/>
  <c r="K93" i="10"/>
  <c r="K94" i="10"/>
  <c r="K95" i="10"/>
  <c r="K96" i="10"/>
  <c r="K97" i="10"/>
  <c r="K98" i="10"/>
  <c r="K99" i="10"/>
  <c r="K100" i="10"/>
  <c r="K101" i="10"/>
  <c r="K102" i="10"/>
  <c r="K104" i="10"/>
  <c r="K105" i="10"/>
  <c r="K106" i="10"/>
  <c r="K108" i="10"/>
  <c r="K109" i="10"/>
  <c r="K110" i="10"/>
  <c r="K111" i="10"/>
  <c r="K113" i="10"/>
  <c r="K116" i="10"/>
  <c r="B181" i="10"/>
  <c r="J91" i="10"/>
  <c r="J92" i="10"/>
  <c r="J93" i="10"/>
  <c r="J94" i="10"/>
  <c r="J96" i="10"/>
  <c r="J97" i="10"/>
  <c r="J98" i="10"/>
  <c r="J99" i="10"/>
  <c r="J100" i="10"/>
  <c r="J101" i="10"/>
  <c r="J102" i="10"/>
  <c r="J104" i="10"/>
  <c r="J105" i="10"/>
  <c r="J106" i="10"/>
  <c r="J108" i="10"/>
  <c r="J109" i="10"/>
  <c r="J110" i="10"/>
  <c r="J112" i="10"/>
  <c r="J113" i="10"/>
  <c r="J116" i="10"/>
  <c r="J137" i="10"/>
  <c r="J142" i="10"/>
  <c r="J152" i="10"/>
  <c r="J158" i="10"/>
  <c r="J159" i="10"/>
  <c r="K133" i="10"/>
  <c r="K137" i="10"/>
  <c r="K142" i="10"/>
  <c r="K143" i="10"/>
  <c r="K159" i="10"/>
  <c r="C182" i="10"/>
  <c r="B182" i="10"/>
  <c r="C181" i="10"/>
  <c r="B4" i="17"/>
  <c r="L137" i="10"/>
  <c r="L155" i="10"/>
  <c r="L159" i="10"/>
  <c r="L92" i="10"/>
  <c r="L93" i="10"/>
  <c r="L94" i="10"/>
  <c r="L96" i="10"/>
  <c r="L97" i="10"/>
  <c r="L98" i="10"/>
  <c r="L100" i="10"/>
  <c r="L101" i="10"/>
  <c r="L102" i="10"/>
  <c r="L104" i="10"/>
  <c r="L105" i="10"/>
  <c r="L106" i="10"/>
  <c r="L108" i="10"/>
  <c r="L109" i="10"/>
  <c r="L110" i="10"/>
  <c r="L113" i="10"/>
  <c r="L116" i="10"/>
  <c r="L119" i="10"/>
  <c r="L123" i="10"/>
  <c r="L125" i="10"/>
  <c r="L129" i="10"/>
  <c r="L130" i="10"/>
  <c r="A173" i="10"/>
  <c r="A172" i="10"/>
  <c r="A171" i="10"/>
  <c r="A170" i="10"/>
  <c r="A169" i="10"/>
  <c r="A168" i="10"/>
  <c r="A167" i="10"/>
  <c r="A166" i="10"/>
  <c r="A165" i="10"/>
  <c r="C1" i="10"/>
  <c r="B1" i="10"/>
  <c r="A1" i="10"/>
  <c r="A148" i="3"/>
  <c r="B152" i="3"/>
  <c r="B151" i="3"/>
  <c r="B150" i="3"/>
  <c r="B149" i="3"/>
  <c r="B148" i="3"/>
  <c r="B147" i="3"/>
  <c r="B146" i="3"/>
  <c r="B145" i="3"/>
  <c r="B144" i="3"/>
  <c r="B143" i="3"/>
  <c r="B142" i="3"/>
  <c r="A142" i="3"/>
  <c r="H142" i="3"/>
  <c r="B141" i="3"/>
  <c r="B140" i="3"/>
  <c r="B139" i="3"/>
  <c r="B136" i="3"/>
  <c r="B135" i="3"/>
  <c r="B134" i="3"/>
  <c r="B132" i="3"/>
  <c r="B131" i="3"/>
  <c r="B130" i="3"/>
  <c r="A130" i="3"/>
  <c r="H130" i="3"/>
  <c r="B129" i="3"/>
  <c r="B128" i="3"/>
  <c r="B127" i="3"/>
  <c r="B125" i="3"/>
  <c r="B124" i="3"/>
  <c r="B123" i="3"/>
  <c r="B122" i="3"/>
  <c r="B121" i="3"/>
  <c r="B120" i="3"/>
  <c r="B119" i="3"/>
  <c r="B118" i="3"/>
  <c r="B117" i="3"/>
  <c r="B116" i="3"/>
  <c r="B115" i="3"/>
  <c r="A115" i="3"/>
  <c r="H115" i="3"/>
  <c r="B114" i="3"/>
  <c r="A114" i="3"/>
  <c r="H114" i="3"/>
  <c r="B113" i="3"/>
  <c r="B112" i="3"/>
  <c r="A112" i="3"/>
  <c r="H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A90" i="3"/>
  <c r="H90" i="3"/>
  <c r="C88" i="3"/>
  <c r="B88" i="3"/>
  <c r="B87" i="3"/>
  <c r="B86" i="3"/>
  <c r="B85" i="3"/>
  <c r="B84" i="3"/>
  <c r="B83" i="3"/>
  <c r="B82" i="3"/>
  <c r="B81" i="3"/>
  <c r="B80" i="3"/>
  <c r="B78" i="3"/>
  <c r="B77" i="3"/>
  <c r="B76" i="3"/>
  <c r="B75" i="3"/>
  <c r="B74" i="3"/>
  <c r="B73" i="3"/>
  <c r="A73" i="3"/>
  <c r="H73" i="3"/>
  <c r="B72" i="3"/>
  <c r="B71" i="3"/>
  <c r="B70" i="3"/>
  <c r="B69" i="3"/>
  <c r="A69" i="3"/>
  <c r="H69" i="3"/>
  <c r="B68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A48" i="3"/>
  <c r="H48" i="3"/>
  <c r="B47" i="3"/>
  <c r="B46" i="3"/>
  <c r="B45" i="3"/>
  <c r="B44" i="3"/>
  <c r="B43" i="3"/>
  <c r="B42" i="3"/>
  <c r="B41" i="3"/>
  <c r="B40" i="3"/>
  <c r="B39" i="3"/>
  <c r="B38" i="3"/>
  <c r="B37" i="3"/>
  <c r="A37" i="3"/>
  <c r="H37" i="3"/>
  <c r="B36" i="3"/>
  <c r="B35" i="3"/>
  <c r="B34" i="3"/>
  <c r="B33" i="3"/>
  <c r="B32" i="3"/>
  <c r="B31" i="3"/>
  <c r="B30" i="3"/>
  <c r="B29" i="3"/>
  <c r="B28" i="3"/>
  <c r="B27" i="3"/>
  <c r="B26" i="3"/>
  <c r="B25" i="3"/>
  <c r="A25" i="3"/>
  <c r="H25" i="3"/>
  <c r="B24" i="3"/>
  <c r="C23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A9" i="3"/>
  <c r="H9" i="3"/>
  <c r="B8" i="3"/>
  <c r="B7" i="3"/>
  <c r="B6" i="3"/>
  <c r="B5" i="3"/>
  <c r="B4" i="3"/>
  <c r="B3" i="3"/>
  <c r="B2" i="3"/>
  <c r="B1" i="3"/>
  <c r="C1" i="3"/>
  <c r="A1" i="3"/>
  <c r="B152" i="2"/>
  <c r="B151" i="2"/>
  <c r="B150" i="2"/>
  <c r="B145" i="2"/>
  <c r="B144" i="2"/>
  <c r="B143" i="2"/>
  <c r="B142" i="2"/>
  <c r="B135" i="2"/>
  <c r="B134" i="2"/>
  <c r="B132" i="2"/>
  <c r="B131" i="2"/>
  <c r="B129" i="2"/>
  <c r="B125" i="2"/>
  <c r="B124" i="2"/>
  <c r="B123" i="2"/>
  <c r="B122" i="2"/>
  <c r="B117" i="2"/>
  <c r="B116" i="2"/>
  <c r="B115" i="2"/>
  <c r="B114" i="2"/>
  <c r="B112" i="2"/>
  <c r="B109" i="2"/>
  <c r="B108" i="2"/>
  <c r="B107" i="2"/>
  <c r="B106" i="2"/>
  <c r="B104" i="2"/>
  <c r="B101" i="2"/>
  <c r="B100" i="2"/>
  <c r="B99" i="2"/>
  <c r="B98" i="2"/>
  <c r="B96" i="2"/>
  <c r="B95" i="2"/>
  <c r="B93" i="2"/>
  <c r="B92" i="2"/>
  <c r="B91" i="2"/>
  <c r="B90" i="2"/>
  <c r="B87" i="2"/>
  <c r="B86" i="2"/>
  <c r="B84" i="2"/>
  <c r="B83" i="2"/>
  <c r="B82" i="2"/>
  <c r="B81" i="2"/>
  <c r="B76" i="2"/>
  <c r="B75" i="2"/>
  <c r="B74" i="2"/>
  <c r="B73" i="2"/>
  <c r="B72" i="2"/>
  <c r="B68" i="2"/>
  <c r="B66" i="2"/>
  <c r="B65" i="2"/>
  <c r="B64" i="2"/>
  <c r="B60" i="2"/>
  <c r="B59" i="2"/>
  <c r="B58" i="2"/>
  <c r="B57" i="2"/>
  <c r="B56" i="2"/>
  <c r="B52" i="2"/>
  <c r="B51" i="2"/>
  <c r="B50" i="2"/>
  <c r="B49" i="2"/>
  <c r="B48" i="2"/>
  <c r="B44" i="2"/>
  <c r="B43" i="2"/>
  <c r="B42" i="2"/>
  <c r="B41" i="2"/>
  <c r="B40" i="2"/>
  <c r="B36" i="2"/>
  <c r="B35" i="2"/>
  <c r="B34" i="2"/>
  <c r="B33" i="2"/>
  <c r="B32" i="2"/>
  <c r="B28" i="2"/>
  <c r="B27" i="2"/>
  <c r="B26" i="2"/>
  <c r="B25" i="2"/>
  <c r="B24" i="2"/>
  <c r="B20" i="2"/>
  <c r="B19" i="2"/>
  <c r="B18" i="2"/>
  <c r="B17" i="2"/>
  <c r="B16" i="2"/>
  <c r="B12" i="2"/>
  <c r="B11" i="2"/>
  <c r="B10" i="2"/>
  <c r="B9" i="2"/>
  <c r="B8" i="2"/>
  <c r="B4" i="2"/>
  <c r="B3" i="2"/>
  <c r="K29" i="1"/>
  <c r="A126" i="3"/>
  <c r="H126" i="3"/>
  <c r="A58" i="3"/>
  <c r="H58" i="3"/>
  <c r="A40" i="1"/>
  <c r="B40" i="1"/>
  <c r="A129" i="1"/>
  <c r="B129" i="1"/>
  <c r="A149" i="1"/>
  <c r="B149" i="1"/>
  <c r="A66" i="3"/>
  <c r="H66" i="3"/>
  <c r="A107" i="3"/>
  <c r="H107" i="3"/>
  <c r="A89" i="3"/>
  <c r="H89" i="3"/>
  <c r="A91" i="3"/>
  <c r="H91" i="3"/>
  <c r="A8" i="1"/>
  <c r="B8" i="1"/>
  <c r="A26" i="3"/>
  <c r="H26" i="3"/>
  <c r="A10" i="3"/>
  <c r="H10" i="3"/>
  <c r="A74" i="3"/>
  <c r="H74" i="3"/>
  <c r="A61" i="5"/>
  <c r="A94" i="5"/>
  <c r="A110" i="5"/>
  <c r="A136" i="5"/>
  <c r="C20" i="3"/>
  <c r="B55" i="5"/>
  <c r="A6" i="5"/>
  <c r="A22" i="5"/>
  <c r="A38" i="5"/>
  <c r="A54" i="5"/>
  <c r="A70" i="5"/>
  <c r="A86" i="5"/>
  <c r="A103" i="5"/>
  <c r="A119" i="5"/>
  <c r="A128" i="5"/>
  <c r="B80" i="5"/>
  <c r="C144" i="3"/>
  <c r="A7" i="5"/>
  <c r="A15" i="5"/>
  <c r="A23" i="5"/>
  <c r="A31" i="5"/>
  <c r="A39" i="5"/>
  <c r="A47" i="5"/>
  <c r="A55" i="5"/>
  <c r="A63" i="5"/>
  <c r="A71" i="5"/>
  <c r="A79" i="5"/>
  <c r="A87" i="5"/>
  <c r="A96" i="5"/>
  <c r="A104" i="5"/>
  <c r="A112" i="5"/>
  <c r="A120" i="5"/>
  <c r="A129" i="5"/>
  <c r="A140" i="5"/>
  <c r="A148" i="5"/>
  <c r="B3" i="5"/>
  <c r="C16" i="3"/>
  <c r="B27" i="5"/>
  <c r="B56" i="5"/>
  <c r="C100" i="3"/>
  <c r="B130" i="5"/>
  <c r="C12" i="3"/>
  <c r="C28" i="3"/>
  <c r="B52" i="5"/>
  <c r="C84" i="3"/>
  <c r="C101" i="3"/>
  <c r="C125" i="3"/>
  <c r="C135" i="3"/>
  <c r="C145" i="3"/>
  <c r="A69" i="5"/>
  <c r="A118" i="5"/>
  <c r="B43" i="5"/>
  <c r="C92" i="3"/>
  <c r="C149" i="3"/>
  <c r="B66" i="5"/>
  <c r="A14" i="5"/>
  <c r="A30" i="5"/>
  <c r="A46" i="5"/>
  <c r="A62" i="5"/>
  <c r="A78" i="5"/>
  <c r="A95" i="5"/>
  <c r="A111" i="5"/>
  <c r="A147" i="5"/>
  <c r="C50" i="3"/>
  <c r="B124" i="5"/>
  <c r="A8" i="5"/>
  <c r="A16" i="5"/>
  <c r="A24" i="5"/>
  <c r="A32" i="5"/>
  <c r="A40" i="5"/>
  <c r="A48" i="5"/>
  <c r="A56" i="5"/>
  <c r="A64" i="5"/>
  <c r="A72" i="5"/>
  <c r="A80" i="5"/>
  <c r="A88" i="5"/>
  <c r="A97" i="5"/>
  <c r="A105" i="5"/>
  <c r="A113" i="5"/>
  <c r="A121" i="5"/>
  <c r="A130" i="5"/>
  <c r="A141" i="5"/>
  <c r="A149" i="5"/>
  <c r="C40" i="3"/>
  <c r="B51" i="5"/>
  <c r="B75" i="5"/>
  <c r="C107" i="3"/>
  <c r="B113" i="5"/>
  <c r="B5" i="5"/>
  <c r="B13" i="5"/>
  <c r="B21" i="5"/>
  <c r="C37" i="3"/>
  <c r="C45" i="3"/>
  <c r="C53" i="3"/>
  <c r="C61" i="3"/>
  <c r="C69" i="3"/>
  <c r="C77" i="3"/>
  <c r="C85" i="3"/>
  <c r="C94" i="3"/>
  <c r="C102" i="3"/>
  <c r="C110" i="3"/>
  <c r="C118" i="3"/>
  <c r="C127" i="3"/>
  <c r="C136" i="3"/>
  <c r="C146" i="3"/>
  <c r="C95" i="1"/>
  <c r="A53" i="5"/>
  <c r="A127" i="5"/>
  <c r="A139" i="5"/>
  <c r="A110" i="3"/>
  <c r="H110" i="3"/>
  <c r="A9" i="5"/>
  <c r="A17" i="5"/>
  <c r="A25" i="5"/>
  <c r="A33" i="5"/>
  <c r="A41" i="5"/>
  <c r="A49" i="5"/>
  <c r="A57" i="5"/>
  <c r="A65" i="5"/>
  <c r="A73" i="5"/>
  <c r="A81" i="5"/>
  <c r="A90" i="5"/>
  <c r="A98" i="5"/>
  <c r="A106" i="5"/>
  <c r="A114" i="5"/>
  <c r="A122" i="5"/>
  <c r="A131" i="5"/>
  <c r="A142" i="5"/>
  <c r="A150" i="5"/>
  <c r="B11" i="5"/>
  <c r="B23" i="5"/>
  <c r="B35" i="5"/>
  <c r="B63" i="5"/>
  <c r="B82" i="5"/>
  <c r="B88" i="5"/>
  <c r="B141" i="5"/>
  <c r="B6" i="5"/>
  <c r="B30" i="5"/>
  <c r="B46" i="5"/>
  <c r="C54" i="3"/>
  <c r="C70" i="3"/>
  <c r="C78" i="3"/>
  <c r="C86" i="3"/>
  <c r="C95" i="3"/>
  <c r="A132" i="1"/>
  <c r="B132" i="1"/>
  <c r="A77" i="5"/>
  <c r="A102" i="5"/>
  <c r="A146" i="5"/>
  <c r="C74" i="3"/>
  <c r="A5" i="3"/>
  <c r="H5" i="3"/>
  <c r="A53" i="3"/>
  <c r="H53" i="3"/>
  <c r="A2" i="5"/>
  <c r="A10" i="5"/>
  <c r="A18" i="5"/>
  <c r="A26" i="5"/>
  <c r="A34" i="5"/>
  <c r="A42" i="5"/>
  <c r="A50" i="5"/>
  <c r="A58" i="5"/>
  <c r="A66" i="5"/>
  <c r="A74" i="5"/>
  <c r="A82" i="5"/>
  <c r="A91" i="5"/>
  <c r="A99" i="5"/>
  <c r="A107" i="5"/>
  <c r="A115" i="5"/>
  <c r="A123" i="5"/>
  <c r="A132" i="5"/>
  <c r="A143" i="5"/>
  <c r="A151" i="5"/>
  <c r="B47" i="5"/>
  <c r="B58" i="5"/>
  <c r="B108" i="5"/>
  <c r="C121" i="3"/>
  <c r="B31" i="5"/>
  <c r="B39" i="5"/>
  <c r="B71" i="5"/>
  <c r="C87" i="3"/>
  <c r="C96" i="3"/>
  <c r="B104" i="5"/>
  <c r="B112" i="5"/>
  <c r="C120" i="3"/>
  <c r="C140" i="3"/>
  <c r="A133" i="5"/>
  <c r="A89" i="5"/>
  <c r="C126" i="3"/>
  <c r="C132" i="1"/>
  <c r="B38" i="5"/>
  <c r="C105" i="3"/>
  <c r="A146" i="3"/>
  <c r="H146" i="3"/>
  <c r="A29" i="3"/>
  <c r="A136" i="3"/>
  <c r="H136" i="3"/>
  <c r="A48" i="1"/>
  <c r="B48" i="1"/>
  <c r="A121" i="1"/>
  <c r="B121" i="1"/>
  <c r="A3" i="3"/>
  <c r="H3" i="3"/>
  <c r="A11" i="3"/>
  <c r="H11" i="3"/>
  <c r="A19" i="3"/>
  <c r="H19" i="3"/>
  <c r="A27" i="3"/>
  <c r="H27" i="3"/>
  <c r="A35" i="3"/>
  <c r="H35" i="3"/>
  <c r="A43" i="3"/>
  <c r="H43" i="3"/>
  <c r="A51" i="3"/>
  <c r="H51" i="3"/>
  <c r="A59" i="3"/>
  <c r="H59" i="3"/>
  <c r="A83" i="3"/>
  <c r="H83" i="3"/>
  <c r="A92" i="3"/>
  <c r="H92" i="3"/>
  <c r="A100" i="3"/>
  <c r="H100" i="3"/>
  <c r="A108" i="3"/>
  <c r="H108" i="3"/>
  <c r="A116" i="3"/>
  <c r="H116" i="3"/>
  <c r="A124" i="3"/>
  <c r="H124" i="3"/>
  <c r="A134" i="3"/>
  <c r="H134" i="3"/>
  <c r="A144" i="3"/>
  <c r="H144" i="3"/>
  <c r="A152" i="3"/>
  <c r="H152" i="3"/>
  <c r="B19" i="5"/>
  <c r="C24" i="3"/>
  <c r="B42" i="5"/>
  <c r="B64" i="5"/>
  <c r="C83" i="3"/>
  <c r="B97" i="5"/>
  <c r="B129" i="5"/>
  <c r="C148" i="3"/>
  <c r="C152" i="3"/>
  <c r="A137" i="5"/>
  <c r="A144" i="1"/>
  <c r="A85" i="5"/>
  <c r="C32" i="3"/>
  <c r="B67" i="5"/>
  <c r="A61" i="3"/>
  <c r="H61" i="3"/>
  <c r="A4" i="5"/>
  <c r="A12" i="5"/>
  <c r="A20" i="5"/>
  <c r="A28" i="5"/>
  <c r="A36" i="5"/>
  <c r="A44" i="5"/>
  <c r="A52" i="5"/>
  <c r="A60" i="5"/>
  <c r="A68" i="5"/>
  <c r="A76" i="5"/>
  <c r="A84" i="5"/>
  <c r="A93" i="5"/>
  <c r="A101" i="5"/>
  <c r="A109" i="5"/>
  <c r="A117" i="5"/>
  <c r="A125" i="5"/>
  <c r="A135" i="5"/>
  <c r="A145" i="5"/>
  <c r="B7" i="5"/>
  <c r="B59" i="5"/>
  <c r="C72" i="3"/>
  <c r="B116" i="5"/>
  <c r="C143" i="3"/>
  <c r="B49" i="5"/>
  <c r="C57" i="3"/>
  <c r="C98" i="3"/>
  <c r="C114" i="3"/>
  <c r="B122" i="5"/>
  <c r="B131" i="5"/>
  <c r="B89" i="5"/>
  <c r="B126" i="5"/>
  <c r="A138" i="3"/>
  <c r="H138" i="3"/>
  <c r="C144" i="1"/>
  <c r="L138" i="10"/>
  <c r="K158" i="10"/>
  <c r="J144" i="10"/>
  <c r="L151" i="10"/>
  <c r="K155" i="10"/>
  <c r="J155" i="10"/>
  <c r="J143" i="10"/>
  <c r="I156" i="10"/>
  <c r="L156" i="10"/>
  <c r="I150" i="10"/>
  <c r="M142" i="10"/>
  <c r="I135" i="10"/>
  <c r="K151" i="10"/>
  <c r="I147" i="10"/>
  <c r="J151" i="10"/>
  <c r="J138" i="10"/>
  <c r="I154" i="10"/>
  <c r="I140" i="10"/>
  <c r="M140" i="10"/>
  <c r="L143" i="10"/>
  <c r="I146" i="10"/>
  <c r="I139" i="10"/>
  <c r="K138" i="10"/>
  <c r="L158" i="10"/>
  <c r="J136" i="10"/>
  <c r="L133" i="10"/>
  <c r="I132" i="10"/>
  <c r="M133" i="10"/>
  <c r="L121" i="10"/>
  <c r="K121" i="10"/>
  <c r="M129" i="10"/>
  <c r="I124" i="10"/>
  <c r="L124" i="10"/>
  <c r="I118" i="10"/>
  <c r="J129" i="10"/>
  <c r="I128" i="10"/>
  <c r="I122" i="10"/>
  <c r="I127" i="10"/>
  <c r="L112" i="10"/>
  <c r="J107" i="10"/>
  <c r="F170" i="10"/>
  <c r="K112" i="10"/>
  <c r="M91" i="10"/>
  <c r="M107" i="10"/>
  <c r="I69" i="10"/>
  <c r="I61" i="10"/>
  <c r="I62" i="10"/>
  <c r="K64" i="10"/>
  <c r="I68" i="10"/>
  <c r="I60" i="10"/>
  <c r="I66" i="10"/>
  <c r="M66" i="10"/>
  <c r="I58" i="10"/>
  <c r="L58" i="10"/>
  <c r="K56" i="10"/>
  <c r="I65" i="10"/>
  <c r="I57" i="10"/>
  <c r="I72" i="25"/>
  <c r="B144" i="1"/>
  <c r="B95" i="1"/>
  <c r="J46" i="10"/>
  <c r="K46" i="10"/>
  <c r="L46" i="10"/>
  <c r="J39" i="10"/>
  <c r="K39" i="10"/>
  <c r="L39" i="10"/>
  <c r="I28" i="10"/>
  <c r="I48" i="10"/>
  <c r="I33" i="10"/>
  <c r="L33" i="10"/>
  <c r="I35" i="10"/>
  <c r="I44" i="10"/>
  <c r="I38" i="10"/>
  <c r="I34" i="10"/>
  <c r="I29" i="10"/>
  <c r="J29" i="10"/>
  <c r="I37" i="10"/>
  <c r="I47" i="10"/>
  <c r="J47" i="10"/>
  <c r="I30" i="10"/>
  <c r="I42" i="10"/>
  <c r="L42" i="10"/>
  <c r="I43" i="10"/>
  <c r="I31" i="10"/>
  <c r="I40" i="10"/>
  <c r="I49" i="10"/>
  <c r="J23" i="10"/>
  <c r="K23" i="10"/>
  <c r="L23" i="10"/>
  <c r="I2" i="10"/>
  <c r="M2" i="10"/>
  <c r="I14" i="10"/>
  <c r="M14" i="10"/>
  <c r="I18" i="10"/>
  <c r="I10" i="10"/>
  <c r="F165" i="10"/>
  <c r="I22" i="10"/>
  <c r="I6" i="10"/>
  <c r="A39" i="3"/>
  <c r="H39" i="3"/>
  <c r="A54" i="3"/>
  <c r="H54" i="3"/>
  <c r="C5" i="3"/>
  <c r="A120" i="3"/>
  <c r="H120" i="3"/>
  <c r="C43" i="3"/>
  <c r="A46" i="3"/>
  <c r="H46" i="3"/>
  <c r="A105" i="3"/>
  <c r="H105" i="3"/>
  <c r="A69" i="1"/>
  <c r="B69" i="1"/>
  <c r="C19" i="1"/>
  <c r="A31" i="3"/>
  <c r="H31" i="3"/>
  <c r="A71" i="3"/>
  <c r="H71" i="3"/>
  <c r="A129" i="3"/>
  <c r="H129" i="3"/>
  <c r="A145" i="3"/>
  <c r="H145" i="3"/>
  <c r="A16" i="3"/>
  <c r="H16" i="3"/>
  <c r="A49" i="3"/>
  <c r="H49" i="3"/>
  <c r="A131" i="3"/>
  <c r="H131" i="3"/>
  <c r="A46" i="1"/>
  <c r="A65" i="3"/>
  <c r="H65" i="3"/>
  <c r="A81" i="3"/>
  <c r="H81" i="3"/>
  <c r="A97" i="3"/>
  <c r="H97" i="3"/>
  <c r="A106" i="3"/>
  <c r="H106" i="3"/>
  <c r="A121" i="3"/>
  <c r="H121" i="3"/>
  <c r="A149" i="3"/>
  <c r="H149" i="3"/>
  <c r="A47" i="1"/>
  <c r="B47" i="1"/>
  <c r="A94" i="1"/>
  <c r="A147" i="1"/>
  <c r="B147" i="1"/>
  <c r="A17" i="3"/>
  <c r="H17" i="3"/>
  <c r="A32" i="3"/>
  <c r="H32" i="3"/>
  <c r="A41" i="3"/>
  <c r="H41" i="3"/>
  <c r="A150" i="3"/>
  <c r="H150" i="3"/>
  <c r="A148" i="1"/>
  <c r="B148" i="1"/>
  <c r="A40" i="3"/>
  <c r="H40" i="3"/>
  <c r="A56" i="3"/>
  <c r="H56" i="3"/>
  <c r="A88" i="3"/>
  <c r="H88" i="3"/>
  <c r="A98" i="3"/>
  <c r="H98" i="3"/>
  <c r="A122" i="3"/>
  <c r="H122" i="3"/>
  <c r="A15" i="1"/>
  <c r="B15" i="1"/>
  <c r="A64" i="3"/>
  <c r="H64" i="3"/>
  <c r="A80" i="3"/>
  <c r="H80" i="3"/>
  <c r="A127" i="1"/>
  <c r="B127" i="1"/>
  <c r="A8" i="3"/>
  <c r="H8" i="3"/>
  <c r="A33" i="3"/>
  <c r="H33" i="3"/>
  <c r="A72" i="3"/>
  <c r="H72" i="3"/>
  <c r="A113" i="3"/>
  <c r="H113" i="3"/>
  <c r="A141" i="3"/>
  <c r="H141" i="3"/>
  <c r="A24" i="3"/>
  <c r="H24" i="3"/>
  <c r="A57" i="3"/>
  <c r="H57" i="3"/>
  <c r="A70" i="1"/>
  <c r="B70" i="1"/>
  <c r="A119" i="1"/>
  <c r="B119" i="1"/>
  <c r="C115" i="2"/>
  <c r="C56" i="3"/>
  <c r="C51" i="3"/>
  <c r="C41" i="2"/>
  <c r="C112" i="3"/>
  <c r="C110" i="1"/>
  <c r="C7" i="3"/>
  <c r="C21" i="3"/>
  <c r="C27" i="1"/>
  <c r="C73" i="1"/>
  <c r="C104" i="3"/>
  <c r="B47" i="2"/>
  <c r="C13" i="3"/>
  <c r="C94" i="1"/>
  <c r="C118" i="1"/>
  <c r="C4" i="2"/>
  <c r="B62" i="5"/>
  <c r="C62" i="3"/>
  <c r="B128" i="5"/>
  <c r="C128" i="3"/>
  <c r="B147" i="5"/>
  <c r="C147" i="3"/>
  <c r="B15" i="5"/>
  <c r="C15" i="3"/>
  <c r="B103" i="5"/>
  <c r="C103" i="3"/>
  <c r="C114" i="1"/>
  <c r="C119" i="1"/>
  <c r="C8" i="2"/>
  <c r="B8" i="5"/>
  <c r="C48" i="2"/>
  <c r="C80" i="3"/>
  <c r="C62" i="1"/>
  <c r="C116" i="3"/>
  <c r="C38" i="3"/>
  <c r="C141" i="3"/>
  <c r="C44" i="1"/>
  <c r="C53" i="1"/>
  <c r="C122" i="1"/>
  <c r="C35" i="3"/>
  <c r="A102" i="1"/>
  <c r="B102" i="1"/>
  <c r="A7" i="3"/>
  <c r="H7" i="3"/>
  <c r="A63" i="3"/>
  <c r="H63" i="3"/>
  <c r="A78" i="1"/>
  <c r="B78" i="1"/>
  <c r="A103" i="1"/>
  <c r="B103" i="1"/>
  <c r="C19" i="3"/>
  <c r="C59" i="3"/>
  <c r="A103" i="3"/>
  <c r="H103" i="3"/>
  <c r="A136" i="1"/>
  <c r="B136" i="1"/>
  <c r="A23" i="3"/>
  <c r="H23" i="3"/>
  <c r="A47" i="3"/>
  <c r="H47" i="3"/>
  <c r="A54" i="1"/>
  <c r="B54" i="1"/>
  <c r="A110" i="1"/>
  <c r="B110" i="1"/>
  <c r="A15" i="3"/>
  <c r="H15" i="3"/>
  <c r="C108" i="3"/>
  <c r="C3" i="3"/>
  <c r="A78" i="3"/>
  <c r="H78" i="3"/>
  <c r="A87" i="3"/>
  <c r="H87" i="3"/>
  <c r="A96" i="3"/>
  <c r="H96" i="3"/>
  <c r="A30" i="1"/>
  <c r="B30" i="1"/>
  <c r="A62" i="1"/>
  <c r="B62" i="1"/>
  <c r="A85" i="1"/>
  <c r="B85" i="1"/>
  <c r="A111" i="1"/>
  <c r="B111" i="1"/>
  <c r="A55" i="3"/>
  <c r="H55" i="3"/>
  <c r="A70" i="3"/>
  <c r="H70" i="3"/>
  <c r="A104" i="3"/>
  <c r="H104" i="3"/>
  <c r="A140" i="3"/>
  <c r="H140" i="3"/>
  <c r="A86" i="1"/>
  <c r="B86" i="1"/>
  <c r="A147" i="3"/>
  <c r="H147" i="3"/>
  <c r="A134" i="1"/>
  <c r="B134" i="1"/>
  <c r="A62" i="3"/>
  <c r="H62" i="3"/>
  <c r="C39" i="3"/>
  <c r="A37" i="1"/>
  <c r="B37" i="1"/>
  <c r="A52" i="1"/>
  <c r="B52" i="1"/>
  <c r="A93" i="1"/>
  <c r="B93" i="1"/>
  <c r="A135" i="1"/>
  <c r="B135" i="1"/>
  <c r="A111" i="3"/>
  <c r="H111" i="3"/>
  <c r="A13" i="1"/>
  <c r="B13" i="1"/>
  <c r="A53" i="1"/>
  <c r="B53" i="1"/>
  <c r="A118" i="1"/>
  <c r="B118" i="1"/>
  <c r="A6" i="3"/>
  <c r="H6" i="3"/>
  <c r="A14" i="3"/>
  <c r="H14" i="3"/>
  <c r="A119" i="3"/>
  <c r="H119" i="3"/>
  <c r="A128" i="3"/>
  <c r="H128" i="3"/>
  <c r="A77" i="1"/>
  <c r="B77" i="1"/>
  <c r="A146" i="1"/>
  <c r="B146" i="1"/>
  <c r="A22" i="3"/>
  <c r="H22" i="3"/>
  <c r="A30" i="3"/>
  <c r="H30" i="3"/>
  <c r="A60" i="1"/>
  <c r="B60" i="1"/>
  <c r="A21" i="1"/>
  <c r="B21" i="1"/>
  <c r="A45" i="1"/>
  <c r="B45" i="1"/>
  <c r="A61" i="1"/>
  <c r="B61" i="1"/>
  <c r="A126" i="1"/>
  <c r="B126" i="1"/>
  <c r="A38" i="3"/>
  <c r="H38" i="3"/>
  <c r="A139" i="3"/>
  <c r="H139" i="3"/>
  <c r="A44" i="1"/>
  <c r="B44" i="1"/>
  <c r="A86" i="3"/>
  <c r="H86" i="3"/>
  <c r="A95" i="3"/>
  <c r="H95" i="3"/>
  <c r="A79" i="3"/>
  <c r="H79" i="3"/>
  <c r="A29" i="1"/>
  <c r="B29" i="1"/>
  <c r="C71" i="3"/>
  <c r="C75" i="3"/>
  <c r="C124" i="3"/>
  <c r="C41" i="1"/>
  <c r="C45" i="1"/>
  <c r="C27" i="3"/>
  <c r="C64" i="3"/>
  <c r="C113" i="3"/>
  <c r="C61" i="1"/>
  <c r="C70" i="1"/>
  <c r="C81" i="1"/>
  <c r="C29" i="2"/>
  <c r="B17" i="5"/>
  <c r="C17" i="3"/>
  <c r="B81" i="5"/>
  <c r="C81" i="3"/>
  <c r="B26" i="5"/>
  <c r="C26" i="3"/>
  <c r="B91" i="5"/>
  <c r="C91" i="3"/>
  <c r="B99" i="5"/>
  <c r="C99" i="3"/>
  <c r="B123" i="5"/>
  <c r="C123" i="3"/>
  <c r="B2" i="5"/>
  <c r="C2" i="3"/>
  <c r="B34" i="5"/>
  <c r="C34" i="3"/>
  <c r="C6" i="3"/>
  <c r="C47" i="3"/>
  <c r="A20" i="1"/>
  <c r="B20" i="1"/>
  <c r="A76" i="1"/>
  <c r="B76" i="1"/>
  <c r="A92" i="1"/>
  <c r="B92" i="1"/>
  <c r="C65" i="1"/>
  <c r="C82" i="3"/>
  <c r="C122" i="3"/>
  <c r="C128" i="1"/>
  <c r="C67" i="3"/>
  <c r="A22" i="1"/>
  <c r="B22" i="1"/>
  <c r="A117" i="1"/>
  <c r="B117" i="1"/>
  <c r="C97" i="3"/>
  <c r="C130" i="3"/>
  <c r="A12" i="1"/>
  <c r="B12" i="1"/>
  <c r="C30" i="3"/>
  <c r="C42" i="3"/>
  <c r="C55" i="3"/>
  <c r="C58" i="3"/>
  <c r="A145" i="1"/>
  <c r="B145" i="1"/>
  <c r="C11" i="3"/>
  <c r="A14" i="1"/>
  <c r="B14" i="1"/>
  <c r="A84" i="1"/>
  <c r="B84" i="1"/>
  <c r="C64" i="1"/>
  <c r="C103" i="1"/>
  <c r="B10" i="5"/>
  <c r="C10" i="3"/>
  <c r="B18" i="5"/>
  <c r="C18" i="3"/>
  <c r="B132" i="5"/>
  <c r="C138" i="1"/>
  <c r="C132" i="3"/>
  <c r="C157" i="1"/>
  <c r="C151" i="3"/>
  <c r="B44" i="5"/>
  <c r="C44" i="3"/>
  <c r="B68" i="5"/>
  <c r="C74" i="1"/>
  <c r="C68" i="3"/>
  <c r="B76" i="5"/>
  <c r="C76" i="3"/>
  <c r="C82" i="1"/>
  <c r="B93" i="5"/>
  <c r="C93" i="3"/>
  <c r="C99" i="1"/>
  <c r="B109" i="5"/>
  <c r="C109" i="3"/>
  <c r="C115" i="1"/>
  <c r="B117" i="5"/>
  <c r="C117" i="3"/>
  <c r="C123" i="1"/>
  <c r="B79" i="5"/>
  <c r="C85" i="1"/>
  <c r="C79" i="3"/>
  <c r="B9" i="5"/>
  <c r="C9" i="3"/>
  <c r="C15" i="1"/>
  <c r="B73" i="5"/>
  <c r="C73" i="3"/>
  <c r="C79" i="1"/>
  <c r="B90" i="5"/>
  <c r="C96" i="1"/>
  <c r="C90" i="3"/>
  <c r="B150" i="5"/>
  <c r="C156" i="1"/>
  <c r="C150" i="3"/>
  <c r="B25" i="5"/>
  <c r="C31" i="1"/>
  <c r="C25" i="3"/>
  <c r="B33" i="5"/>
  <c r="C33" i="3"/>
  <c r="B65" i="5"/>
  <c r="C65" i="3"/>
  <c r="C71" i="1"/>
  <c r="B106" i="5"/>
  <c r="C106" i="3"/>
  <c r="C112" i="1"/>
  <c r="B142" i="5"/>
  <c r="C142" i="3"/>
  <c r="B14" i="5"/>
  <c r="C14" i="3"/>
  <c r="B22" i="5"/>
  <c r="C22" i="3"/>
  <c r="B111" i="5"/>
  <c r="C111" i="3"/>
  <c r="C66" i="3"/>
  <c r="A76" i="3"/>
  <c r="H76" i="3"/>
  <c r="A26" i="1"/>
  <c r="B26" i="1"/>
  <c r="A58" i="1"/>
  <c r="A90" i="1"/>
  <c r="B90" i="1"/>
  <c r="A68" i="3"/>
  <c r="H68" i="3"/>
  <c r="A28" i="1"/>
  <c r="B28" i="1"/>
  <c r="A128" i="1"/>
  <c r="B128" i="1"/>
  <c r="C86" i="1"/>
  <c r="C109" i="1"/>
  <c r="A18" i="1"/>
  <c r="B18" i="1"/>
  <c r="A39" i="1"/>
  <c r="B39" i="1"/>
  <c r="A50" i="1"/>
  <c r="B50" i="1"/>
  <c r="A71" i="1"/>
  <c r="B71" i="1"/>
  <c r="A82" i="1"/>
  <c r="A104" i="1"/>
  <c r="B104" i="1"/>
  <c r="C37" i="1"/>
  <c r="C52" i="1"/>
  <c r="C58" i="1"/>
  <c r="C69" i="1"/>
  <c r="C135" i="1"/>
  <c r="C137" i="1"/>
  <c r="C153" i="1"/>
  <c r="A4" i="3"/>
  <c r="H4" i="3"/>
  <c r="A12" i="3"/>
  <c r="H12" i="3"/>
  <c r="A20" i="3"/>
  <c r="H20" i="3"/>
  <c r="A28" i="3"/>
  <c r="H28" i="3"/>
  <c r="A36" i="3"/>
  <c r="H36" i="3"/>
  <c r="A44" i="3"/>
  <c r="H44" i="3"/>
  <c r="C46" i="3"/>
  <c r="A52" i="3"/>
  <c r="H52" i="3"/>
  <c r="A60" i="3"/>
  <c r="H60" i="3"/>
  <c r="A125" i="3"/>
  <c r="H125" i="3"/>
  <c r="A135" i="3"/>
  <c r="H135" i="3"/>
  <c r="A10" i="1"/>
  <c r="B10" i="1"/>
  <c r="A31" i="1"/>
  <c r="B31" i="1"/>
  <c r="A42" i="1"/>
  <c r="B42" i="1"/>
  <c r="A63" i="1"/>
  <c r="B63" i="1"/>
  <c r="A74" i="1"/>
  <c r="B74" i="1"/>
  <c r="A96" i="1"/>
  <c r="B96" i="1"/>
  <c r="A109" i="1"/>
  <c r="B109" i="1"/>
  <c r="A120" i="1"/>
  <c r="B120" i="1"/>
  <c r="C8" i="1"/>
  <c r="C23" i="1"/>
  <c r="C49" i="1"/>
  <c r="C87" i="1"/>
  <c r="C36" i="2"/>
  <c r="C60" i="2"/>
  <c r="C49" i="3"/>
  <c r="A84" i="3"/>
  <c r="H84" i="3"/>
  <c r="A93" i="3"/>
  <c r="H93" i="3"/>
  <c r="A101" i="3"/>
  <c r="H101" i="3"/>
  <c r="A109" i="3"/>
  <c r="H109" i="3"/>
  <c r="A117" i="3"/>
  <c r="H117" i="3"/>
  <c r="C131" i="3"/>
  <c r="C52" i="3"/>
  <c r="A23" i="1"/>
  <c r="B23" i="1"/>
  <c r="A34" i="1"/>
  <c r="B34" i="1"/>
  <c r="A55" i="1"/>
  <c r="B55" i="1"/>
  <c r="A66" i="1"/>
  <c r="B66" i="1"/>
  <c r="A87" i="1"/>
  <c r="B87" i="1"/>
  <c r="A99" i="1"/>
  <c r="B99" i="1"/>
  <c r="A125" i="1"/>
  <c r="B125" i="1"/>
  <c r="A137" i="1"/>
  <c r="B137" i="1"/>
  <c r="C31" i="3"/>
  <c r="C63" i="3"/>
  <c r="C129" i="3"/>
  <c r="A24" i="1"/>
  <c r="B24" i="1"/>
  <c r="A36" i="1"/>
  <c r="B36" i="1"/>
  <c r="A56" i="1"/>
  <c r="B56" i="1"/>
  <c r="A68" i="1"/>
  <c r="B68" i="1"/>
  <c r="A88" i="1"/>
  <c r="B88" i="1"/>
  <c r="A101" i="1"/>
  <c r="B101" i="1"/>
  <c r="A112" i="1"/>
  <c r="B112" i="1"/>
  <c r="A138" i="1"/>
  <c r="B138" i="1"/>
  <c r="C36" i="1"/>
  <c r="C57" i="1"/>
  <c r="C88" i="1"/>
  <c r="C129" i="1"/>
  <c r="C134" i="1"/>
  <c r="C136" i="1"/>
  <c r="L62" i="10"/>
  <c r="K62" i="10"/>
  <c r="M62" i="10"/>
  <c r="J62" i="10"/>
  <c r="K160" i="10"/>
  <c r="L160" i="10"/>
  <c r="J160" i="10"/>
  <c r="B94" i="1"/>
  <c r="L59" i="10"/>
  <c r="J59" i="10"/>
  <c r="M59" i="10"/>
  <c r="K148" i="10"/>
  <c r="L148" i="10"/>
  <c r="M148" i="10"/>
  <c r="J148" i="10"/>
  <c r="B38" i="1"/>
  <c r="F169" i="10"/>
  <c r="I73" i="10"/>
  <c r="I77" i="10"/>
  <c r="I81" i="10"/>
  <c r="I85" i="10"/>
  <c r="I89" i="10"/>
  <c r="I74" i="10"/>
  <c r="I78" i="10"/>
  <c r="I82" i="10"/>
  <c r="I86" i="10"/>
  <c r="I71" i="10"/>
  <c r="I75" i="10"/>
  <c r="I79" i="10"/>
  <c r="I83" i="10"/>
  <c r="I87" i="10"/>
  <c r="I76" i="10"/>
  <c r="I88" i="10"/>
  <c r="I72" i="10"/>
  <c r="I80" i="10"/>
  <c r="B46" i="1"/>
  <c r="L84" i="10"/>
  <c r="K84" i="10"/>
  <c r="J84" i="10"/>
  <c r="L103" i="10"/>
  <c r="J103" i="10"/>
  <c r="I117" i="10"/>
  <c r="K103" i="10"/>
  <c r="K152" i="10"/>
  <c r="L152" i="10"/>
  <c r="B40" i="5"/>
  <c r="C46" i="1"/>
  <c r="M47" i="10"/>
  <c r="K47" i="10"/>
  <c r="H77" i="6"/>
  <c r="A3" i="5"/>
  <c r="A9" i="1"/>
  <c r="A11" i="5"/>
  <c r="A17" i="1"/>
  <c r="A19" i="5"/>
  <c r="A25" i="1"/>
  <c r="A27" i="5"/>
  <c r="A33" i="1"/>
  <c r="A35" i="5"/>
  <c r="A41" i="1"/>
  <c r="A43" i="5"/>
  <c r="A49" i="1"/>
  <c r="A51" i="5"/>
  <c r="A57" i="1"/>
  <c r="A59" i="5"/>
  <c r="A65" i="1"/>
  <c r="A67" i="5"/>
  <c r="A73" i="1"/>
  <c r="A67" i="3"/>
  <c r="H67" i="3"/>
  <c r="A75" i="5"/>
  <c r="A81" i="1"/>
  <c r="A75" i="3"/>
  <c r="H75" i="3"/>
  <c r="A83" i="5"/>
  <c r="A89" i="1"/>
  <c r="A92" i="5"/>
  <c r="A98" i="1"/>
  <c r="A100" i="5"/>
  <c r="A106" i="1"/>
  <c r="A108" i="5"/>
  <c r="A114" i="1"/>
  <c r="A116" i="5"/>
  <c r="A122" i="1"/>
  <c r="A124" i="5"/>
  <c r="A130" i="1"/>
  <c r="A134" i="5"/>
  <c r="G144" i="1"/>
  <c r="I144" i="1"/>
  <c r="H144" i="1"/>
  <c r="A140" i="1"/>
  <c r="A144" i="5"/>
  <c r="A150" i="1"/>
  <c r="A152" i="5"/>
  <c r="A158" i="1"/>
  <c r="B61" i="5"/>
  <c r="C67" i="1"/>
  <c r="K140" i="10"/>
  <c r="L140" i="10"/>
  <c r="K144" i="10"/>
  <c r="L144" i="10"/>
  <c r="B58" i="1"/>
  <c r="B139" i="5"/>
  <c r="C145" i="1"/>
  <c r="C139" i="3"/>
  <c r="L47" i="10"/>
  <c r="M99" i="10"/>
  <c r="J42" i="10"/>
  <c r="K42" i="10"/>
  <c r="J33" i="10"/>
  <c r="K33" i="10"/>
  <c r="M33" i="10"/>
  <c r="M37" i="10"/>
  <c r="K37" i="10"/>
  <c r="J140" i="10"/>
  <c r="J111" i="10"/>
  <c r="J95" i="10"/>
  <c r="J114" i="10"/>
  <c r="J115" i="10"/>
  <c r="D117" i="10"/>
  <c r="D170" i="10"/>
  <c r="K107" i="10"/>
  <c r="K91" i="10"/>
  <c r="K136" i="10"/>
  <c r="L136" i="10"/>
  <c r="C125" i="1"/>
  <c r="B119" i="5"/>
  <c r="C119" i="3"/>
  <c r="F173" i="10"/>
  <c r="F166" i="10"/>
  <c r="J68" i="10"/>
  <c r="C11" i="1"/>
  <c r="B50" i="5"/>
  <c r="C56" i="1"/>
  <c r="K65" i="10"/>
  <c r="K57" i="10"/>
  <c r="M64" i="10"/>
  <c r="M56" i="10"/>
  <c r="L68" i="10"/>
  <c r="L64" i="10"/>
  <c r="L60" i="10"/>
  <c r="L56" i="10"/>
  <c r="A115" i="1"/>
  <c r="A131" i="1"/>
  <c r="A151" i="1"/>
  <c r="A5" i="5"/>
  <c r="A11" i="1"/>
  <c r="A13" i="5"/>
  <c r="A19" i="1"/>
  <c r="A21" i="5"/>
  <c r="A27" i="1"/>
  <c r="A29" i="5"/>
  <c r="A35" i="1"/>
  <c r="A37" i="5"/>
  <c r="A43" i="1"/>
  <c r="A45" i="5"/>
  <c r="A51" i="1"/>
  <c r="B24" i="5"/>
  <c r="C30" i="1"/>
  <c r="B28" i="5"/>
  <c r="C34" i="1"/>
  <c r="B57" i="5"/>
  <c r="C63" i="1"/>
  <c r="B101" i="5"/>
  <c r="C107" i="1"/>
  <c r="D81" i="6"/>
  <c r="B16" i="5"/>
  <c r="C22" i="1"/>
  <c r="B20" i="5"/>
  <c r="C26" i="1"/>
  <c r="M120" i="10"/>
  <c r="K120" i="10"/>
  <c r="J120" i="10"/>
  <c r="B37" i="5"/>
  <c r="C43" i="1"/>
  <c r="B45" i="5"/>
  <c r="C51" i="1"/>
  <c r="B53" i="5"/>
  <c r="C59" i="1"/>
  <c r="B69" i="5"/>
  <c r="C75" i="1"/>
  <c r="B77" i="5"/>
  <c r="C83" i="1"/>
  <c r="B85" i="5"/>
  <c r="C91" i="1"/>
  <c r="B94" i="5"/>
  <c r="C100" i="1"/>
  <c r="B102" i="5"/>
  <c r="C108" i="1"/>
  <c r="B110" i="5"/>
  <c r="C116" i="1"/>
  <c r="B118" i="5"/>
  <c r="C124" i="1"/>
  <c r="B127" i="5"/>
  <c r="C133" i="1"/>
  <c r="C142" i="1"/>
  <c r="B136" i="5"/>
  <c r="B146" i="5"/>
  <c r="C152" i="1"/>
  <c r="J69" i="10"/>
  <c r="D77" i="6"/>
  <c r="H81" i="6"/>
  <c r="B12" i="5"/>
  <c r="C18" i="1"/>
  <c r="B95" i="5"/>
  <c r="C101" i="1"/>
  <c r="B105" i="5"/>
  <c r="C111" i="1"/>
  <c r="K126" i="10"/>
  <c r="J126" i="10"/>
  <c r="I50" i="10"/>
  <c r="I45" i="10"/>
  <c r="I41" i="10"/>
  <c r="I36" i="10"/>
  <c r="I32" i="10"/>
  <c r="M61" i="10"/>
  <c r="K69" i="10"/>
  <c r="I67" i="10"/>
  <c r="I63" i="10"/>
  <c r="D80" i="6"/>
  <c r="I157" i="10"/>
  <c r="I153" i="10"/>
  <c r="I149" i="10"/>
  <c r="I145" i="10"/>
  <c r="I141" i="10"/>
  <c r="A107" i="1"/>
  <c r="A123" i="1"/>
  <c r="A141" i="1"/>
  <c r="D78" i="6"/>
  <c r="B32" i="5"/>
  <c r="C38" i="1"/>
  <c r="B54" i="5"/>
  <c r="C60" i="1"/>
  <c r="B86" i="5"/>
  <c r="C92" i="1"/>
  <c r="M125" i="10"/>
  <c r="J125" i="10"/>
  <c r="K125" i="10"/>
  <c r="J119" i="10"/>
  <c r="K119" i="10"/>
  <c r="H80" i="6"/>
  <c r="C12" i="1"/>
  <c r="C16" i="1"/>
  <c r="C20" i="1"/>
  <c r="C24" i="1"/>
  <c r="C28" i="1"/>
  <c r="C32" i="1"/>
  <c r="B125" i="5"/>
  <c r="C131" i="1"/>
  <c r="J130" i="10"/>
  <c r="A59" i="1"/>
  <c r="A67" i="1"/>
  <c r="A75" i="1"/>
  <c r="A83" i="1"/>
  <c r="A91" i="1"/>
  <c r="A100" i="1"/>
  <c r="A108" i="1"/>
  <c r="A116" i="1"/>
  <c r="A124" i="1"/>
  <c r="A133" i="1"/>
  <c r="A142" i="1"/>
  <c r="A152" i="1"/>
  <c r="H78" i="6"/>
  <c r="C9" i="1"/>
  <c r="C13" i="1"/>
  <c r="C17" i="1"/>
  <c r="C21" i="1"/>
  <c r="C25" i="1"/>
  <c r="C29" i="1"/>
  <c r="C33" i="1"/>
  <c r="C40" i="1"/>
  <c r="C50" i="1"/>
  <c r="C68" i="1"/>
  <c r="C78" i="1"/>
  <c r="B72" i="5"/>
  <c r="B100" i="5"/>
  <c r="C106" i="1"/>
  <c r="C48" i="1"/>
  <c r="B74" i="5"/>
  <c r="C80" i="1"/>
  <c r="C117" i="1"/>
  <c r="B92" i="5"/>
  <c r="C98" i="1"/>
  <c r="C97" i="1"/>
  <c r="C105" i="1"/>
  <c r="B121" i="5"/>
  <c r="C127" i="1"/>
  <c r="C130" i="1"/>
  <c r="B148" i="5"/>
  <c r="C154" i="1"/>
  <c r="M54" i="10"/>
  <c r="K54" i="10"/>
  <c r="J54" i="10"/>
  <c r="C133" i="3"/>
  <c r="C139" i="1"/>
  <c r="B133" i="5"/>
  <c r="B78" i="5"/>
  <c r="C84" i="1"/>
  <c r="B84" i="5"/>
  <c r="C90" i="1"/>
  <c r="B135" i="5"/>
  <c r="C141" i="1"/>
  <c r="J18" i="10"/>
  <c r="K18" i="10"/>
  <c r="L18" i="10"/>
  <c r="M18" i="10"/>
  <c r="B98" i="5"/>
  <c r="C104" i="1"/>
  <c r="D17" i="26"/>
  <c r="B2" i="26"/>
  <c r="C39" i="1"/>
  <c r="C55" i="1"/>
  <c r="C72" i="1"/>
  <c r="B70" i="5"/>
  <c r="C76" i="1"/>
  <c r="C77" i="1"/>
  <c r="B120" i="5"/>
  <c r="C126" i="1"/>
  <c r="B87" i="5"/>
  <c r="C93" i="1"/>
  <c r="B96" i="5"/>
  <c r="C102" i="1"/>
  <c r="C113" i="1"/>
  <c r="B107" i="5"/>
  <c r="B149" i="5"/>
  <c r="C155" i="1"/>
  <c r="B145" i="5"/>
  <c r="C151" i="1"/>
  <c r="B83" i="5"/>
  <c r="C89" i="1"/>
  <c r="B114" i="5"/>
  <c r="C120" i="1"/>
  <c r="I52" i="10"/>
  <c r="F167" i="10"/>
  <c r="I53" i="10"/>
  <c r="B134" i="5"/>
  <c r="C140" i="1"/>
  <c r="B152" i="5"/>
  <c r="C158" i="1"/>
  <c r="M115" i="10"/>
  <c r="L115" i="10"/>
  <c r="K115" i="10"/>
  <c r="C146" i="1"/>
  <c r="B140" i="5"/>
  <c r="J2" i="10"/>
  <c r="K2" i="10"/>
  <c r="L2" i="10"/>
  <c r="B137" i="5"/>
  <c r="C137" i="3"/>
  <c r="C143" i="1"/>
  <c r="M121" i="10"/>
  <c r="J121" i="10"/>
  <c r="I71" i="25"/>
  <c r="C147" i="1"/>
  <c r="C148" i="1"/>
  <c r="M124" i="10"/>
  <c r="J124" i="10"/>
  <c r="K124" i="10"/>
  <c r="M118" i="10"/>
  <c r="J118" i="10"/>
  <c r="B144" i="5"/>
  <c r="C150" i="1"/>
  <c r="K123" i="10"/>
  <c r="M123" i="10"/>
  <c r="B151" i="5"/>
  <c r="B143" i="5"/>
  <c r="C149" i="1"/>
  <c r="J6" i="10"/>
  <c r="K6" i="10"/>
  <c r="L6" i="10"/>
  <c r="M6" i="10"/>
  <c r="L14" i="10"/>
  <c r="K16" i="26"/>
  <c r="B3" i="26"/>
  <c r="J22" i="10"/>
  <c r="K22" i="10"/>
  <c r="L22" i="10"/>
  <c r="M22" i="10"/>
  <c r="I3" i="10"/>
  <c r="I7" i="10"/>
  <c r="I11" i="10"/>
  <c r="I15" i="10"/>
  <c r="I19" i="10"/>
  <c r="I24" i="10"/>
  <c r="I4" i="10"/>
  <c r="I8" i="10"/>
  <c r="I12" i="10"/>
  <c r="I16" i="10"/>
  <c r="I20" i="10"/>
  <c r="I26" i="10"/>
  <c r="I25" i="10"/>
  <c r="I5" i="10"/>
  <c r="I9" i="10"/>
  <c r="I13" i="10"/>
  <c r="I17" i="10"/>
  <c r="I21" i="10"/>
  <c r="A133" i="3"/>
  <c r="H133" i="3"/>
  <c r="A139" i="1"/>
  <c r="A143" i="1"/>
  <c r="A137" i="3"/>
  <c r="H137" i="3"/>
  <c r="G95" i="1"/>
  <c r="I95" i="1"/>
  <c r="H95" i="1"/>
  <c r="C14" i="1"/>
  <c r="C4" i="3"/>
  <c r="C29" i="3"/>
  <c r="B115" i="5"/>
  <c r="B48" i="5"/>
  <c r="C8" i="3"/>
  <c r="B41" i="5"/>
  <c r="C60" i="3"/>
  <c r="G94" i="1"/>
  <c r="C36" i="3"/>
  <c r="M156" i="10"/>
  <c r="J156" i="10"/>
  <c r="K156" i="10"/>
  <c r="M147" i="10"/>
  <c r="J147" i="10"/>
  <c r="K147" i="10"/>
  <c r="L147" i="10"/>
  <c r="M139" i="10"/>
  <c r="J139" i="10"/>
  <c r="K139" i="10"/>
  <c r="L139" i="10"/>
  <c r="J154" i="10"/>
  <c r="K154" i="10"/>
  <c r="M154" i="10"/>
  <c r="L154" i="10"/>
  <c r="K146" i="10"/>
  <c r="M146" i="10"/>
  <c r="L146" i="10"/>
  <c r="J146" i="10"/>
  <c r="M135" i="10"/>
  <c r="K135" i="10"/>
  <c r="L135" i="10"/>
  <c r="J135" i="10"/>
  <c r="L150" i="10"/>
  <c r="J150" i="10"/>
  <c r="K150" i="10"/>
  <c r="M150" i="10"/>
  <c r="M132" i="10"/>
  <c r="G134" i="10"/>
  <c r="E172" i="10"/>
  <c r="J132" i="10"/>
  <c r="D134" i="10"/>
  <c r="D172" i="10"/>
  <c r="K132" i="10"/>
  <c r="E134" i="10"/>
  <c r="B172" i="10"/>
  <c r="B23" i="17"/>
  <c r="L132" i="10"/>
  <c r="F134" i="10"/>
  <c r="C172" i="10"/>
  <c r="B22" i="17"/>
  <c r="M128" i="10"/>
  <c r="J128" i="10"/>
  <c r="K128" i="10"/>
  <c r="L128" i="10"/>
  <c r="I131" i="10"/>
  <c r="K118" i="10"/>
  <c r="K122" i="10"/>
  <c r="K127" i="10"/>
  <c r="E131" i="10"/>
  <c r="B171" i="10"/>
  <c r="L118" i="10"/>
  <c r="L122" i="10"/>
  <c r="M122" i="10"/>
  <c r="J122" i="10"/>
  <c r="J127" i="10"/>
  <c r="M127" i="10"/>
  <c r="G131" i="10"/>
  <c r="E171" i="10"/>
  <c r="L127" i="10"/>
  <c r="G117" i="10"/>
  <c r="E170" i="10"/>
  <c r="F117" i="10"/>
  <c r="C170" i="10"/>
  <c r="M58" i="10"/>
  <c r="K58" i="10"/>
  <c r="M60" i="10"/>
  <c r="K60" i="10"/>
  <c r="J60" i="10"/>
  <c r="J58" i="10"/>
  <c r="M68" i="10"/>
  <c r="K68" i="10"/>
  <c r="K66" i="10"/>
  <c r="J57" i="10"/>
  <c r="L57" i="10"/>
  <c r="M57" i="10"/>
  <c r="J66" i="10"/>
  <c r="J65" i="10"/>
  <c r="L65" i="10"/>
  <c r="M65" i="10"/>
  <c r="M63" i="10"/>
  <c r="M67" i="10"/>
  <c r="M69" i="10"/>
  <c r="G70" i="10"/>
  <c r="E168" i="10"/>
  <c r="K61" i="10"/>
  <c r="L61" i="10"/>
  <c r="J61" i="10"/>
  <c r="L66" i="10"/>
  <c r="L69" i="10"/>
  <c r="K14" i="10"/>
  <c r="J14" i="10"/>
  <c r="G132" i="1"/>
  <c r="M42" i="10"/>
  <c r="K29" i="10"/>
  <c r="M40" i="10"/>
  <c r="L40" i="10"/>
  <c r="K40" i="10"/>
  <c r="J40" i="10"/>
  <c r="M34" i="10"/>
  <c r="K34" i="10"/>
  <c r="J34" i="10"/>
  <c r="L34" i="10"/>
  <c r="M29" i="10"/>
  <c r="M31" i="10"/>
  <c r="K31" i="10"/>
  <c r="L31" i="10"/>
  <c r="J31" i="10"/>
  <c r="J38" i="10"/>
  <c r="L38" i="10"/>
  <c r="M38" i="10"/>
  <c r="K38" i="10"/>
  <c r="M43" i="10"/>
  <c r="K43" i="10"/>
  <c r="J43" i="10"/>
  <c r="L43" i="10"/>
  <c r="M44" i="10"/>
  <c r="K44" i="10"/>
  <c r="L44" i="10"/>
  <c r="J44" i="10"/>
  <c r="I51" i="10"/>
  <c r="M35" i="10"/>
  <c r="J35" i="10"/>
  <c r="K35" i="10"/>
  <c r="L35" i="10"/>
  <c r="M49" i="10"/>
  <c r="J49" i="10"/>
  <c r="K49" i="10"/>
  <c r="L49" i="10"/>
  <c r="L29" i="10"/>
  <c r="J30" i="10"/>
  <c r="K30" i="10"/>
  <c r="L30" i="10"/>
  <c r="M30" i="10"/>
  <c r="K48" i="10"/>
  <c r="M48" i="10"/>
  <c r="L48" i="10"/>
  <c r="J48" i="10"/>
  <c r="L37" i="10"/>
  <c r="J37" i="10"/>
  <c r="M28" i="10"/>
  <c r="K28" i="10"/>
  <c r="J28" i="10"/>
  <c r="L28" i="10"/>
  <c r="J10" i="10"/>
  <c r="K10" i="10"/>
  <c r="L10" i="10"/>
  <c r="M10" i="10"/>
  <c r="C48" i="3"/>
  <c r="C115" i="3"/>
  <c r="C121" i="1"/>
  <c r="G58" i="1"/>
  <c r="C41" i="3"/>
  <c r="C47" i="1"/>
  <c r="C54" i="1"/>
  <c r="C35" i="1"/>
  <c r="C10" i="1"/>
  <c r="B4" i="5"/>
  <c r="B29" i="5"/>
  <c r="G64" i="1"/>
  <c r="G60" i="1"/>
  <c r="I60" i="1"/>
  <c r="H60" i="1"/>
  <c r="B36" i="5"/>
  <c r="G138" i="1"/>
  <c r="I138" i="1"/>
  <c r="H138" i="1"/>
  <c r="G82" i="1"/>
  <c r="G56" i="1"/>
  <c r="I56" i="1"/>
  <c r="H56" i="1"/>
  <c r="G44" i="1"/>
  <c r="I44" i="1"/>
  <c r="H44" i="1"/>
  <c r="G48" i="1"/>
  <c r="G38" i="1"/>
  <c r="G121" i="1"/>
  <c r="I121" i="1"/>
  <c r="H121" i="1"/>
  <c r="G24" i="1"/>
  <c r="I24" i="1"/>
  <c r="H24" i="1"/>
  <c r="G101" i="1"/>
  <c r="I101" i="1"/>
  <c r="H101" i="1"/>
  <c r="G28" i="1"/>
  <c r="I28" i="1"/>
  <c r="H28" i="1"/>
  <c r="G113" i="1"/>
  <c r="B82" i="1"/>
  <c r="G99" i="1"/>
  <c r="I99" i="1"/>
  <c r="H99" i="1"/>
  <c r="G72" i="1"/>
  <c r="G40" i="1"/>
  <c r="I40" i="1"/>
  <c r="H40" i="1"/>
  <c r="G145" i="1"/>
  <c r="G16" i="1"/>
  <c r="G90" i="1"/>
  <c r="G148" i="1"/>
  <c r="G117" i="1"/>
  <c r="G92" i="1"/>
  <c r="I92" i="1"/>
  <c r="H92" i="1"/>
  <c r="G20" i="1"/>
  <c r="I20" i="1"/>
  <c r="H20" i="1"/>
  <c r="G22" i="1"/>
  <c r="I22" i="1"/>
  <c r="H22" i="1"/>
  <c r="G32" i="1"/>
  <c r="I32" i="1"/>
  <c r="H32" i="1"/>
  <c r="G129" i="1"/>
  <c r="I129" i="1"/>
  <c r="H129" i="1"/>
  <c r="C66" i="1"/>
  <c r="G157" i="1"/>
  <c r="G111" i="1"/>
  <c r="G52" i="1"/>
  <c r="I52" i="1"/>
  <c r="H52" i="1"/>
  <c r="G18" i="1"/>
  <c r="I18" i="1"/>
  <c r="H18" i="1"/>
  <c r="G84" i="1"/>
  <c r="G12" i="1"/>
  <c r="G26" i="1"/>
  <c r="I26" i="1"/>
  <c r="H26" i="1"/>
  <c r="G62" i="1"/>
  <c r="G105" i="1"/>
  <c r="I105" i="1"/>
  <c r="H105" i="1"/>
  <c r="G127" i="1"/>
  <c r="G46" i="1"/>
  <c r="I46" i="1"/>
  <c r="H46" i="1"/>
  <c r="B60" i="5"/>
  <c r="G153" i="1"/>
  <c r="G88" i="1"/>
  <c r="G76" i="1"/>
  <c r="G119" i="1"/>
  <c r="G134" i="1"/>
  <c r="G36" i="1"/>
  <c r="I36" i="1"/>
  <c r="H36" i="1"/>
  <c r="C42" i="1"/>
  <c r="G147" i="1"/>
  <c r="G80" i="1"/>
  <c r="I80" i="1"/>
  <c r="H80" i="1"/>
  <c r="G8" i="1"/>
  <c r="G68" i="1"/>
  <c r="G103" i="1"/>
  <c r="G112" i="1"/>
  <c r="G30" i="1"/>
  <c r="B4" i="26"/>
  <c r="K5" i="10"/>
  <c r="L5" i="10"/>
  <c r="M5" i="10"/>
  <c r="J5" i="10"/>
  <c r="B19" i="1"/>
  <c r="G19" i="1"/>
  <c r="K89" i="10"/>
  <c r="M89" i="10"/>
  <c r="L89" i="10"/>
  <c r="J89" i="10"/>
  <c r="E5" i="1"/>
  <c r="L67" i="10"/>
  <c r="J67" i="10"/>
  <c r="K67" i="10"/>
  <c r="M75" i="10"/>
  <c r="L75" i="10"/>
  <c r="K75" i="10"/>
  <c r="J75" i="10"/>
  <c r="K81" i="10"/>
  <c r="M81" i="10"/>
  <c r="L81" i="10"/>
  <c r="J81" i="10"/>
  <c r="K20" i="10"/>
  <c r="L20" i="10"/>
  <c r="M20" i="10"/>
  <c r="J20" i="10"/>
  <c r="J11" i="10"/>
  <c r="L11" i="10"/>
  <c r="M11" i="10"/>
  <c r="K11" i="10"/>
  <c r="D131" i="10"/>
  <c r="D171" i="10"/>
  <c r="C15" i="25"/>
  <c r="C202" i="1"/>
  <c r="K22" i="1"/>
  <c r="D14" i="1"/>
  <c r="C7" i="25"/>
  <c r="C194" i="1"/>
  <c r="K14" i="1"/>
  <c r="D92" i="1"/>
  <c r="C14" i="25"/>
  <c r="C201" i="1"/>
  <c r="K21" i="1"/>
  <c r="D20" i="1"/>
  <c r="C6" i="25"/>
  <c r="C193" i="1"/>
  <c r="K13" i="1"/>
  <c r="D68" i="1"/>
  <c r="C20" i="25"/>
  <c r="C208" i="1"/>
  <c r="C12" i="25"/>
  <c r="C199" i="1"/>
  <c r="K19" i="1"/>
  <c r="D105" i="1"/>
  <c r="C4" i="25"/>
  <c r="C191" i="1"/>
  <c r="K11" i="1"/>
  <c r="C18" i="25"/>
  <c r="C206" i="1"/>
  <c r="C10" i="25"/>
  <c r="C197" i="1"/>
  <c r="K17" i="1"/>
  <c r="C2" i="25"/>
  <c r="C189" i="1"/>
  <c r="K9" i="1"/>
  <c r="D55" i="1"/>
  <c r="C13" i="25"/>
  <c r="C200" i="1"/>
  <c r="K20" i="1"/>
  <c r="D17" i="1"/>
  <c r="C11" i="25"/>
  <c r="C198" i="1"/>
  <c r="K18" i="1"/>
  <c r="D78" i="1"/>
  <c r="C8" i="25"/>
  <c r="C195" i="1"/>
  <c r="K15" i="1"/>
  <c r="D107" i="1"/>
  <c r="C21" i="25"/>
  <c r="C209" i="1"/>
  <c r="K28" i="1"/>
  <c r="D21" i="1"/>
  <c r="C5" i="25"/>
  <c r="C192" i="1"/>
  <c r="K12" i="1"/>
  <c r="D58" i="1"/>
  <c r="C19" i="25"/>
  <c r="C207" i="1"/>
  <c r="K26" i="1"/>
  <c r="C17" i="25"/>
  <c r="C204" i="1"/>
  <c r="K24" i="1"/>
  <c r="D102" i="1"/>
  <c r="C16" i="25"/>
  <c r="C203" i="1"/>
  <c r="K23" i="1"/>
  <c r="D155" i="1"/>
  <c r="C9" i="25"/>
  <c r="C196" i="1"/>
  <c r="K16" i="1"/>
  <c r="D9" i="1"/>
  <c r="C3" i="25"/>
  <c r="C190" i="1"/>
  <c r="K10" i="1"/>
  <c r="D28" i="1"/>
  <c r="G142" i="1"/>
  <c r="I142" i="1"/>
  <c r="H142" i="1"/>
  <c r="B142" i="1"/>
  <c r="B75" i="1"/>
  <c r="G75" i="1"/>
  <c r="I75" i="1"/>
  <c r="H75" i="1"/>
  <c r="M153" i="10"/>
  <c r="J153" i="10"/>
  <c r="L153" i="10"/>
  <c r="K153" i="10"/>
  <c r="D91" i="1"/>
  <c r="L63" i="10"/>
  <c r="F70" i="10"/>
  <c r="C168" i="10"/>
  <c r="G158" i="1"/>
  <c r="I158" i="1"/>
  <c r="H158" i="1"/>
  <c r="B158" i="1"/>
  <c r="G122" i="1"/>
  <c r="B122" i="1"/>
  <c r="G89" i="1"/>
  <c r="I89" i="1"/>
  <c r="H89" i="1"/>
  <c r="B89" i="1"/>
  <c r="B65" i="1"/>
  <c r="G65" i="1"/>
  <c r="B33" i="1"/>
  <c r="G33" i="1"/>
  <c r="G14" i="1"/>
  <c r="I14" i="1"/>
  <c r="H14" i="1"/>
  <c r="K80" i="10"/>
  <c r="L80" i="10"/>
  <c r="J80" i="10"/>
  <c r="M80" i="10"/>
  <c r="I90" i="10"/>
  <c r="M71" i="10"/>
  <c r="K71" i="10"/>
  <c r="J71" i="10"/>
  <c r="L71" i="10"/>
  <c r="M77" i="10"/>
  <c r="L77" i="10"/>
  <c r="J77" i="10"/>
  <c r="K77" i="10"/>
  <c r="G78" i="1"/>
  <c r="I78" i="1"/>
  <c r="H78" i="1"/>
  <c r="M145" i="10"/>
  <c r="L145" i="10"/>
  <c r="K145" i="10"/>
  <c r="J145" i="10"/>
  <c r="J63" i="10"/>
  <c r="L70" i="10"/>
  <c r="K63" i="10"/>
  <c r="K50" i="10"/>
  <c r="M50" i="10"/>
  <c r="J50" i="10"/>
  <c r="L50" i="10"/>
  <c r="J15" i="10"/>
  <c r="K15" i="10"/>
  <c r="L15" i="10"/>
  <c r="M15" i="10"/>
  <c r="B83" i="1"/>
  <c r="G83" i="1"/>
  <c r="I83" i="1"/>
  <c r="H83" i="1"/>
  <c r="K21" i="10"/>
  <c r="L21" i="10"/>
  <c r="M21" i="10"/>
  <c r="J21" i="10"/>
  <c r="K16" i="10"/>
  <c r="L16" i="10"/>
  <c r="M16" i="10"/>
  <c r="J16" i="10"/>
  <c r="J7" i="10"/>
  <c r="K7" i="10"/>
  <c r="L7" i="10"/>
  <c r="M7" i="10"/>
  <c r="D89" i="1"/>
  <c r="G133" i="1"/>
  <c r="B133" i="1"/>
  <c r="B67" i="1"/>
  <c r="G67" i="1"/>
  <c r="I67" i="1"/>
  <c r="H67" i="1"/>
  <c r="M157" i="10"/>
  <c r="J157" i="10"/>
  <c r="L157" i="10"/>
  <c r="K157" i="10"/>
  <c r="G97" i="1"/>
  <c r="I97" i="1"/>
  <c r="H97" i="1"/>
  <c r="D34" i="1"/>
  <c r="B35" i="1"/>
  <c r="G35" i="1"/>
  <c r="I35" i="1"/>
  <c r="H35" i="1"/>
  <c r="G151" i="1"/>
  <c r="B151" i="1"/>
  <c r="G74" i="1"/>
  <c r="G42" i="1"/>
  <c r="I42" i="1"/>
  <c r="H42" i="1"/>
  <c r="G10" i="1"/>
  <c r="I10" i="1"/>
  <c r="H10" i="1"/>
  <c r="G149" i="1"/>
  <c r="I149" i="1"/>
  <c r="H149" i="1"/>
  <c r="G136" i="1"/>
  <c r="I136" i="1"/>
  <c r="H136" i="1"/>
  <c r="G70" i="1"/>
  <c r="G86" i="1"/>
  <c r="I86" i="1"/>
  <c r="H86" i="1"/>
  <c r="J72" i="10"/>
  <c r="K72" i="10"/>
  <c r="L72" i="10"/>
  <c r="M72" i="10"/>
  <c r="K86" i="10"/>
  <c r="J86" i="10"/>
  <c r="M86" i="10"/>
  <c r="L86" i="10"/>
  <c r="K73" i="10"/>
  <c r="J73" i="10"/>
  <c r="M73" i="10"/>
  <c r="L73" i="10"/>
  <c r="D16" i="1"/>
  <c r="M83" i="10"/>
  <c r="K83" i="10"/>
  <c r="J83" i="10"/>
  <c r="L83" i="10"/>
  <c r="G143" i="1"/>
  <c r="I143" i="1"/>
  <c r="H143" i="1"/>
  <c r="B143" i="1"/>
  <c r="K25" i="10"/>
  <c r="J25" i="10"/>
  <c r="M25" i="10"/>
  <c r="L25" i="10"/>
  <c r="J19" i="10"/>
  <c r="K19" i="10"/>
  <c r="L19" i="10"/>
  <c r="M19" i="10"/>
  <c r="K52" i="10"/>
  <c r="J52" i="10"/>
  <c r="M52" i="10"/>
  <c r="L52" i="10"/>
  <c r="G98" i="1"/>
  <c r="B98" i="1"/>
  <c r="B41" i="1"/>
  <c r="G41" i="1"/>
  <c r="I41" i="1"/>
  <c r="H41" i="1"/>
  <c r="J26" i="10"/>
  <c r="K26" i="10"/>
  <c r="L26" i="10"/>
  <c r="M26" i="10"/>
  <c r="B43" i="1"/>
  <c r="G43" i="1"/>
  <c r="B11" i="1"/>
  <c r="G11" i="1"/>
  <c r="G50" i="1"/>
  <c r="K17" i="10"/>
  <c r="L17" i="10"/>
  <c r="M17" i="10"/>
  <c r="J17" i="10"/>
  <c r="K12" i="10"/>
  <c r="L12" i="10"/>
  <c r="M12" i="10"/>
  <c r="J12" i="10"/>
  <c r="J3" i="10"/>
  <c r="K3" i="10"/>
  <c r="M3" i="10"/>
  <c r="L3" i="10"/>
  <c r="I27" i="10"/>
  <c r="D140" i="1"/>
  <c r="G124" i="1"/>
  <c r="B124" i="1"/>
  <c r="B59" i="1"/>
  <c r="G59" i="1"/>
  <c r="G141" i="1"/>
  <c r="B141" i="1"/>
  <c r="K32" i="10"/>
  <c r="M32" i="10"/>
  <c r="J32" i="10"/>
  <c r="L32" i="10"/>
  <c r="G131" i="1"/>
  <c r="B131" i="1"/>
  <c r="E117" i="10"/>
  <c r="B170" i="10"/>
  <c r="G150" i="1"/>
  <c r="I150" i="1"/>
  <c r="H150" i="1"/>
  <c r="B150" i="1"/>
  <c r="G114" i="1"/>
  <c r="I114" i="1"/>
  <c r="H114" i="1"/>
  <c r="B114" i="1"/>
  <c r="B57" i="1"/>
  <c r="G57" i="1"/>
  <c r="I57" i="1"/>
  <c r="H57" i="1"/>
  <c r="B25" i="1"/>
  <c r="G25" i="1"/>
  <c r="I25" i="1"/>
  <c r="H25" i="1"/>
  <c r="J88" i="10"/>
  <c r="M88" i="10"/>
  <c r="L88" i="10"/>
  <c r="K88" i="10"/>
  <c r="K82" i="10"/>
  <c r="J82" i="10"/>
  <c r="M82" i="10"/>
  <c r="L82" i="10"/>
  <c r="D50" i="1"/>
  <c r="B100" i="1"/>
  <c r="G100" i="1"/>
  <c r="I100" i="1"/>
  <c r="H100" i="1"/>
  <c r="B51" i="1"/>
  <c r="G51" i="1"/>
  <c r="I51" i="1"/>
  <c r="H51" i="1"/>
  <c r="D141" i="1"/>
  <c r="B91" i="1"/>
  <c r="G91" i="1"/>
  <c r="I91" i="1"/>
  <c r="H91" i="1"/>
  <c r="F174" i="10"/>
  <c r="G169" i="10"/>
  <c r="G130" i="1"/>
  <c r="B130" i="1"/>
  <c r="K13" i="10"/>
  <c r="L13" i="10"/>
  <c r="M13" i="10"/>
  <c r="J13" i="10"/>
  <c r="J8" i="10"/>
  <c r="K8" i="10"/>
  <c r="M8" i="10"/>
  <c r="L8" i="10"/>
  <c r="K3" i="23"/>
  <c r="D154" i="1"/>
  <c r="G116" i="1"/>
  <c r="B116" i="1"/>
  <c r="G123" i="1"/>
  <c r="B123" i="1"/>
  <c r="M36" i="10"/>
  <c r="K36" i="10"/>
  <c r="L36" i="10"/>
  <c r="J36" i="10"/>
  <c r="B27" i="1"/>
  <c r="G27" i="1"/>
  <c r="I27" i="1"/>
  <c r="H27" i="1"/>
  <c r="G115" i="1"/>
  <c r="I115" i="1"/>
  <c r="H115" i="1"/>
  <c r="B115" i="1"/>
  <c r="G128" i="1"/>
  <c r="I128" i="1"/>
  <c r="H128" i="1"/>
  <c r="G125" i="1"/>
  <c r="G109" i="1"/>
  <c r="G66" i="1"/>
  <c r="I66" i="1"/>
  <c r="H66" i="1"/>
  <c r="G34" i="1"/>
  <c r="G81" i="1"/>
  <c r="I81" i="1"/>
  <c r="H81" i="1"/>
  <c r="B81" i="1"/>
  <c r="G54" i="1"/>
  <c r="I54" i="1"/>
  <c r="H54" i="1"/>
  <c r="M76" i="10"/>
  <c r="L76" i="10"/>
  <c r="K76" i="10"/>
  <c r="J76" i="10"/>
  <c r="K78" i="10"/>
  <c r="J78" i="10"/>
  <c r="M78" i="10"/>
  <c r="L78" i="10"/>
  <c r="G155" i="1"/>
  <c r="J24" i="10"/>
  <c r="K24" i="10"/>
  <c r="L24" i="10"/>
  <c r="M24" i="10"/>
  <c r="D106" i="1"/>
  <c r="M141" i="10"/>
  <c r="J141" i="10"/>
  <c r="L141" i="10"/>
  <c r="I161" i="10"/>
  <c r="K141" i="10"/>
  <c r="K149" i="10"/>
  <c r="E161" i="10"/>
  <c r="M45" i="10"/>
  <c r="L45" i="10"/>
  <c r="K45" i="10"/>
  <c r="J45" i="10"/>
  <c r="G73" i="1"/>
  <c r="B73" i="1"/>
  <c r="B9" i="1"/>
  <c r="G9" i="1"/>
  <c r="I9" i="1"/>
  <c r="H9" i="1"/>
  <c r="M79" i="10"/>
  <c r="K79" i="10"/>
  <c r="J79" i="10"/>
  <c r="L79" i="10"/>
  <c r="M85" i="10"/>
  <c r="L85" i="10"/>
  <c r="K85" i="10"/>
  <c r="J85" i="10"/>
  <c r="B139" i="1"/>
  <c r="G139" i="1"/>
  <c r="I139" i="1"/>
  <c r="H139" i="1"/>
  <c r="G152" i="1"/>
  <c r="I152" i="1"/>
  <c r="H152" i="1"/>
  <c r="B152" i="1"/>
  <c r="M149" i="10"/>
  <c r="J149" i="10"/>
  <c r="L149" i="10"/>
  <c r="K9" i="10"/>
  <c r="L9" i="10"/>
  <c r="M9" i="10"/>
  <c r="J9" i="10"/>
  <c r="K4" i="10"/>
  <c r="L4" i="10"/>
  <c r="M4" i="10"/>
  <c r="J4" i="10"/>
  <c r="M53" i="10"/>
  <c r="J53" i="10"/>
  <c r="K53" i="10"/>
  <c r="L53" i="10"/>
  <c r="G108" i="1"/>
  <c r="I108" i="1"/>
  <c r="H108" i="1"/>
  <c r="B108" i="1"/>
  <c r="G107" i="1"/>
  <c r="B107" i="1"/>
  <c r="K41" i="10"/>
  <c r="M41" i="10"/>
  <c r="J41" i="10"/>
  <c r="L41" i="10"/>
  <c r="I70" i="10"/>
  <c r="G140" i="1"/>
  <c r="B140" i="1"/>
  <c r="G106" i="1"/>
  <c r="B106" i="1"/>
  <c r="G154" i="1"/>
  <c r="I154" i="1"/>
  <c r="H154" i="1"/>
  <c r="G135" i="1"/>
  <c r="I135" i="1"/>
  <c r="H135" i="1"/>
  <c r="G118" i="1"/>
  <c r="G102" i="1"/>
  <c r="I102" i="1"/>
  <c r="H102" i="1"/>
  <c r="G93" i="1"/>
  <c r="I93" i="1"/>
  <c r="H93" i="1"/>
  <c r="G85" i="1"/>
  <c r="G77" i="1"/>
  <c r="G69" i="1"/>
  <c r="G61" i="1"/>
  <c r="I61" i="1"/>
  <c r="H61" i="1"/>
  <c r="G53" i="1"/>
  <c r="G45" i="1"/>
  <c r="G37" i="1"/>
  <c r="G29" i="1"/>
  <c r="G21" i="1"/>
  <c r="I21" i="1"/>
  <c r="H21" i="1"/>
  <c r="G13" i="1"/>
  <c r="I13" i="1"/>
  <c r="H13" i="1"/>
  <c r="G146" i="1"/>
  <c r="I146" i="1"/>
  <c r="H146" i="1"/>
  <c r="G126" i="1"/>
  <c r="I126" i="1"/>
  <c r="H126" i="1"/>
  <c r="G110" i="1"/>
  <c r="B6" i="17"/>
  <c r="G120" i="1"/>
  <c r="G71" i="1"/>
  <c r="G47" i="1"/>
  <c r="I47" i="1"/>
  <c r="H47" i="1"/>
  <c r="G15" i="1"/>
  <c r="G96" i="1"/>
  <c r="I96" i="1"/>
  <c r="H96" i="1"/>
  <c r="G63" i="1"/>
  <c r="I63" i="1"/>
  <c r="H63" i="1"/>
  <c r="G31" i="1"/>
  <c r="I31" i="1"/>
  <c r="H31" i="1"/>
  <c r="G39" i="1"/>
  <c r="G137" i="1"/>
  <c r="I137" i="1"/>
  <c r="H137" i="1"/>
  <c r="G87" i="1"/>
  <c r="G104" i="1"/>
  <c r="I104" i="1"/>
  <c r="H104" i="1"/>
  <c r="G79" i="1"/>
  <c r="G55" i="1"/>
  <c r="G23" i="1"/>
  <c r="I23" i="1"/>
  <c r="H23" i="1"/>
  <c r="G156" i="1"/>
  <c r="I156" i="1"/>
  <c r="H156" i="1"/>
  <c r="B49" i="1"/>
  <c r="G49" i="1"/>
  <c r="B17" i="1"/>
  <c r="G17" i="1"/>
  <c r="I17" i="1"/>
  <c r="H17" i="1"/>
  <c r="M87" i="10"/>
  <c r="L87" i="10"/>
  <c r="K87" i="10"/>
  <c r="J87" i="10"/>
  <c r="K74" i="10"/>
  <c r="J74" i="10"/>
  <c r="L74" i="10"/>
  <c r="M74" i="10"/>
  <c r="K27" i="1"/>
  <c r="D60" i="1"/>
  <c r="D151" i="1"/>
  <c r="I64" i="1"/>
  <c r="H64" i="1"/>
  <c r="I33" i="1"/>
  <c r="H33" i="1"/>
  <c r="I11" i="1"/>
  <c r="H11" i="1"/>
  <c r="I127" i="1"/>
  <c r="H127" i="1"/>
  <c r="I111" i="1"/>
  <c r="H111" i="1"/>
  <c r="I65" i="1"/>
  <c r="H65" i="1"/>
  <c r="I34" i="1"/>
  <c r="H34" i="1"/>
  <c r="I85" i="1"/>
  <c r="H85" i="1"/>
  <c r="I124" i="1"/>
  <c r="H124" i="1"/>
  <c r="I155" i="1"/>
  <c r="H155" i="1"/>
  <c r="I73" i="1"/>
  <c r="H73" i="1"/>
  <c r="D47" i="1"/>
  <c r="D161" i="10"/>
  <c r="F161" i="10"/>
  <c r="C173" i="10"/>
  <c r="F131" i="10"/>
  <c r="C171" i="10"/>
  <c r="D104" i="1"/>
  <c r="D97" i="23"/>
  <c r="D142" i="1"/>
  <c r="D134" i="23"/>
  <c r="D146" i="1"/>
  <c r="D137" i="3"/>
  <c r="D75" i="1"/>
  <c r="F75" i="1"/>
  <c r="D113" i="1"/>
  <c r="D10" i="1"/>
  <c r="D4" i="23"/>
  <c r="D25" i="1"/>
  <c r="D51" i="1"/>
  <c r="D26" i="1"/>
  <c r="D152" i="1"/>
  <c r="D67" i="1"/>
  <c r="F67" i="1"/>
  <c r="D144" i="1"/>
  <c r="F144" i="1"/>
  <c r="E144" i="1"/>
  <c r="I58" i="1"/>
  <c r="H58" i="1"/>
  <c r="I132" i="1"/>
  <c r="H132" i="1"/>
  <c r="D63" i="1"/>
  <c r="D132" i="1"/>
  <c r="F132" i="1"/>
  <c r="E132" i="1"/>
  <c r="D84" i="1"/>
  <c r="D130" i="1"/>
  <c r="D59" i="1"/>
  <c r="D40" i="1"/>
  <c r="D158" i="1"/>
  <c r="D143" i="1"/>
  <c r="F143" i="1"/>
  <c r="E143" i="1"/>
  <c r="C135" i="23"/>
  <c r="E135" i="23"/>
  <c r="G135" i="23"/>
  <c r="D24" i="1"/>
  <c r="D18" i="23"/>
  <c r="D66" i="1"/>
  <c r="D60" i="3"/>
  <c r="D43" i="1"/>
  <c r="D13" i="1"/>
  <c r="D29" i="1"/>
  <c r="D139" i="1"/>
  <c r="D131" i="23"/>
  <c r="D95" i="1"/>
  <c r="F95" i="1"/>
  <c r="E95" i="1"/>
  <c r="D48" i="1"/>
  <c r="D127" i="1"/>
  <c r="D93" i="1"/>
  <c r="I74" i="1"/>
  <c r="H74" i="1"/>
  <c r="D111" i="1"/>
  <c r="D148" i="1"/>
  <c r="D56" i="1"/>
  <c r="D126" i="1"/>
  <c r="I134" i="1"/>
  <c r="H134" i="1"/>
  <c r="D101" i="1"/>
  <c r="I131" i="1"/>
  <c r="H131" i="1"/>
  <c r="D80" i="1"/>
  <c r="I55" i="1"/>
  <c r="H55" i="1"/>
  <c r="I79" i="1"/>
  <c r="H79" i="1"/>
  <c r="I77" i="1"/>
  <c r="H77" i="1"/>
  <c r="I106" i="1"/>
  <c r="H106" i="1"/>
  <c r="I123" i="1"/>
  <c r="H123" i="1"/>
  <c r="I68" i="1"/>
  <c r="H68" i="1"/>
  <c r="D77" i="1"/>
  <c r="D120" i="1"/>
  <c r="I119" i="1"/>
  <c r="H119" i="1"/>
  <c r="D38" i="1"/>
  <c r="D30" i="1"/>
  <c r="D117" i="1"/>
  <c r="D83" i="1"/>
  <c r="I141" i="1"/>
  <c r="H141" i="1"/>
  <c r="I70" i="1"/>
  <c r="H70" i="1"/>
  <c r="I151" i="1"/>
  <c r="H151" i="1"/>
  <c r="I112" i="1"/>
  <c r="H112" i="1"/>
  <c r="I69" i="1"/>
  <c r="H69" i="1"/>
  <c r="I103" i="1"/>
  <c r="H103" i="1"/>
  <c r="I90" i="1"/>
  <c r="H90" i="1"/>
  <c r="D35" i="1"/>
  <c r="I15" i="1"/>
  <c r="H15" i="1"/>
  <c r="I87" i="1"/>
  <c r="H87" i="1"/>
  <c r="I71" i="1"/>
  <c r="H71" i="1"/>
  <c r="I29" i="1"/>
  <c r="H29" i="1"/>
  <c r="I140" i="1"/>
  <c r="H140" i="1"/>
  <c r="D76" i="1"/>
  <c r="I109" i="1"/>
  <c r="H109" i="1"/>
  <c r="I50" i="1"/>
  <c r="H50" i="1"/>
  <c r="D39" i="1"/>
  <c r="D156" i="1"/>
  <c r="I153" i="1"/>
  <c r="H153" i="1"/>
  <c r="I84" i="1"/>
  <c r="H84" i="1"/>
  <c r="I157" i="1"/>
  <c r="H157" i="1"/>
  <c r="I49" i="1"/>
  <c r="H49" i="1"/>
  <c r="I120" i="1"/>
  <c r="H120" i="1"/>
  <c r="I125" i="1"/>
  <c r="H125" i="1"/>
  <c r="I116" i="1"/>
  <c r="H116" i="1"/>
  <c r="D147" i="1"/>
  <c r="I59" i="1"/>
  <c r="H59" i="1"/>
  <c r="I98" i="1"/>
  <c r="H98" i="1"/>
  <c r="I62" i="1"/>
  <c r="H62" i="1"/>
  <c r="I37" i="1"/>
  <c r="H37" i="1"/>
  <c r="I107" i="1"/>
  <c r="H107" i="1"/>
  <c r="I39" i="1"/>
  <c r="H39" i="1"/>
  <c r="I45" i="1"/>
  <c r="H45" i="1"/>
  <c r="I118" i="1"/>
  <c r="H118" i="1"/>
  <c r="D150" i="1"/>
  <c r="D125" i="1"/>
  <c r="D145" i="1"/>
  <c r="D42" i="1"/>
  <c r="I110" i="1"/>
  <c r="H110" i="1"/>
  <c r="I53" i="1"/>
  <c r="H53" i="1"/>
  <c r="B14" i="17"/>
  <c r="I130" i="1"/>
  <c r="H130" i="1"/>
  <c r="I30" i="1"/>
  <c r="H30" i="1"/>
  <c r="I117" i="1"/>
  <c r="H117" i="1"/>
  <c r="E51" i="10"/>
  <c r="B166" i="10"/>
  <c r="B185" i="10"/>
  <c r="C185" i="10"/>
  <c r="G51" i="10"/>
  <c r="E166" i="10"/>
  <c r="F51" i="10"/>
  <c r="C166" i="10"/>
  <c r="F27" i="10"/>
  <c r="C165" i="10"/>
  <c r="E27" i="10"/>
  <c r="B165" i="10"/>
  <c r="B178" i="10"/>
  <c r="G173" i="10"/>
  <c r="G167" i="10"/>
  <c r="D27" i="10"/>
  <c r="D165" i="10"/>
  <c r="C178" i="10"/>
  <c r="I48" i="1"/>
  <c r="H48" i="1"/>
  <c r="I82" i="1"/>
  <c r="H82" i="1"/>
  <c r="I38" i="1"/>
  <c r="H38" i="1"/>
  <c r="I147" i="1"/>
  <c r="H147" i="1"/>
  <c r="I133" i="1"/>
  <c r="H133" i="1"/>
  <c r="I148" i="1"/>
  <c r="H148" i="1"/>
  <c r="I122" i="1"/>
  <c r="H122" i="1"/>
  <c r="I8" i="1"/>
  <c r="H8" i="1"/>
  <c r="I88" i="1"/>
  <c r="H88" i="1"/>
  <c r="I43" i="1"/>
  <c r="H43" i="1"/>
  <c r="I76" i="1"/>
  <c r="H76" i="1"/>
  <c r="I94" i="1"/>
  <c r="H94" i="1"/>
  <c r="C183" i="10"/>
  <c r="D173" i="10"/>
  <c r="F155" i="1"/>
  <c r="D146" i="23"/>
  <c r="D149" i="3"/>
  <c r="D49" i="23"/>
  <c r="F55" i="1"/>
  <c r="D49" i="3"/>
  <c r="B183" i="10"/>
  <c r="B173" i="10"/>
  <c r="D95" i="23"/>
  <c r="F102" i="1"/>
  <c r="D96" i="3"/>
  <c r="D8" i="23"/>
  <c r="F14" i="1"/>
  <c r="D8" i="3"/>
  <c r="E171" i="23"/>
  <c r="E168" i="23"/>
  <c r="D10" i="23"/>
  <c r="F16" i="1"/>
  <c r="D10" i="3"/>
  <c r="D98" i="23"/>
  <c r="F105" i="1"/>
  <c r="D99" i="3"/>
  <c r="D12" i="1"/>
  <c r="F78" i="1"/>
  <c r="D72" i="23"/>
  <c r="D72" i="3"/>
  <c r="F58" i="1"/>
  <c r="D52" i="23"/>
  <c r="D52" i="3"/>
  <c r="D128" i="1"/>
  <c r="D70" i="1"/>
  <c r="D96" i="1"/>
  <c r="D87" i="1"/>
  <c r="D94" i="1"/>
  <c r="D149" i="1"/>
  <c r="D98" i="3"/>
  <c r="F90" i="10"/>
  <c r="C169" i="10"/>
  <c r="I169" i="10"/>
  <c r="D14" i="23"/>
  <c r="F20" i="1"/>
  <c r="D14" i="3"/>
  <c r="F151" i="1"/>
  <c r="D142" i="23"/>
  <c r="D145" i="3"/>
  <c r="D72" i="1"/>
  <c r="G161" i="10"/>
  <c r="E173" i="10"/>
  <c r="D11" i="23"/>
  <c r="F17" i="1"/>
  <c r="D11" i="3"/>
  <c r="F141" i="1"/>
  <c r="D133" i="23"/>
  <c r="D135" i="3"/>
  <c r="D116" i="1"/>
  <c r="F55" i="10"/>
  <c r="C167" i="10"/>
  <c r="D32" i="1"/>
  <c r="D97" i="1"/>
  <c r="F92" i="1"/>
  <c r="D86" i="23"/>
  <c r="D86" i="3"/>
  <c r="E90" i="10"/>
  <c r="B169" i="10"/>
  <c r="D45" i="23"/>
  <c r="D65" i="1"/>
  <c r="D123" i="1"/>
  <c r="D119" i="1"/>
  <c r="D115" i="1"/>
  <c r="D103" i="1"/>
  <c r="D131" i="1"/>
  <c r="D69" i="1"/>
  <c r="D82" i="1"/>
  <c r="D122" i="1"/>
  <c r="D99" i="23"/>
  <c r="F106" i="1"/>
  <c r="D100" i="3"/>
  <c r="D98" i="1"/>
  <c r="D22" i="23"/>
  <c r="F28" i="1"/>
  <c r="D22" i="3"/>
  <c r="G55" i="10"/>
  <c r="E167" i="10"/>
  <c r="D179" i="10"/>
  <c r="D90" i="1"/>
  <c r="D18" i="1"/>
  <c r="E70" i="10"/>
  <c r="B168" i="10"/>
  <c r="G90" i="10"/>
  <c r="E169" i="10"/>
  <c r="K169" i="10"/>
  <c r="D85" i="23"/>
  <c r="F91" i="1"/>
  <c r="D85" i="3"/>
  <c r="D110" i="1"/>
  <c r="D15" i="1"/>
  <c r="D129" i="1"/>
  <c r="D62" i="1"/>
  <c r="D41" i="1"/>
  <c r="D64" i="1"/>
  <c r="I113" i="1"/>
  <c r="H113" i="1"/>
  <c r="I72" i="1"/>
  <c r="H72" i="1"/>
  <c r="D15" i="23"/>
  <c r="F21" i="1"/>
  <c r="D15" i="3"/>
  <c r="D83" i="23"/>
  <c r="F89" i="1"/>
  <c r="D83" i="3"/>
  <c r="D108" i="1"/>
  <c r="D11" i="1"/>
  <c r="G27" i="10"/>
  <c r="E165" i="10"/>
  <c r="D178" i="10"/>
  <c r="D28" i="23"/>
  <c r="F34" i="1"/>
  <c r="D28" i="3"/>
  <c r="F154" i="1"/>
  <c r="D145" i="23"/>
  <c r="D148" i="3"/>
  <c r="D55" i="10"/>
  <c r="D167" i="10"/>
  <c r="C179" i="10"/>
  <c r="D124" i="1"/>
  <c r="D118" i="1"/>
  <c r="D121" i="1"/>
  <c r="D74" i="1"/>
  <c r="D53" i="1"/>
  <c r="D99" i="1"/>
  <c r="D27" i="1"/>
  <c r="D112" i="1"/>
  <c r="D137" i="1"/>
  <c r="D52" i="1"/>
  <c r="D88" i="1"/>
  <c r="D8" i="1"/>
  <c r="D153" i="1"/>
  <c r="D85" i="1"/>
  <c r="I12" i="1"/>
  <c r="H12" i="1"/>
  <c r="I145" i="1"/>
  <c r="H145" i="1"/>
  <c r="F107" i="1"/>
  <c r="D100" i="23"/>
  <c r="D101" i="3"/>
  <c r="D73" i="1"/>
  <c r="D54" i="1"/>
  <c r="H169" i="10"/>
  <c r="F68" i="1"/>
  <c r="D62" i="23"/>
  <c r="D62" i="3"/>
  <c r="D133" i="1"/>
  <c r="G170" i="10"/>
  <c r="G171" i="10"/>
  <c r="G165" i="10"/>
  <c r="G168" i="10"/>
  <c r="G172" i="10"/>
  <c r="D51" i="10"/>
  <c r="D166" i="10"/>
  <c r="F140" i="1"/>
  <c r="D133" i="3"/>
  <c r="D132" i="23"/>
  <c r="D134" i="3"/>
  <c r="E55" i="10"/>
  <c r="B167" i="10"/>
  <c r="B179" i="10"/>
  <c r="D70" i="10"/>
  <c r="D168" i="10"/>
  <c r="D157" i="1"/>
  <c r="D81" i="1"/>
  <c r="D19" i="1"/>
  <c r="D138" i="1"/>
  <c r="D135" i="1"/>
  <c r="D61" i="1"/>
  <c r="D45" i="1"/>
  <c r="D57" i="1"/>
  <c r="D44" i="1"/>
  <c r="I19" i="1"/>
  <c r="H19" i="1"/>
  <c r="I16" i="1"/>
  <c r="H16" i="1"/>
  <c r="D114" i="1"/>
  <c r="D86" i="1"/>
  <c r="D109" i="1"/>
  <c r="D31" i="1"/>
  <c r="D36" i="1"/>
  <c r="D3" i="23"/>
  <c r="F9" i="1"/>
  <c r="D3" i="3"/>
  <c r="D90" i="10"/>
  <c r="D169" i="10"/>
  <c r="J169" i="10"/>
  <c r="D22" i="1"/>
  <c r="G166" i="10"/>
  <c r="F50" i="1"/>
  <c r="D44" i="23"/>
  <c r="D44" i="3"/>
  <c r="D100" i="1"/>
  <c r="D33" i="1"/>
  <c r="D71" i="1"/>
  <c r="D136" i="1"/>
  <c r="D134" i="1"/>
  <c r="D79" i="1"/>
  <c r="D49" i="1"/>
  <c r="D37" i="1"/>
  <c r="D23" i="1"/>
  <c r="D46" i="1"/>
  <c r="F60" i="1"/>
  <c r="D54" i="23"/>
  <c r="D54" i="3"/>
  <c r="D140" i="3"/>
  <c r="D136" i="3"/>
  <c r="F142" i="1"/>
  <c r="D137" i="23"/>
  <c r="F146" i="1"/>
  <c r="D41" i="3"/>
  <c r="F47" i="1"/>
  <c r="D41" i="23"/>
  <c r="D4" i="3"/>
  <c r="D69" i="23"/>
  <c r="D69" i="3"/>
  <c r="F10" i="1"/>
  <c r="F150" i="1"/>
  <c r="E150" i="1"/>
  <c r="D78" i="23"/>
  <c r="F104" i="1"/>
  <c r="E104" i="1"/>
  <c r="D33" i="23"/>
  <c r="D95" i="3"/>
  <c r="D120" i="23"/>
  <c r="F24" i="1"/>
  <c r="F18" i="3"/>
  <c r="F63" i="1"/>
  <c r="F57" i="3"/>
  <c r="F25" i="1"/>
  <c r="E25" i="1"/>
  <c r="F43" i="1"/>
  <c r="E43" i="1"/>
  <c r="D138" i="3"/>
  <c r="F51" i="1"/>
  <c r="D29" i="23"/>
  <c r="D42" i="23"/>
  <c r="D74" i="23"/>
  <c r="F77" i="1"/>
  <c r="D110" i="23"/>
  <c r="D120" i="3"/>
  <c r="F158" i="1"/>
  <c r="E158" i="1"/>
  <c r="F113" i="1"/>
  <c r="E113" i="1"/>
  <c r="F66" i="1"/>
  <c r="F60" i="3"/>
  <c r="D36" i="3"/>
  <c r="D70" i="23"/>
  <c r="D24" i="23"/>
  <c r="F56" i="1"/>
  <c r="E56" i="1"/>
  <c r="F40" i="1"/>
  <c r="F34" i="3"/>
  <c r="F26" i="1"/>
  <c r="E26" i="1"/>
  <c r="D147" i="23"/>
  <c r="F83" i="1"/>
  <c r="D126" i="3"/>
  <c r="D89" i="3"/>
  <c r="D136" i="23"/>
  <c r="F38" i="1"/>
  <c r="E38" i="1"/>
  <c r="F148" i="1"/>
  <c r="E148" i="1"/>
  <c r="D23" i="23"/>
  <c r="F59" i="1"/>
  <c r="E59" i="1"/>
  <c r="D61" i="3"/>
  <c r="F120" i="1"/>
  <c r="F114" i="3"/>
  <c r="F93" i="1"/>
  <c r="E93" i="1"/>
  <c r="D118" i="23"/>
  <c r="D104" i="23"/>
  <c r="F13" i="1"/>
  <c r="D123" i="23"/>
  <c r="D143" i="23"/>
  <c r="H173" i="10"/>
  <c r="I167" i="10"/>
  <c r="B184" i="10"/>
  <c r="C184" i="10"/>
  <c r="D94" i="23"/>
  <c r="D19" i="3"/>
  <c r="D57" i="3"/>
  <c r="D107" i="3"/>
  <c r="D19" i="23"/>
  <c r="D57" i="23"/>
  <c r="D106" i="23"/>
  <c r="D18" i="3"/>
  <c r="D20" i="23"/>
  <c r="D78" i="3"/>
  <c r="D144" i="3"/>
  <c r="F84" i="1"/>
  <c r="E84" i="1"/>
  <c r="D37" i="23"/>
  <c r="D60" i="23"/>
  <c r="D20" i="3"/>
  <c r="F152" i="1"/>
  <c r="D37" i="3"/>
  <c r="D121" i="3"/>
  <c r="D61" i="23"/>
  <c r="D119" i="3"/>
  <c r="D7" i="23"/>
  <c r="F125" i="1"/>
  <c r="D87" i="23"/>
  <c r="D45" i="3"/>
  <c r="D53" i="3"/>
  <c r="D124" i="3"/>
  <c r="F130" i="1"/>
  <c r="D105" i="3"/>
  <c r="D53" i="23"/>
  <c r="D74" i="3"/>
  <c r="F111" i="1"/>
  <c r="D7" i="3"/>
  <c r="D146" i="3"/>
  <c r="D87" i="3"/>
  <c r="F80" i="1"/>
  <c r="D32" i="3"/>
  <c r="D150" i="3"/>
  <c r="D34" i="3"/>
  <c r="D119" i="23"/>
  <c r="D32" i="23"/>
  <c r="D142" i="3"/>
  <c r="D23" i="3"/>
  <c r="F29" i="1"/>
  <c r="F42" i="1"/>
  <c r="D139" i="23"/>
  <c r="D139" i="3"/>
  <c r="F126" i="1"/>
  <c r="D152" i="3"/>
  <c r="D111" i="3"/>
  <c r="D135" i="23"/>
  <c r="D42" i="3"/>
  <c r="F117" i="1"/>
  <c r="D77" i="23"/>
  <c r="D70" i="3"/>
  <c r="D149" i="23"/>
  <c r="F48" i="1"/>
  <c r="F145" i="1"/>
  <c r="D77" i="3"/>
  <c r="F76" i="1"/>
  <c r="D36" i="23"/>
  <c r="D34" i="23"/>
  <c r="D24" i="3"/>
  <c r="F139" i="1"/>
  <c r="E139" i="1"/>
  <c r="C131" i="23"/>
  <c r="E131" i="23"/>
  <c r="G131" i="23"/>
  <c r="F30" i="1"/>
  <c r="D50" i="3"/>
  <c r="D50" i="23"/>
  <c r="F127" i="1"/>
  <c r="B13" i="17"/>
  <c r="F101" i="1"/>
  <c r="D33" i="3"/>
  <c r="D29" i="3"/>
  <c r="F39" i="1"/>
  <c r="F35" i="1"/>
  <c r="F156" i="1"/>
  <c r="D141" i="23"/>
  <c r="D114" i="3"/>
  <c r="D113" i="23"/>
  <c r="D141" i="3"/>
  <c r="F147" i="1"/>
  <c r="D138" i="23"/>
  <c r="D71" i="3"/>
  <c r="D71" i="23"/>
  <c r="B7" i="17"/>
  <c r="K167" i="10"/>
  <c r="K173" i="10"/>
  <c r="I173" i="10"/>
  <c r="J173" i="10"/>
  <c r="D103" i="23"/>
  <c r="F110" i="1"/>
  <c r="D104" i="3"/>
  <c r="D112" i="23"/>
  <c r="F119" i="1"/>
  <c r="D113" i="3"/>
  <c r="F81" i="1"/>
  <c r="D75" i="23"/>
  <c r="D75" i="3"/>
  <c r="J168" i="10"/>
  <c r="I168" i="10"/>
  <c r="H168" i="10"/>
  <c r="K168" i="10"/>
  <c r="D129" i="23"/>
  <c r="F137" i="1"/>
  <c r="D131" i="3"/>
  <c r="F124" i="1"/>
  <c r="D117" i="23"/>
  <c r="D118" i="3"/>
  <c r="E47" i="1"/>
  <c r="F41" i="3"/>
  <c r="F123" i="1"/>
  <c r="D116" i="23"/>
  <c r="D117" i="3"/>
  <c r="E151" i="1"/>
  <c r="F145" i="3"/>
  <c r="F94" i="1"/>
  <c r="D88" i="23"/>
  <c r="D88" i="3"/>
  <c r="D6" i="23"/>
  <c r="F12" i="1"/>
  <c r="D6" i="3"/>
  <c r="E16" i="1"/>
  <c r="F10" i="3"/>
  <c r="F19" i="1"/>
  <c r="D13" i="23"/>
  <c r="D13" i="3"/>
  <c r="D26" i="23"/>
  <c r="F32" i="1"/>
  <c r="D26" i="3"/>
  <c r="D148" i="23"/>
  <c r="F157" i="1"/>
  <c r="D151" i="3"/>
  <c r="K165" i="10"/>
  <c r="H165" i="10"/>
  <c r="J165" i="10"/>
  <c r="I165" i="10"/>
  <c r="E68" i="1"/>
  <c r="F62" i="3"/>
  <c r="D48" i="23"/>
  <c r="F54" i="1"/>
  <c r="D48" i="3"/>
  <c r="D105" i="23"/>
  <c r="F112" i="1"/>
  <c r="D106" i="3"/>
  <c r="E34" i="1"/>
  <c r="F28" i="3"/>
  <c r="E91" i="1"/>
  <c r="F85" i="3"/>
  <c r="D91" i="23"/>
  <c r="F98" i="1"/>
  <c r="D92" i="3"/>
  <c r="D59" i="23"/>
  <c r="F65" i="1"/>
  <c r="D59" i="3"/>
  <c r="D109" i="23"/>
  <c r="F116" i="1"/>
  <c r="D110" i="3"/>
  <c r="E17" i="1"/>
  <c r="F11" i="3"/>
  <c r="D81" i="23"/>
  <c r="D81" i="3"/>
  <c r="F87" i="1"/>
  <c r="E14" i="1"/>
  <c r="F8" i="3"/>
  <c r="F136" i="1"/>
  <c r="D128" i="23"/>
  <c r="D130" i="3"/>
  <c r="D111" i="23"/>
  <c r="F118" i="1"/>
  <c r="D112" i="3"/>
  <c r="E58" i="1"/>
  <c r="F52" i="3"/>
  <c r="F114" i="1"/>
  <c r="D107" i="23"/>
  <c r="D108" i="3"/>
  <c r="E9" i="1"/>
  <c r="F3" i="3"/>
  <c r="F23" i="1"/>
  <c r="D17" i="23"/>
  <c r="D17" i="3"/>
  <c r="E75" i="1"/>
  <c r="F69" i="3"/>
  <c r="F57" i="1"/>
  <c r="D51" i="23"/>
  <c r="D51" i="3"/>
  <c r="I171" i="10"/>
  <c r="H171" i="10"/>
  <c r="K171" i="10"/>
  <c r="J171" i="10"/>
  <c r="F73" i="1"/>
  <c r="D67" i="3"/>
  <c r="D67" i="23"/>
  <c r="E107" i="1"/>
  <c r="F101" i="3"/>
  <c r="F27" i="1"/>
  <c r="D21" i="23"/>
  <c r="D21" i="3"/>
  <c r="E21" i="1"/>
  <c r="F15" i="3"/>
  <c r="D58" i="23"/>
  <c r="F64" i="1"/>
  <c r="D58" i="3"/>
  <c r="B180" i="10"/>
  <c r="C180" i="10"/>
  <c r="F96" i="1"/>
  <c r="D89" i="23"/>
  <c r="D90" i="3"/>
  <c r="F52" i="1"/>
  <c r="D46" i="23"/>
  <c r="D46" i="3"/>
  <c r="E155" i="1"/>
  <c r="F149" i="3"/>
  <c r="F37" i="1"/>
  <c r="D31" i="23"/>
  <c r="D31" i="3"/>
  <c r="F45" i="1"/>
  <c r="D39" i="23"/>
  <c r="D39" i="3"/>
  <c r="E140" i="1"/>
  <c r="F133" i="3"/>
  <c r="F134" i="3"/>
  <c r="K170" i="10"/>
  <c r="H170" i="10"/>
  <c r="I170" i="10"/>
  <c r="J170" i="10"/>
  <c r="D125" i="23"/>
  <c r="F133" i="1"/>
  <c r="D127" i="3"/>
  <c r="F85" i="1"/>
  <c r="D79" i="23"/>
  <c r="D79" i="3"/>
  <c r="F99" i="1"/>
  <c r="D92" i="23"/>
  <c r="D93" i="3"/>
  <c r="D35" i="23"/>
  <c r="F41" i="1"/>
  <c r="D35" i="3"/>
  <c r="E106" i="1"/>
  <c r="F100" i="3"/>
  <c r="D64" i="23"/>
  <c r="F70" i="1"/>
  <c r="D64" i="3"/>
  <c r="E60" i="1"/>
  <c r="F54" i="3"/>
  <c r="C182" i="1"/>
  <c r="G168" i="23"/>
  <c r="E55" i="1"/>
  <c r="F49" i="3"/>
  <c r="H166" i="10"/>
  <c r="J166" i="10"/>
  <c r="K166" i="10"/>
  <c r="I166" i="10"/>
  <c r="H172" i="10"/>
  <c r="J172" i="10"/>
  <c r="I172" i="10"/>
  <c r="K172" i="10"/>
  <c r="F49" i="1"/>
  <c r="D43" i="23"/>
  <c r="D43" i="3"/>
  <c r="F36" i="1"/>
  <c r="D30" i="23"/>
  <c r="D30" i="3"/>
  <c r="F61" i="1"/>
  <c r="D55" i="23"/>
  <c r="D55" i="3"/>
  <c r="F153" i="1"/>
  <c r="D144" i="23"/>
  <c r="D147" i="3"/>
  <c r="D47" i="23"/>
  <c r="F53" i="1"/>
  <c r="D47" i="3"/>
  <c r="B9" i="17"/>
  <c r="F11" i="1"/>
  <c r="D5" i="23"/>
  <c r="D5" i="3"/>
  <c r="D56" i="23"/>
  <c r="F62" i="1"/>
  <c r="D56" i="3"/>
  <c r="E28" i="1"/>
  <c r="F22" i="3"/>
  <c r="F131" i="1"/>
  <c r="D124" i="23"/>
  <c r="D125" i="3"/>
  <c r="E141" i="1"/>
  <c r="F135" i="3"/>
  <c r="F128" i="1"/>
  <c r="D121" i="23"/>
  <c r="D122" i="3"/>
  <c r="C185" i="1"/>
  <c r="G171" i="23"/>
  <c r="E67" i="1"/>
  <c r="F61" i="3"/>
  <c r="F86" i="1"/>
  <c r="D80" i="23"/>
  <c r="D80" i="3"/>
  <c r="E154" i="1"/>
  <c r="F148" i="3"/>
  <c r="D63" i="23"/>
  <c r="F69" i="1"/>
  <c r="D63" i="3"/>
  <c r="E78" i="1"/>
  <c r="F72" i="3"/>
  <c r="F44" i="1"/>
  <c r="D38" i="23"/>
  <c r="D38" i="3"/>
  <c r="E50" i="1"/>
  <c r="F44" i="3"/>
  <c r="F79" i="1"/>
  <c r="D73" i="23"/>
  <c r="D73" i="3"/>
  <c r="D93" i="23"/>
  <c r="F100" i="1"/>
  <c r="D94" i="3"/>
  <c r="F31" i="1"/>
  <c r="D25" i="23"/>
  <c r="D25" i="3"/>
  <c r="F135" i="1"/>
  <c r="D127" i="23"/>
  <c r="D129" i="3"/>
  <c r="F8" i="1"/>
  <c r="D2" i="23"/>
  <c r="D2" i="3"/>
  <c r="D68" i="23"/>
  <c r="F74" i="1"/>
  <c r="D68" i="3"/>
  <c r="F108" i="1"/>
  <c r="D101" i="23"/>
  <c r="D102" i="3"/>
  <c r="H167" i="10"/>
  <c r="D122" i="23"/>
  <c r="F129" i="1"/>
  <c r="D123" i="3"/>
  <c r="D12" i="23"/>
  <c r="F18" i="1"/>
  <c r="D12" i="3"/>
  <c r="E142" i="1"/>
  <c r="F136" i="3"/>
  <c r="F122" i="1"/>
  <c r="D115" i="23"/>
  <c r="D116" i="3"/>
  <c r="F103" i="1"/>
  <c r="D96" i="23"/>
  <c r="D97" i="3"/>
  <c r="E92" i="1"/>
  <c r="F86" i="3"/>
  <c r="D66" i="23"/>
  <c r="F72" i="1"/>
  <c r="D66" i="3"/>
  <c r="E20" i="1"/>
  <c r="F14" i="3"/>
  <c r="E105" i="1"/>
  <c r="F99" i="3"/>
  <c r="E89" i="1"/>
  <c r="F83" i="3"/>
  <c r="F149" i="1"/>
  <c r="D140" i="23"/>
  <c r="D143" i="3"/>
  <c r="D65" i="23"/>
  <c r="F71" i="1"/>
  <c r="D65" i="3"/>
  <c r="D27" i="23"/>
  <c r="F33" i="1"/>
  <c r="D27" i="3"/>
  <c r="F134" i="1"/>
  <c r="D126" i="23"/>
  <c r="D128" i="3"/>
  <c r="D16" i="23"/>
  <c r="F22" i="1"/>
  <c r="D16" i="3"/>
  <c r="F109" i="1"/>
  <c r="D102" i="23"/>
  <c r="D103" i="3"/>
  <c r="D130" i="23"/>
  <c r="F138" i="1"/>
  <c r="D132" i="3"/>
  <c r="D82" i="23"/>
  <c r="F88" i="1"/>
  <c r="D82" i="3"/>
  <c r="F121" i="1"/>
  <c r="D114" i="23"/>
  <c r="D115" i="3"/>
  <c r="J167" i="10"/>
  <c r="F15" i="1"/>
  <c r="D9" i="23"/>
  <c r="D9" i="3"/>
  <c r="F90" i="1"/>
  <c r="D84" i="23"/>
  <c r="D84" i="3"/>
  <c r="D76" i="23"/>
  <c r="F82" i="1"/>
  <c r="D76" i="3"/>
  <c r="D108" i="23"/>
  <c r="F115" i="1"/>
  <c r="D109" i="3"/>
  <c r="D90" i="23"/>
  <c r="F97" i="1"/>
  <c r="D91" i="3"/>
  <c r="E102" i="1"/>
  <c r="F96" i="3"/>
  <c r="F46" i="1"/>
  <c r="D40" i="23"/>
  <c r="D40" i="3"/>
  <c r="E40" i="1"/>
  <c r="C34" i="23"/>
  <c r="E34" i="23"/>
  <c r="G34" i="23"/>
  <c r="F140" i="3"/>
  <c r="E146" i="1"/>
  <c r="F137" i="3"/>
  <c r="F78" i="3"/>
  <c r="E66" i="1"/>
  <c r="F98" i="3"/>
  <c r="F107" i="3"/>
  <c r="E24" i="1"/>
  <c r="F37" i="3"/>
  <c r="F4" i="3"/>
  <c r="F50" i="3"/>
  <c r="E10" i="1"/>
  <c r="E4" i="3"/>
  <c r="F20" i="3"/>
  <c r="F142" i="3"/>
  <c r="F19" i="3"/>
  <c r="F144" i="3"/>
  <c r="F152" i="3"/>
  <c r="F53" i="3"/>
  <c r="F121" i="3"/>
  <c r="E130" i="1"/>
  <c r="F77" i="3"/>
  <c r="E120" i="1"/>
  <c r="E114" i="3"/>
  <c r="E83" i="1"/>
  <c r="C77" i="23"/>
  <c r="E77" i="23"/>
  <c r="G77" i="23"/>
  <c r="F32" i="3"/>
  <c r="F33" i="3"/>
  <c r="E30" i="1"/>
  <c r="C24" i="23"/>
  <c r="E24" i="23"/>
  <c r="G24" i="23"/>
  <c r="E48" i="1"/>
  <c r="C42" i="23"/>
  <c r="E42" i="23"/>
  <c r="G42" i="23"/>
  <c r="F146" i="3"/>
  <c r="F23" i="3"/>
  <c r="F150" i="3"/>
  <c r="E35" i="1"/>
  <c r="C29" i="23"/>
  <c r="E29" i="23"/>
  <c r="G29" i="23"/>
  <c r="F45" i="3"/>
  <c r="F138" i="3"/>
  <c r="E126" i="1"/>
  <c r="C119" i="23"/>
  <c r="E119" i="23"/>
  <c r="G119" i="23"/>
  <c r="F105" i="3"/>
  <c r="F7" i="3"/>
  <c r="E145" i="1"/>
  <c r="C136" i="23"/>
  <c r="E136" i="23"/>
  <c r="G136" i="23"/>
  <c r="E13" i="1"/>
  <c r="C7" i="23"/>
  <c r="E7" i="23"/>
  <c r="G7" i="23"/>
  <c r="F126" i="3"/>
  <c r="F89" i="3"/>
  <c r="F71" i="3"/>
  <c r="E51" i="1"/>
  <c r="E45" i="3"/>
  <c r="E63" i="1"/>
  <c r="E125" i="1"/>
  <c r="E119" i="3"/>
  <c r="E76" i="1"/>
  <c r="E70" i="3"/>
  <c r="E77" i="1"/>
  <c r="C71" i="23"/>
  <c r="E71" i="23"/>
  <c r="G71" i="23"/>
  <c r="E101" i="1"/>
  <c r="E80" i="1"/>
  <c r="C74" i="23"/>
  <c r="E74" i="23"/>
  <c r="G74" i="23"/>
  <c r="F87" i="3"/>
  <c r="E117" i="1"/>
  <c r="C110" i="23"/>
  <c r="E110" i="23"/>
  <c r="G110" i="23"/>
  <c r="F36" i="3"/>
  <c r="F119" i="3"/>
  <c r="E127" i="1"/>
  <c r="C120" i="23"/>
  <c r="E120" i="23"/>
  <c r="G120" i="23"/>
  <c r="E152" i="1"/>
  <c r="E146" i="3"/>
  <c r="E29" i="1"/>
  <c r="C23" i="23"/>
  <c r="E23" i="23"/>
  <c r="G23" i="23"/>
  <c r="E42" i="1"/>
  <c r="C36" i="23"/>
  <c r="E36" i="23"/>
  <c r="G36" i="23"/>
  <c r="F70" i="3"/>
  <c r="F124" i="3"/>
  <c r="F111" i="3"/>
  <c r="F74" i="3"/>
  <c r="E111" i="1"/>
  <c r="C104" i="23"/>
  <c r="E104" i="23"/>
  <c r="G104" i="23"/>
  <c r="F120" i="3"/>
  <c r="F95" i="3"/>
  <c r="E39" i="1"/>
  <c r="F24" i="3"/>
  <c r="F139" i="3"/>
  <c r="F42" i="3"/>
  <c r="E147" i="1"/>
  <c r="E156" i="1"/>
  <c r="F29" i="3"/>
  <c r="F141" i="3"/>
  <c r="E103" i="1"/>
  <c r="F97" i="3"/>
  <c r="E49" i="1"/>
  <c r="F43" i="3"/>
  <c r="C99" i="23"/>
  <c r="E99" i="23"/>
  <c r="G99" i="23"/>
  <c r="E100" i="3"/>
  <c r="C87" i="23"/>
  <c r="E87" i="23"/>
  <c r="G87" i="23"/>
  <c r="E87" i="3"/>
  <c r="E174" i="10"/>
  <c r="E22" i="1"/>
  <c r="F16" i="3"/>
  <c r="E128" i="1"/>
  <c r="F122" i="3"/>
  <c r="C149" i="23"/>
  <c r="E149" i="23"/>
  <c r="G149" i="23"/>
  <c r="E152" i="3"/>
  <c r="E15" i="3"/>
  <c r="C15" i="23"/>
  <c r="E15" i="23"/>
  <c r="G15" i="23"/>
  <c r="E124" i="1"/>
  <c r="F118" i="3"/>
  <c r="E15" i="1"/>
  <c r="F9" i="3"/>
  <c r="C72" i="23"/>
  <c r="E72" i="23"/>
  <c r="G72" i="23"/>
  <c r="E72" i="3"/>
  <c r="C32" i="23"/>
  <c r="E32" i="23"/>
  <c r="G32" i="23"/>
  <c r="E32" i="3"/>
  <c r="C62" i="23"/>
  <c r="E62" i="23"/>
  <c r="G62" i="23"/>
  <c r="E62" i="3"/>
  <c r="E138" i="1"/>
  <c r="F132" i="3"/>
  <c r="E8" i="1"/>
  <c r="F2" i="3"/>
  <c r="E133" i="1"/>
  <c r="F127" i="3"/>
  <c r="C3" i="23"/>
  <c r="E3" i="23"/>
  <c r="G3" i="23"/>
  <c r="E3" i="3"/>
  <c r="F81" i="3"/>
  <c r="E87" i="1"/>
  <c r="E19" i="1"/>
  <c r="F13" i="3"/>
  <c r="E137" i="1"/>
  <c r="F131" i="3"/>
  <c r="E119" i="1"/>
  <c r="F113" i="3"/>
  <c r="E129" i="1"/>
  <c r="F123" i="3"/>
  <c r="C52" i="23"/>
  <c r="E52" i="23"/>
  <c r="G52" i="23"/>
  <c r="E52" i="3"/>
  <c r="E98" i="1"/>
  <c r="F92" i="3"/>
  <c r="E121" i="1"/>
  <c r="F115" i="3"/>
  <c r="C22" i="23"/>
  <c r="E22" i="23"/>
  <c r="G22" i="23"/>
  <c r="E22" i="3"/>
  <c r="E137" i="3"/>
  <c r="C137" i="23"/>
  <c r="E137" i="23"/>
  <c r="G137" i="23"/>
  <c r="E140" i="3"/>
  <c r="C54" i="23"/>
  <c r="E54" i="23"/>
  <c r="G54" i="23"/>
  <c r="E54" i="3"/>
  <c r="E88" i="1"/>
  <c r="F82" i="3"/>
  <c r="E69" i="1"/>
  <c r="F63" i="3"/>
  <c r="E62" i="1"/>
  <c r="F56" i="3"/>
  <c r="E61" i="1"/>
  <c r="F55" i="3"/>
  <c r="C37" i="23"/>
  <c r="E37" i="23"/>
  <c r="G37" i="23"/>
  <c r="E37" i="3"/>
  <c r="E41" i="1"/>
  <c r="F35" i="3"/>
  <c r="E99" i="1"/>
  <c r="F93" i="3"/>
  <c r="E52" i="1"/>
  <c r="F46" i="3"/>
  <c r="E57" i="1"/>
  <c r="F51" i="3"/>
  <c r="E118" i="1"/>
  <c r="F112" i="3"/>
  <c r="E65" i="1"/>
  <c r="F59" i="3"/>
  <c r="C85" i="23"/>
  <c r="E85" i="23"/>
  <c r="G85" i="23"/>
  <c r="E85" i="3"/>
  <c r="E112" i="1"/>
  <c r="F106" i="3"/>
  <c r="E123" i="1"/>
  <c r="F117" i="3"/>
  <c r="E72" i="1"/>
  <c r="F66" i="3"/>
  <c r="E44" i="1"/>
  <c r="F38" i="3"/>
  <c r="D182" i="1"/>
  <c r="D168" i="23"/>
  <c r="E182" i="1"/>
  <c r="C69" i="23"/>
  <c r="E69" i="23"/>
  <c r="G69" i="23"/>
  <c r="E69" i="3"/>
  <c r="C28" i="23"/>
  <c r="E28" i="23"/>
  <c r="G28" i="23"/>
  <c r="E28" i="3"/>
  <c r="C78" i="23"/>
  <c r="E78" i="23"/>
  <c r="G78" i="23"/>
  <c r="E78" i="3"/>
  <c r="E96" i="1"/>
  <c r="F90" i="3"/>
  <c r="E86" i="1"/>
  <c r="F80" i="3"/>
  <c r="E45" i="1"/>
  <c r="F39" i="3"/>
  <c r="C100" i="23"/>
  <c r="E100" i="23"/>
  <c r="G100" i="23"/>
  <c r="E101" i="3"/>
  <c r="C141" i="23"/>
  <c r="E141" i="23"/>
  <c r="G141" i="23"/>
  <c r="E144" i="3"/>
  <c r="C86" i="23"/>
  <c r="E86" i="23"/>
  <c r="G86" i="23"/>
  <c r="E86" i="3"/>
  <c r="E79" i="1"/>
  <c r="F73" i="3"/>
  <c r="C133" i="23"/>
  <c r="E133" i="23"/>
  <c r="G133" i="23"/>
  <c r="E135" i="3"/>
  <c r="E133" i="3"/>
  <c r="C132" i="23"/>
  <c r="E132" i="23"/>
  <c r="G132" i="23"/>
  <c r="E134" i="3"/>
  <c r="E71" i="1"/>
  <c r="F65" i="3"/>
  <c r="C98" i="23"/>
  <c r="E98" i="23"/>
  <c r="G98" i="23"/>
  <c r="E99" i="3"/>
  <c r="C61" i="23"/>
  <c r="E61" i="23"/>
  <c r="G61" i="23"/>
  <c r="E61" i="3"/>
  <c r="C97" i="23"/>
  <c r="E97" i="23"/>
  <c r="G97" i="23"/>
  <c r="E98" i="3"/>
  <c r="E122" i="1"/>
  <c r="F116" i="3"/>
  <c r="E18" i="1"/>
  <c r="F12" i="3"/>
  <c r="E108" i="1"/>
  <c r="F102" i="3"/>
  <c r="C139" i="23"/>
  <c r="E139" i="23"/>
  <c r="G139" i="23"/>
  <c r="E142" i="3"/>
  <c r="C44" i="23"/>
  <c r="E44" i="23"/>
  <c r="G44" i="23"/>
  <c r="E44" i="3"/>
  <c r="D185" i="1"/>
  <c r="D171" i="23"/>
  <c r="E185" i="1"/>
  <c r="E53" i="1"/>
  <c r="F47" i="3"/>
  <c r="B10" i="17"/>
  <c r="C106" i="23"/>
  <c r="E106" i="23"/>
  <c r="G106" i="23"/>
  <c r="E107" i="3"/>
  <c r="E37" i="1"/>
  <c r="F31" i="3"/>
  <c r="F67" i="3"/>
  <c r="E73" i="1"/>
  <c r="C174" i="10"/>
  <c r="C10" i="23"/>
  <c r="E10" i="23"/>
  <c r="G10" i="23"/>
  <c r="E10" i="3"/>
  <c r="E94" i="1"/>
  <c r="F88" i="3"/>
  <c r="E149" i="1"/>
  <c r="F143" i="3"/>
  <c r="E135" i="1"/>
  <c r="F129" i="3"/>
  <c r="E82" i="1"/>
  <c r="F76" i="3"/>
  <c r="E11" i="1"/>
  <c r="F5" i="3"/>
  <c r="E115" i="1"/>
  <c r="F109" i="3"/>
  <c r="C14" i="23"/>
  <c r="E14" i="23"/>
  <c r="G14" i="23"/>
  <c r="E14" i="3"/>
  <c r="E131" i="1"/>
  <c r="F125" i="3"/>
  <c r="E64" i="1"/>
  <c r="F58" i="3"/>
  <c r="C20" i="23"/>
  <c r="E20" i="23"/>
  <c r="G20" i="23"/>
  <c r="E20" i="3"/>
  <c r="E114" i="1"/>
  <c r="F108" i="3"/>
  <c r="C19" i="23"/>
  <c r="E19" i="23"/>
  <c r="G19" i="23"/>
  <c r="E19" i="3"/>
  <c r="D174" i="10"/>
  <c r="C188" i="10"/>
  <c r="C41" i="23"/>
  <c r="E41" i="23"/>
  <c r="G41" i="23"/>
  <c r="E41" i="3"/>
  <c r="E34" i="3"/>
  <c r="E110" i="1"/>
  <c r="F104" i="3"/>
  <c r="E27" i="1"/>
  <c r="F21" i="3"/>
  <c r="E136" i="1"/>
  <c r="F130" i="3"/>
  <c r="C95" i="23"/>
  <c r="E95" i="23"/>
  <c r="G95" i="23"/>
  <c r="E96" i="3"/>
  <c r="E33" i="1"/>
  <c r="F27" i="3"/>
  <c r="E153" i="1"/>
  <c r="F147" i="3"/>
  <c r="E23" i="1"/>
  <c r="F17" i="3"/>
  <c r="E116" i="1"/>
  <c r="F110" i="3"/>
  <c r="C83" i="23"/>
  <c r="E83" i="23"/>
  <c r="G83" i="23"/>
  <c r="E83" i="3"/>
  <c r="C8" i="23"/>
  <c r="E8" i="23"/>
  <c r="G8" i="23"/>
  <c r="E8" i="3"/>
  <c r="E157" i="1"/>
  <c r="F151" i="3"/>
  <c r="E97" i="1"/>
  <c r="F91" i="3"/>
  <c r="C134" i="23"/>
  <c r="E134" i="23"/>
  <c r="G134" i="23"/>
  <c r="E136" i="3"/>
  <c r="E31" i="1"/>
  <c r="F25" i="3"/>
  <c r="E90" i="1"/>
  <c r="F84" i="3"/>
  <c r="C50" i="23"/>
  <c r="E50" i="23"/>
  <c r="G50" i="23"/>
  <c r="E50" i="3"/>
  <c r="E109" i="1"/>
  <c r="F103" i="3"/>
  <c r="E134" i="1"/>
  <c r="F128" i="3"/>
  <c r="E74" i="1"/>
  <c r="F68" i="3"/>
  <c r="E100" i="1"/>
  <c r="F94" i="3"/>
  <c r="C145" i="23"/>
  <c r="E145" i="23"/>
  <c r="G145" i="23"/>
  <c r="E148" i="3"/>
  <c r="E36" i="1"/>
  <c r="F30" i="3"/>
  <c r="C49" i="23"/>
  <c r="E49" i="23"/>
  <c r="G49" i="23"/>
  <c r="E49" i="3"/>
  <c r="E70" i="1"/>
  <c r="F64" i="3"/>
  <c r="C53" i="23"/>
  <c r="E53" i="23"/>
  <c r="G53" i="23"/>
  <c r="E53" i="3"/>
  <c r="E85" i="1"/>
  <c r="F79" i="3"/>
  <c r="C146" i="23"/>
  <c r="E146" i="23"/>
  <c r="G146" i="23"/>
  <c r="E149" i="3"/>
  <c r="E11" i="3"/>
  <c r="C11" i="23"/>
  <c r="E11" i="23"/>
  <c r="G11" i="23"/>
  <c r="E54" i="1"/>
  <c r="F48" i="3"/>
  <c r="B174" i="10"/>
  <c r="B188" i="10"/>
  <c r="E32" i="1"/>
  <c r="F26" i="3"/>
  <c r="E12" i="1"/>
  <c r="F6" i="3"/>
  <c r="C142" i="23"/>
  <c r="E142" i="23"/>
  <c r="G142" i="23"/>
  <c r="E145" i="3"/>
  <c r="E81" i="1"/>
  <c r="F75" i="3"/>
  <c r="E60" i="3"/>
  <c r="F40" i="3"/>
  <c r="E46" i="1"/>
  <c r="C60" i="23"/>
  <c r="E60" i="23"/>
  <c r="G60" i="23"/>
  <c r="E139" i="3"/>
  <c r="E121" i="3"/>
  <c r="E18" i="3"/>
  <c r="C18" i="23"/>
  <c r="E18" i="23"/>
  <c r="G18" i="23"/>
  <c r="C4" i="23"/>
  <c r="E4" i="23"/>
  <c r="G4" i="23"/>
  <c r="C45" i="23"/>
  <c r="E45" i="23"/>
  <c r="G45" i="23"/>
  <c r="E74" i="3"/>
  <c r="E29" i="3"/>
  <c r="C113" i="23"/>
  <c r="E113" i="23"/>
  <c r="G113" i="23"/>
  <c r="E7" i="3"/>
  <c r="E120" i="3"/>
  <c r="C70" i="23"/>
  <c r="E70" i="23"/>
  <c r="G70" i="23"/>
  <c r="E42" i="3"/>
  <c r="E126" i="3"/>
  <c r="C33" i="23"/>
  <c r="E33" i="23"/>
  <c r="G33" i="23"/>
  <c r="C57" i="23"/>
  <c r="E57" i="23"/>
  <c r="G57" i="23"/>
  <c r="E124" i="3"/>
  <c r="C143" i="23"/>
  <c r="E143" i="23"/>
  <c r="G143" i="23"/>
  <c r="E24" i="3"/>
  <c r="E57" i="3"/>
  <c r="E36" i="3"/>
  <c r="C123" i="23"/>
  <c r="E123" i="23"/>
  <c r="G123" i="23"/>
  <c r="E150" i="3"/>
  <c r="E105" i="3"/>
  <c r="E23" i="3"/>
  <c r="E138" i="3"/>
  <c r="E89" i="3"/>
  <c r="E95" i="3"/>
  <c r="E71" i="3"/>
  <c r="C94" i="23"/>
  <c r="E94" i="23"/>
  <c r="G94" i="23"/>
  <c r="C118" i="23"/>
  <c r="E118" i="23"/>
  <c r="G118" i="23"/>
  <c r="E77" i="3"/>
  <c r="E111" i="3"/>
  <c r="C138" i="23"/>
  <c r="E138" i="23"/>
  <c r="G138" i="23"/>
  <c r="C147" i="23"/>
  <c r="E147" i="23"/>
  <c r="G147" i="23"/>
  <c r="E33" i="3"/>
  <c r="E141" i="3"/>
  <c r="C115" i="23"/>
  <c r="E115" i="23"/>
  <c r="G115" i="23"/>
  <c r="E116" i="3"/>
  <c r="C13" i="23"/>
  <c r="E13" i="23"/>
  <c r="G13" i="23"/>
  <c r="E13" i="3"/>
  <c r="C121" i="23"/>
  <c r="E121" i="23"/>
  <c r="G121" i="23"/>
  <c r="E122" i="3"/>
  <c r="C39" i="23"/>
  <c r="E39" i="23"/>
  <c r="G39" i="23"/>
  <c r="E39" i="3"/>
  <c r="C56" i="23"/>
  <c r="E56" i="23"/>
  <c r="G56" i="23"/>
  <c r="E56" i="3"/>
  <c r="C81" i="23"/>
  <c r="E81" i="23"/>
  <c r="G81" i="23"/>
  <c r="E81" i="3"/>
  <c r="C108" i="23"/>
  <c r="E108" i="23"/>
  <c r="G108" i="23"/>
  <c r="E109" i="3"/>
  <c r="C76" i="23"/>
  <c r="E76" i="23"/>
  <c r="G76" i="23"/>
  <c r="E76" i="3"/>
  <c r="C47" i="23"/>
  <c r="E47" i="23"/>
  <c r="G47" i="23"/>
  <c r="E47" i="3"/>
  <c r="B11" i="17"/>
  <c r="C65" i="23"/>
  <c r="E65" i="23"/>
  <c r="G65" i="23"/>
  <c r="E65" i="3"/>
  <c r="C122" i="23"/>
  <c r="E122" i="23"/>
  <c r="G122" i="23"/>
  <c r="E123" i="3"/>
  <c r="C16" i="23"/>
  <c r="E16" i="23"/>
  <c r="G16" i="23"/>
  <c r="E16" i="3"/>
  <c r="C48" i="23"/>
  <c r="E48" i="23"/>
  <c r="G48" i="23"/>
  <c r="E48" i="3"/>
  <c r="C90" i="23"/>
  <c r="E90" i="23"/>
  <c r="G90" i="23"/>
  <c r="E91" i="3"/>
  <c r="C105" i="23"/>
  <c r="E105" i="23"/>
  <c r="G105" i="23"/>
  <c r="E106" i="3"/>
  <c r="C58" i="23"/>
  <c r="E58" i="23"/>
  <c r="G58" i="23"/>
  <c r="E58" i="3"/>
  <c r="C88" i="23"/>
  <c r="E88" i="23"/>
  <c r="G88" i="23"/>
  <c r="E88" i="3"/>
  <c r="C79" i="23"/>
  <c r="E79" i="23"/>
  <c r="G79" i="23"/>
  <c r="E79" i="3"/>
  <c r="C30" i="23"/>
  <c r="E30" i="23"/>
  <c r="G30" i="23"/>
  <c r="E30" i="3"/>
  <c r="C93" i="23"/>
  <c r="E93" i="23"/>
  <c r="G93" i="23"/>
  <c r="E94" i="3"/>
  <c r="C102" i="23"/>
  <c r="E102" i="23"/>
  <c r="G102" i="23"/>
  <c r="E103" i="3"/>
  <c r="C25" i="23"/>
  <c r="E25" i="23"/>
  <c r="G25" i="23"/>
  <c r="E25" i="3"/>
  <c r="C148" i="23"/>
  <c r="E148" i="23"/>
  <c r="G148" i="23"/>
  <c r="E151" i="3"/>
  <c r="C109" i="23"/>
  <c r="E109" i="23"/>
  <c r="G109" i="23"/>
  <c r="E110" i="3"/>
  <c r="C27" i="23"/>
  <c r="E27" i="23"/>
  <c r="G27" i="23"/>
  <c r="E27" i="3"/>
  <c r="C103" i="23"/>
  <c r="E103" i="23"/>
  <c r="G103" i="23"/>
  <c r="E104" i="3"/>
  <c r="C66" i="23"/>
  <c r="E66" i="23"/>
  <c r="G66" i="23"/>
  <c r="E66" i="3"/>
  <c r="C51" i="23"/>
  <c r="E51" i="23"/>
  <c r="G51" i="23"/>
  <c r="E51" i="3"/>
  <c r="C35" i="23"/>
  <c r="E35" i="23"/>
  <c r="G35" i="23"/>
  <c r="E35" i="3"/>
  <c r="C63" i="23"/>
  <c r="E63" i="23"/>
  <c r="G63" i="23"/>
  <c r="E63" i="3"/>
  <c r="C125" i="23"/>
  <c r="E125" i="23"/>
  <c r="G125" i="23"/>
  <c r="E127" i="3"/>
  <c r="C21" i="23"/>
  <c r="E21" i="23"/>
  <c r="G21" i="23"/>
  <c r="E21" i="3"/>
  <c r="C107" i="23"/>
  <c r="E107" i="23"/>
  <c r="G107" i="23"/>
  <c r="E108" i="3"/>
  <c r="C124" i="23"/>
  <c r="E124" i="23"/>
  <c r="G124" i="23"/>
  <c r="E125" i="3"/>
  <c r="C5" i="23"/>
  <c r="E5" i="23"/>
  <c r="G5" i="23"/>
  <c r="E5" i="3"/>
  <c r="C127" i="23"/>
  <c r="E127" i="23"/>
  <c r="G127" i="23"/>
  <c r="E129" i="3"/>
  <c r="C101" i="23"/>
  <c r="E101" i="23"/>
  <c r="G101" i="23"/>
  <c r="E102" i="3"/>
  <c r="C91" i="23"/>
  <c r="E91" i="23"/>
  <c r="G91" i="23"/>
  <c r="E92" i="3"/>
  <c r="C112" i="23"/>
  <c r="E112" i="23"/>
  <c r="G112" i="23"/>
  <c r="E113" i="3"/>
  <c r="C2" i="23"/>
  <c r="E2" i="23"/>
  <c r="G2" i="23"/>
  <c r="E2" i="3"/>
  <c r="C9" i="23"/>
  <c r="E9" i="23"/>
  <c r="G9" i="23"/>
  <c r="E9" i="3"/>
  <c r="C38" i="23"/>
  <c r="E38" i="23"/>
  <c r="G38" i="23"/>
  <c r="E38" i="3"/>
  <c r="C6" i="23"/>
  <c r="E6" i="23"/>
  <c r="G6" i="23"/>
  <c r="E6" i="3"/>
  <c r="C17" i="23"/>
  <c r="E17" i="23"/>
  <c r="G17" i="23"/>
  <c r="E17" i="3"/>
  <c r="C80" i="23"/>
  <c r="E80" i="23"/>
  <c r="G80" i="23"/>
  <c r="E80" i="3"/>
  <c r="C59" i="23"/>
  <c r="E59" i="23"/>
  <c r="G59" i="23"/>
  <c r="E59" i="3"/>
  <c r="C82" i="23"/>
  <c r="E82" i="23"/>
  <c r="G82" i="23"/>
  <c r="E82" i="3"/>
  <c r="C43" i="23"/>
  <c r="E43" i="23"/>
  <c r="G43" i="23"/>
  <c r="E43" i="3"/>
  <c r="C144" i="23"/>
  <c r="E144" i="23"/>
  <c r="G144" i="23"/>
  <c r="E147" i="3"/>
  <c r="C92" i="23"/>
  <c r="E92" i="23"/>
  <c r="G92" i="23"/>
  <c r="E93" i="3"/>
  <c r="C26" i="23"/>
  <c r="E26" i="23"/>
  <c r="G26" i="23"/>
  <c r="E26" i="3"/>
  <c r="C140" i="23"/>
  <c r="E140" i="23"/>
  <c r="G140" i="23"/>
  <c r="E143" i="3"/>
  <c r="E67" i="3"/>
  <c r="C67" i="23"/>
  <c r="E67" i="23"/>
  <c r="G67" i="23"/>
  <c r="C12" i="23"/>
  <c r="E12" i="23"/>
  <c r="G12" i="23"/>
  <c r="E12" i="3"/>
  <c r="C129" i="23"/>
  <c r="E129" i="23"/>
  <c r="G129" i="23"/>
  <c r="E131" i="3"/>
  <c r="C130" i="23"/>
  <c r="E130" i="23"/>
  <c r="G130" i="23"/>
  <c r="E132" i="3"/>
  <c r="C117" i="23"/>
  <c r="E117" i="23"/>
  <c r="G117" i="23"/>
  <c r="E118" i="3"/>
  <c r="C75" i="23"/>
  <c r="E75" i="23"/>
  <c r="G75" i="23"/>
  <c r="E75" i="3"/>
  <c r="C114" i="23"/>
  <c r="E114" i="23"/>
  <c r="G114" i="23"/>
  <c r="E115" i="3"/>
  <c r="C126" i="23"/>
  <c r="E126" i="23"/>
  <c r="G126" i="23"/>
  <c r="E128" i="3"/>
  <c r="E73" i="3"/>
  <c r="C73" i="23"/>
  <c r="E73" i="23"/>
  <c r="G73" i="23"/>
  <c r="C64" i="23"/>
  <c r="E64" i="23"/>
  <c r="G64" i="23"/>
  <c r="E64" i="3"/>
  <c r="C68" i="23"/>
  <c r="E68" i="23"/>
  <c r="G68" i="23"/>
  <c r="E68" i="3"/>
  <c r="C84" i="23"/>
  <c r="E84" i="23"/>
  <c r="G84" i="23"/>
  <c r="E84" i="3"/>
  <c r="C128" i="23"/>
  <c r="E128" i="23"/>
  <c r="G128" i="23"/>
  <c r="E130" i="3"/>
  <c r="C31" i="23"/>
  <c r="E31" i="23"/>
  <c r="G31" i="23"/>
  <c r="E31" i="3"/>
  <c r="C89" i="23"/>
  <c r="E89" i="23"/>
  <c r="G89" i="23"/>
  <c r="E90" i="3"/>
  <c r="C116" i="23"/>
  <c r="E116" i="23"/>
  <c r="G116" i="23"/>
  <c r="E117" i="3"/>
  <c r="C111" i="23"/>
  <c r="E111" i="23"/>
  <c r="G111" i="23"/>
  <c r="E112" i="3"/>
  <c r="C46" i="23"/>
  <c r="E46" i="23"/>
  <c r="G46" i="23"/>
  <c r="E46" i="3"/>
  <c r="C55" i="23"/>
  <c r="E55" i="23"/>
  <c r="G55" i="23"/>
  <c r="E55" i="3"/>
  <c r="C96" i="23"/>
  <c r="E96" i="23"/>
  <c r="G96" i="23"/>
  <c r="E97" i="3"/>
  <c r="C40" i="23"/>
  <c r="E40" i="23"/>
  <c r="G40" i="23"/>
  <c r="E40" i="3"/>
  <c r="K17" i="23"/>
  <c r="K16" i="23"/>
  <c r="K15" i="23"/>
  <c r="E151" i="23"/>
  <c r="C165" i="1"/>
  <c r="G151" i="23"/>
  <c r="D151" i="23"/>
  <c r="E165" i="1"/>
  <c r="B31" i="17"/>
  <c r="D165" i="1"/>
  <c r="K14" i="23"/>
  <c r="K13" i="23"/>
  <c r="K12" i="23"/>
  <c r="K11" i="23"/>
  <c r="E157" i="23"/>
  <c r="E155" i="23"/>
  <c r="G155" i="23"/>
  <c r="D155" i="23"/>
  <c r="E169" i="1"/>
  <c r="G157" i="23"/>
  <c r="C171" i="1"/>
  <c r="C169" i="1"/>
  <c r="K10" i="23"/>
  <c r="K9" i="23"/>
  <c r="D169" i="1"/>
  <c r="D171" i="1"/>
  <c r="D157" i="23"/>
  <c r="E171" i="1"/>
  <c r="E154" i="23"/>
  <c r="C168" i="1"/>
  <c r="E164" i="23"/>
  <c r="C178" i="1"/>
  <c r="K8" i="23"/>
  <c r="E161" i="23"/>
  <c r="G161" i="23"/>
  <c r="C175" i="1"/>
  <c r="G164" i="23"/>
  <c r="D178" i="1"/>
  <c r="G154" i="23"/>
  <c r="D164" i="23"/>
  <c r="E178" i="1"/>
  <c r="D175" i="1"/>
  <c r="D161" i="23"/>
  <c r="E175" i="1"/>
  <c r="D154" i="23"/>
  <c r="E168" i="1"/>
  <c r="D168" i="1"/>
  <c r="K7" i="23"/>
  <c r="E160" i="23"/>
  <c r="C174" i="1"/>
  <c r="E162" i="23"/>
  <c r="C176" i="1"/>
  <c r="E150" i="23"/>
  <c r="E170" i="23"/>
  <c r="G160" i="23"/>
  <c r="E163" i="23"/>
  <c r="E156" i="23"/>
  <c r="G162" i="23"/>
  <c r="G150" i="23"/>
  <c r="C164" i="1"/>
  <c r="G163" i="23"/>
  <c r="C177" i="1"/>
  <c r="D176" i="1"/>
  <c r="D162" i="23"/>
  <c r="E176" i="1"/>
  <c r="C170" i="1"/>
  <c r="G156" i="23"/>
  <c r="D174" i="1"/>
  <c r="D160" i="23"/>
  <c r="E174" i="1"/>
  <c r="C184" i="1"/>
  <c r="G170" i="23"/>
  <c r="D164" i="1"/>
  <c r="D150" i="23"/>
  <c r="E164" i="1"/>
  <c r="D156" i="23"/>
  <c r="E170" i="1"/>
  <c r="D170" i="1"/>
  <c r="D184" i="1"/>
  <c r="D170" i="23"/>
  <c r="E184" i="1"/>
  <c r="D177" i="1"/>
  <c r="D163" i="23"/>
  <c r="E177" i="1"/>
  <c r="K6" i="23"/>
  <c r="E152" i="23"/>
  <c r="E172" i="23"/>
  <c r="G172" i="23"/>
  <c r="C166" i="1"/>
  <c r="G152" i="23"/>
  <c r="D186" i="1"/>
  <c r="D172" i="23"/>
  <c r="E186" i="1"/>
  <c r="C186" i="1"/>
  <c r="D166" i="1"/>
  <c r="D152" i="23"/>
  <c r="E166" i="1"/>
  <c r="K5" i="23"/>
  <c r="E153" i="23"/>
  <c r="E158" i="23"/>
  <c r="G158" i="23"/>
  <c r="G153" i="23"/>
  <c r="C167" i="1"/>
  <c r="C172" i="1"/>
  <c r="D158" i="23"/>
  <c r="E172" i="1"/>
  <c r="D172" i="1"/>
  <c r="K4" i="23"/>
  <c r="E166" i="23"/>
  <c r="G166" i="23"/>
  <c r="E169" i="23"/>
  <c r="D153" i="23"/>
  <c r="E167" i="1"/>
  <c r="D167" i="1"/>
  <c r="E167" i="23"/>
  <c r="E159" i="23"/>
  <c r="E165" i="23"/>
  <c r="C180" i="1"/>
  <c r="G169" i="23"/>
  <c r="C183" i="1"/>
  <c r="G159" i="23"/>
  <c r="C173" i="1"/>
  <c r="G165" i="23"/>
  <c r="C179" i="1"/>
  <c r="G167" i="23"/>
  <c r="C181" i="1"/>
  <c r="D166" i="23"/>
  <c r="E180" i="1"/>
  <c r="D180" i="1"/>
  <c r="D183" i="1"/>
  <c r="D169" i="23"/>
  <c r="E183" i="1"/>
  <c r="D167" i="23"/>
  <c r="E181" i="1"/>
  <c r="D181" i="1"/>
  <c r="D165" i="23"/>
  <c r="E179" i="1"/>
  <c r="D179" i="1"/>
  <c r="D173" i="1"/>
  <c r="D159" i="23"/>
  <c r="E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<sst xmlns="http://schemas.openxmlformats.org/spreadsheetml/2006/main" count="3333" uniqueCount="591">
  <si>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</si>
  <si>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</si>
  <si>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</si>
  <si>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</si>
  <si>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</si>
  <si>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</si>
  <si>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</si>
  <si>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</si>
  <si>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</si>
  <si>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</si>
  <si>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</si>
  <si>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</si>
  <si>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</si>
  <si>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</si>
  <si>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</si>
  <si>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</si>
  <si>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</si>
  <si>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</si>
  <si>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</si>
  <si>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</si>
  <si>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</si>
  <si>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</si>
  <si>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</si>
  <si>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</si>
  <si>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</si>
  <si>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</si>
  <si>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</si>
  <si>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</si>
  <si>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</si>
  <si>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</si>
  <si>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</si>
  <si>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</si>
  <si>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</si>
  <si>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</si>
  <si>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</si>
  <si>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</si>
  <si>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</si>
  <si>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Total Risk Premium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</si>
  <si>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</si>
  <si>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</si>
  <si>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</si>
  <si>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</si>
  <si>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</si>
  <si>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</si>
  <si>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</si>
  <si>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</si>
  <si>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</si>
  <si>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</si>
  <si>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</si>
  <si>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</si>
  <si>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</si>
  <si>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</si>
  <si>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</si>
  <si>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</si>
  <si>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</si>
  <si>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</si>
  <si>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</si>
  <si>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</si>
  <si>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</si>
  <si>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</si>
  <si>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</si>
  <si>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</si>
  <si>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</si>
  <si>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</si>
  <si>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</si>
  <si>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</si>
  <si>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</si>
  <si>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</si>
  <si>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</si>
  <si>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</si>
  <si>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</si>
  <si>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</si>
  <si>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</si>
  <si>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Estimating Country Risk Premiums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</si>
  <si>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</si>
  <si>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</si>
  <si>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</si>
  <si>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</si>
  <si>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</si>
  <si>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</si>
  <si>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</si>
  <si>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</si>
  <si>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</si>
  <si>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</si>
  <si>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</si>
  <si>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</si>
  <si>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</si>
  <si>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</si>
  <si>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</si>
  <si>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</si>
  <si>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</si>
  <si>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</si>
  <si>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</si>
  <si>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</si>
  <si>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</si>
  <si>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</si>
  <si>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</si>
  <si>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</si>
  <si>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</si>
  <si>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</si>
  <si>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</si>
  <si>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</si>
  <si>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</si>
  <si>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</si>
  <si>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</si>
  <si>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</si>
  <si>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</si>
  <si>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</si>
  <si>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</si>
  <si>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</si>
  <si>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</si>
  <si>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</si>
  <si>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</si>
  <si>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</si>
  <si>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</si>
  <si>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</si>
  <si>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</si>
  <si>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</si>
  <si>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</si>
  <si>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</si>
  <si>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</si>
  <si>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</si>
  <si>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</si>
  <si>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</si>
  <si>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</si>
  <si>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</si>
  <si>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</si>
  <si>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</si>
  <si>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</si>
  <si>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</si>
  <si>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</si>
  <si>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</si>
  <si>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</si>
  <si>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</si>
  <si>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</si>
  <si>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</si>
  <si>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</si>
  <si>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</si>
  <si>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</si>
  <si>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</si>
  <si>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</si>
  <si>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</si>
  <si>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</si>
  <si>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</si>
  <si>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</si>
  <si>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</si>
  <si>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</si>
  <si>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</si>
  <si>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</si>
  <si>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</si>
  <si>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</si>
  <si>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</si>
  <si>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</si>
  <si>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</si>
  <si>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</si>
  <si>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</si>
  <si>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</si>
  <si>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</si>
  <si>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</si>
  <si>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</si>
  <si>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</si>
  <si>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</si>
  <si>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</si>
  <si>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</si>
  <si>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</si>
  <si>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</si>
  <si>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</si>
  <si>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</si>
  <si>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</si>
  <si>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</si>
  <si>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</si>
  <si>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</si>
  <si>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Campbell Harvey's country risk premium page:</t>
  </si>
  <si>
    <t>http://www.duke.edu/~charvey/Country_risk/couindex.htm</t>
  </si>
  <si>
    <t>Watch my lectures on country risk premiums:</t>
  </si>
  <si>
    <t>http://echo360.stern.nyu.edu:8080/ess/echo/presentation/d5b0232a-ef00-4ffd-b92e-0f95e1685373/media.m4v</t>
  </si>
  <si>
    <t>http://echo360.stern.nyu.edu:8080/ess/echo/presentation/e41ef416-aba8-4dda-8d8b-0fe3b0e6283d/media.m4v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</si>
  <si>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</si>
  <si>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</si>
  <si>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</si>
  <si>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</si>
  <si>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</si>
  <si>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</si>
  <si>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</si>
  <si>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</si>
  <si>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</si>
  <si>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</si>
  <si>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</si>
  <si>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</si>
  <si>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</si>
  <si>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</si>
  <si>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</si>
  <si>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</si>
  <si>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</si>
  <si>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</si>
  <si>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</si>
  <si>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</si>
  <si>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</si>
  <si>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</si>
  <si>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</si>
  <si>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</si>
  <si>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</si>
  <si>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Any country that has a CDS spread lower than the US will have a negative country risk premium and end up with a total equity risk premium lower than the US.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</si>
  <si>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</si>
  <si>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</si>
  <si>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</si>
  <si>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</si>
  <si>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</si>
  <si>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</si>
  <si>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</si>
  <si>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</si>
  <si>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</si>
  <si>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</si>
  <si>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</si>
  <si>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</si>
  <si>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</si>
  <si>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</si>
  <si>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</si>
  <si>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</si>
  <si>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</si>
  <si>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</si>
  <si>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</si>
  <si>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</si>
  <si>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</si>
  <si>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</si>
  <si>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</si>
  <si>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</si>
  <si>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</si>
  <si>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</si>
  <si>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</si>
  <si>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</si>
  <si>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</si>
  <si>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</si>
  <si>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</si>
  <si>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</si>
  <si>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</si>
  <si>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</si>
  <si>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</si>
  <si>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</si>
  <si>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</si>
  <si>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</si>
  <si>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</si>
  <si>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</si>
  <si>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</si>
  <si>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</si>
  <si>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</si>
  <si>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</si>
  <si>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</si>
  <si>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</si>
  <si>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</si>
  <si>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</si>
  <si>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</si>
  <si>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</si>
  <si>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</si>
  <si>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</si>
  <si>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</si>
  <si>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</si>
  <si>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</si>
  <si>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</si>
  <si>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</si>
  <si>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</si>
  <si>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</si>
  <si>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</si>
  <si>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GDP (in billions)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</si>
  <si>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</si>
  <si>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</si>
  <si>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</si>
  <si>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</si>
  <si>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</si>
  <si>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</si>
  <si>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</si>
  <si>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</si>
  <si>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</si>
  <si>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</si>
  <si>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</si>
  <si>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</si>
  <si>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</si>
  <si>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</si>
  <si>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</si>
  <si>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</si>
  <si>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</si>
  <si>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</si>
  <si>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</si>
  <si>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</si>
  <si>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</si>
  <si>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</si>
  <si>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TRP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</si>
  <si>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</si>
  <si>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</si>
  <si>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</si>
  <si>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</si>
  <si>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</si>
  <si>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</si>
  <si>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</si>
  <si>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</si>
  <si>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</si>
  <si>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</si>
  <si>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</si>
  <si>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</si>
  <si>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</si>
  <si>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</si>
  <si>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</si>
  <si>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</si>
  <si>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</si>
  <si>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</si>
  <si>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Weigth*Default Spread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</si>
  <si>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</si>
  <si>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</si>
  <si>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</si>
  <si>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</si>
  <si>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</si>
  <si>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</si>
  <si>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</si>
  <si>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</si>
  <si>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</si>
  <si>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</si>
  <si>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</si>
  <si>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</si>
  <si>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</si>
  <si>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</si>
  <si>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</si>
  <si>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</si>
  <si>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</si>
  <si>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</si>
  <si>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</si>
  <si>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</si>
  <si>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</si>
  <si>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</si>
  <si>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</si>
  <si>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</si>
  <si>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</si>
  <si>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</si>
  <si>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</si>
  <si>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</si>
  <si>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</si>
  <si>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</si>
  <si>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</si>
  <si>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</si>
  <si>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</si>
  <si>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</si>
  <si>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</si>
  <si>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</si>
  <si>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</si>
  <si>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</si>
  <si>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</si>
  <si>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</si>
  <si>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</si>
  <si>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</si>
  <si>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</si>
  <si>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</si>
  <si>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</si>
  <si>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</si>
  <si>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</si>
  <si>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</si>
  <si>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</si>
  <si>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</si>
  <si>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</si>
  <si>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</si>
  <si>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</si>
  <si>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</si>
  <si>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</si>
  <si>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</si>
  <si>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</si>
  <si>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</si>
  <si>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</si>
  <si>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</si>
  <si>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</si>
  <si>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</si>
  <si>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</si>
  <si>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</si>
  <si>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</si>
  <si>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</si>
  <si>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</si>
  <si>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</si>
  <si>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</si>
  <si>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</si>
  <si>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</si>
  <si>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</si>
  <si>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</si>
  <si>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</si>
  <si>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</si>
  <si>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</si>
  <si>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</si>
  <si>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</si>
  <si>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</si>
  <si>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</si>
  <si>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</si>
  <si>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</si>
  <si>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</si>
  <si>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</si>
  <si>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</si>
  <si>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</si>
  <si>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</si>
  <si>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</si>
  <si>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</si>
  <si>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</si>
  <si>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</si>
  <si>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</si>
  <si>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</si>
  <si>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</si>
  <si>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</si>
  <si>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</si>
  <si>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</si>
  <si>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</si>
  <si>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1.34, but you can change it to 1, if you would</t>
    </r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</si>
  <si>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</si>
  <si>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</si>
  <si>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</si>
  <si>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</si>
  <si>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S&amp;P Emerging BMI (US Dollar) Gross Total Return</t>
  </si>
  <si>
    <t>CDS</t>
  </si>
  <si>
    <t>Sovereign CDS, net of US</t>
  </si>
  <si>
    <t>Std deviation in Equities (weekly)</t>
  </si>
  <si>
    <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</si>
  <si>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</si>
  <si>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 (</t>
    </r>
    <r>
      <rPr>
        <i/>
        <sz val="8"/>
        <color indexed="8"/>
        <rFont val="Calibri (Body)"/>
      </rPr>
      <t>CDS)</t>
    </r>
  </si>
  <si>
    <r>
      <rPr>
        <i/>
        <vertAlign val="subscript"/>
        <sz val="10"/>
        <color indexed="8"/>
        <rFont val="Calibri (Body)"/>
      </rPr>
      <t>CV</t>
    </r>
    <r>
      <rPr>
        <i/>
        <vertAlign val="subscript"/>
        <sz val="10"/>
        <color indexed="8"/>
        <rFont val="Times New Roman"/>
        <family val="1"/>
      </rPr>
      <t>CDS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</si>
  <si>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CDS</t>
    </r>
  </si>
  <si>
    <t>Korea, Rep.</t>
  </si>
  <si>
    <t>Russian Federation</t>
  </si>
  <si>
    <t>Iran, Islamic Rep.</t>
  </si>
  <si>
    <t>Egypt, Arab Rep.</t>
  </si>
  <si>
    <t>Hong Kong SAR, China</t>
  </si>
  <si>
    <t>Puerto Rico</t>
  </si>
  <si>
    <t>Slovak Republic</t>
  </si>
  <si>
    <t>Uzbekistan</t>
  </si>
  <si>
    <t>Macao SAR, China</t>
  </si>
  <si>
    <t>Yemen, Rep.</t>
  </si>
  <si>
    <t>Congo, Dem. Rep.</t>
  </si>
  <si>
    <t>Nepal</t>
  </si>
  <si>
    <t>Afghanistan</t>
  </si>
  <si>
    <t>Brunei Darussalam</t>
  </si>
  <si>
    <t>West Bank and Gaza</t>
  </si>
  <si>
    <t>Lao PDR</t>
  </si>
  <si>
    <t>Equatorial Guinea</t>
  </si>
  <si>
    <t>Chad</t>
  </si>
  <si>
    <t>Macedonia, FYR</t>
  </si>
  <si>
    <t>South Sudan</t>
  </si>
  <si>
    <t>Bahamas, The</t>
  </si>
  <si>
    <t>Congo, Rep.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</si>
  <si>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</si>
  <si>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</si>
  <si>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</si>
  <si>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</si>
  <si>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</si>
  <si>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</si>
  <si>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</si>
  <si>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</si>
  <si>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</si>
  <si>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</si>
  <si>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</si>
  <si>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Cabo Verde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</si>
  <si>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</si>
  <si>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</si>
  <si>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</si>
  <si>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</si>
  <si>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</si>
  <si>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</si>
  <si>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</si>
  <si>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</si>
  <si>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</si>
  <si>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</si>
  <si>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</si>
  <si>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</si>
  <si>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</si>
  <si>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</si>
  <si>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</si>
  <si>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</si>
  <si>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</si>
  <si>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</si>
  <si>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</si>
  <si>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Nauru</t>
  </si>
  <si>
    <t>Tuvalu</t>
  </si>
  <si>
    <t>FC</t>
  </si>
  <si>
    <t>LC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</si>
  <si>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</si>
  <si>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</si>
  <si>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</si>
  <si>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</si>
  <si>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</si>
  <si>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</si>
  <si>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</si>
  <si>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</si>
  <si>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</si>
  <si>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</si>
  <si>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</si>
  <si>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</si>
  <si>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</si>
  <si>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</si>
  <si>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</si>
  <si>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</si>
  <si>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</si>
  <si>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</si>
  <si>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</si>
  <si>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</si>
  <si>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</si>
  <si>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Congo (DRC)</t>
  </si>
  <si>
    <t>Ras Al Khaimah</t>
  </si>
  <si>
    <t>Updated: July 2017</t>
  </si>
  <si>
    <t>CDS % Change</t>
  </si>
  <si>
    <t xml:space="preserve">Ca </t>
  </si>
  <si>
    <t>Below Ca</t>
  </si>
  <si>
    <t>CDS Spread (1/1/18)</t>
  </si>
  <si>
    <t>Country Name</t>
  </si>
  <si>
    <t>2016 (in billions)</t>
  </si>
  <si>
    <t>Arab World</t>
  </si>
  <si>
    <t>American Samoa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</si>
  <si>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</si>
  <si>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</si>
  <si>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</si>
  <si>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</si>
  <si>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</si>
  <si>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</si>
  <si>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</si>
  <si>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</si>
  <si>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</si>
  <si>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</si>
  <si>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</si>
  <si>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</si>
  <si>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</si>
  <si>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</si>
  <si>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</si>
  <si>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</si>
  <si>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</si>
  <si>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</si>
  <si>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</si>
  <si>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</si>
  <si>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</si>
  <si>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</si>
  <si>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</si>
  <si>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</si>
  <si>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</si>
  <si>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</si>
  <si>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</si>
  <si>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St. Martin (French part)</t>
  </si>
  <si>
    <t>Monaco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</si>
  <si>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</si>
  <si>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</si>
  <si>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</si>
  <si>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</si>
  <si>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</si>
  <si>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</si>
  <si>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</si>
  <si>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</si>
  <si>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Korea, Dem. People’s Rep.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</si>
  <si>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</si>
  <si>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</si>
  <si>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</si>
  <si>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</si>
  <si>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</si>
  <si>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</si>
  <si>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</si>
  <si>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</si>
  <si>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Sao Tome and Principe</t>
  </si>
  <si>
    <t>Syrian Arab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</si>
  <si>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</si>
  <si>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</si>
  <si>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</si>
  <si>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</si>
  <si>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</si>
  <si>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</si>
  <si>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</si>
  <si>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Venezuela, RB</t>
  </si>
  <si>
    <t>British Virgin Islands</t>
  </si>
  <si>
    <t>Virgin Islands (U.S.)</t>
  </si>
  <si>
    <t>World</t>
  </si>
  <si>
    <t>Guernsey (Channel Islands)</t>
  </si>
  <si>
    <t>Jersey (Channel Islands)</t>
  </si>
  <si>
    <t>Sint Maarten</t>
  </si>
  <si>
    <t>Dubai</t>
  </si>
  <si>
    <t>CDS Spread net of US</t>
  </si>
  <si>
    <t>Equity Risk Premium</t>
  </si>
  <si>
    <t>Tax Rate: 2017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</si>
  <si>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</si>
  <si>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</si>
  <si>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</si>
  <si>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</si>
  <si>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</si>
  <si>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</si>
  <si>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</si>
  <si>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</si>
  <si>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</si>
  <si>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https://papers.ssrn.com/sol3/papers.cfm?abstract_id=3140837</t>
  </si>
  <si>
    <t>Local currency ratings</t>
  </si>
  <si>
    <t>Congo-Brazzaville</t>
  </si>
  <si>
    <t>Guatamela</t>
  </si>
  <si>
    <t>CDS Spread (7/1/18)</t>
  </si>
  <si>
    <t>Updated Default Spread (7/1/18)</t>
  </si>
  <si>
    <t>Default Spread (1/1/18)</t>
  </si>
  <si>
    <t>Updated July 1, 2018</t>
  </si>
  <si>
    <t>Average of Equity 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</si>
</sst>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0.0"/>
    <numFmt numFmtId="166" formatCode="0.0000%"/>
    <numFmt numFmtId="167" formatCode="0.000"/>
    <numFmt numFmtId="168" formatCode="yyyy\-mm\-dd"/>
  </numFmts>
  <fonts count="71">
    <font>
      <sz val="9"/>
      <name val="Geneva"/>
      <family val="2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b/>
      <sz val="11"/>
      <name val="Arial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i/>
      <sz val="10"/>
      <color indexed="8"/>
      <name val="Symbol"/>
      <charset val="2"/>
    </font>
    <font>
      <i/>
      <vertAlign val="subscript"/>
      <sz val="10"/>
      <color indexed="8"/>
      <name val="Times New Roman"/>
      <family val="1"/>
    </font>
    <font>
      <i/>
      <sz val="8"/>
      <color indexed="8"/>
      <name val="Calibri (Body)"/>
    </font>
    <font>
      <i/>
      <vertAlign val="subscript"/>
      <sz val="10"/>
      <color indexed="8"/>
      <name val="Calibri (Body)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i/>
      <sz val="10"/>
      <color rgb="FF000000"/>
      <name val="Times New Roman"/>
      <family val="1"/>
    </font>
    <font>
      <i/>
      <sz val="10"/>
      <color theme="1"/>
      <name val="Symbol"/>
      <charset val="2"/>
    </font>
    <font>
      <i/>
      <sz val="8"/>
      <color theme="1"/>
      <name val="Symbol"/>
      <charset val="2"/>
    </font>
    <font>
      <i/>
      <sz val="10"/>
      <color theme="1"/>
      <name val="Calibri (Body)"/>
    </font>
    <font>
      <i/>
      <vertAlign val="subscript"/>
      <sz val="10"/>
      <color theme="1"/>
      <name val="Symbol"/>
      <charset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9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Arial"/>
      <family val="2"/>
    </font>
    <font>
      <b/>
      <sz val="13.2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7" fillId="5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3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0" fontId="5" fillId="0" borderId="1" xfId="4" applyNumberFormat="1" applyFont="1" applyBorder="1"/>
    <xf numFmtId="10" fontId="5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0" fontId="0" fillId="0" borderId="1" xfId="0" applyBorder="1"/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10" fontId="5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5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5" fillId="0" borderId="0" xfId="4" applyNumberFormat="1" applyFont="1" applyBorder="1" applyAlignment="1">
      <alignment horizontal="center"/>
    </xf>
    <xf numFmtId="10" fontId="5" fillId="0" borderId="0" xfId="4" applyNumberFormat="1" applyFont="1" applyBorder="1"/>
    <xf numFmtId="10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6" fillId="0" borderId="1" xfId="0" applyFont="1" applyBorder="1"/>
    <xf numFmtId="0" fontId="37" fillId="0" borderId="1" xfId="0" applyFont="1" applyBorder="1"/>
    <xf numFmtId="0" fontId="38" fillId="0" borderId="1" xfId="0" applyFont="1" applyBorder="1"/>
    <xf numFmtId="0" fontId="17" fillId="0" borderId="0" xfId="0" applyFont="1" applyBorder="1"/>
    <xf numFmtId="0" fontId="39" fillId="0" borderId="0" xfId="0" applyFont="1"/>
    <xf numFmtId="0" fontId="0" fillId="0" borderId="0" xfId="0" applyAlignment="1"/>
    <xf numFmtId="0" fontId="35" fillId="0" borderId="1" xfId="3" applyFont="1" applyFill="1" applyBorder="1"/>
    <xf numFmtId="0" fontId="35" fillId="0" borderId="1" xfId="3" applyFont="1" applyFill="1" applyBorder="1" applyAlignment="1">
      <alignment horizontal="left"/>
    </xf>
    <xf numFmtId="0" fontId="40" fillId="0" borderId="0" xfId="0" applyFont="1"/>
    <xf numFmtId="0" fontId="15" fillId="0" borderId="1" xfId="3" applyFont="1" applyFill="1" applyBorder="1" applyAlignment="1">
      <alignment horizontal="left"/>
    </xf>
    <xf numFmtId="0" fontId="5" fillId="0" borderId="1" xfId="0" applyFont="1" applyFill="1" applyBorder="1"/>
    <xf numFmtId="0" fontId="41" fillId="0" borderId="1" xfId="0" applyFont="1" applyBorder="1"/>
    <xf numFmtId="165" fontId="41" fillId="0" borderId="1" xfId="0" applyNumberFormat="1" applyFont="1" applyBorder="1"/>
    <xf numFmtId="0" fontId="35" fillId="3" borderId="1" xfId="0" applyFont="1" applyFill="1" applyBorder="1" applyAlignment="1">
      <alignment vertical="center"/>
    </xf>
    <xf numFmtId="165" fontId="35" fillId="3" borderId="1" xfId="0" applyNumberFormat="1" applyFont="1" applyFill="1" applyBorder="1" applyAlignment="1">
      <alignment vertical="center"/>
    </xf>
    <xf numFmtId="0" fontId="42" fillId="0" borderId="0" xfId="0" applyFont="1"/>
    <xf numFmtId="0" fontId="35" fillId="0" borderId="0" xfId="0" applyFont="1"/>
    <xf numFmtId="0" fontId="35" fillId="7" borderId="1" xfId="0" applyFont="1" applyFill="1" applyBorder="1"/>
    <xf numFmtId="0" fontId="35" fillId="0" borderId="0" xfId="0" applyFont="1" applyAlignment="1">
      <alignment horizontal="center"/>
    </xf>
    <xf numFmtId="0" fontId="35" fillId="8" borderId="1" xfId="0" applyFont="1" applyFill="1" applyBorder="1" applyAlignment="1">
      <alignment horizontal="center"/>
    </xf>
    <xf numFmtId="10" fontId="35" fillId="8" borderId="1" xfId="4" applyNumberFormat="1" applyFont="1" applyFill="1" applyBorder="1" applyAlignment="1">
      <alignment horizontal="center"/>
    </xf>
    <xf numFmtId="0" fontId="0" fillId="7" borderId="1" xfId="0" applyFill="1" applyBorder="1"/>
    <xf numFmtId="10" fontId="3" fillId="8" borderId="1" xfId="4" applyNumberFormat="1" applyFont="1" applyFill="1" applyBorder="1"/>
    <xf numFmtId="0" fontId="35" fillId="0" borderId="3" xfId="0" applyFont="1" applyBorder="1"/>
    <xf numFmtId="0" fontId="35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18" fillId="9" borderId="0" xfId="0" applyFont="1" applyFill="1" applyAlignment="1">
      <alignment horizontal="left" vertical="center" wrapText="1"/>
    </xf>
    <xf numFmtId="0" fontId="16" fillId="0" borderId="3" xfId="0" applyFont="1" applyBorder="1"/>
    <xf numFmtId="165" fontId="34" fillId="3" borderId="1" xfId="0" applyNumberFormat="1" applyFont="1" applyFill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43" fillId="0" borderId="1" xfId="0" applyFont="1" applyBorder="1"/>
    <xf numFmtId="0" fontId="19" fillId="0" borderId="1" xfId="0" applyFont="1" applyBorder="1"/>
    <xf numFmtId="0" fontId="0" fillId="0" borderId="0" xfId="0" applyFont="1"/>
    <xf numFmtId="0" fontId="19" fillId="0" borderId="2" xfId="0" applyFont="1" applyBorder="1" applyAlignment="1">
      <alignment horizontal="center"/>
    </xf>
    <xf numFmtId="0" fontId="19" fillId="0" borderId="1" xfId="0" applyFont="1" applyFill="1" applyBorder="1"/>
    <xf numFmtId="0" fontId="39" fillId="0" borderId="1" xfId="0" applyFont="1" applyBorder="1" applyAlignment="1">
      <alignment horizontal="center"/>
    </xf>
    <xf numFmtId="10" fontId="39" fillId="0" borderId="1" xfId="4" applyNumberFormat="1" applyFont="1" applyBorder="1" applyAlignment="1">
      <alignment horizontal="center"/>
    </xf>
    <xf numFmtId="10" fontId="39" fillId="0" borderId="2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1" xfId="0" applyFont="1" applyFill="1" applyBorder="1"/>
    <xf numFmtId="10" fontId="35" fillId="0" borderId="1" xfId="4" applyNumberFormat="1" applyFont="1" applyBorder="1" applyAlignment="1">
      <alignment horizontal="center"/>
    </xf>
    <xf numFmtId="0" fontId="39" fillId="0" borderId="1" xfId="0" applyFont="1" applyBorder="1"/>
    <xf numFmtId="0" fontId="41" fillId="0" borderId="0" xfId="0" applyFont="1"/>
    <xf numFmtId="10" fontId="35" fillId="0" borderId="0" xfId="4" applyNumberFormat="1" applyFont="1"/>
    <xf numFmtId="10" fontId="39" fillId="0" borderId="0" xfId="0" applyNumberFormat="1" applyFont="1"/>
    <xf numFmtId="10" fontId="39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" xfId="0" applyFont="1" applyBorder="1"/>
    <xf numFmtId="10" fontId="0" fillId="0" borderId="1" xfId="0" applyNumberFormat="1" applyBorder="1" applyAlignment="1">
      <alignment horizontal="center"/>
    </xf>
    <xf numFmtId="0" fontId="39" fillId="9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44" fillId="0" borderId="0" xfId="0" applyFont="1"/>
    <xf numFmtId="0" fontId="45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3" fillId="0" borderId="0" xfId="0" applyFont="1"/>
    <xf numFmtId="0" fontId="46" fillId="0" borderId="0" xfId="0" applyFont="1"/>
    <xf numFmtId="10" fontId="41" fillId="0" borderId="1" xfId="4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0" fontId="35" fillId="8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0" fontId="10" fillId="3" borderId="1" xfId="3" applyFont="1" applyFill="1" applyBorder="1" applyAlignment="1">
      <alignment vertical="center"/>
    </xf>
    <xf numFmtId="0" fontId="10" fillId="3" borderId="1" xfId="3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0" fontId="34" fillId="0" borderId="0" xfId="4" applyNumberFormat="1" applyFont="1"/>
    <xf numFmtId="10" fontId="32" fillId="0" borderId="0" xfId="4" applyNumberFormat="1" applyFont="1"/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168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2" fontId="0" fillId="0" borderId="0" xfId="0" applyNumberFormat="1"/>
    <xf numFmtId="10" fontId="32" fillId="0" borderId="4" xfId="4" applyNumberFormat="1" applyFont="1" applyBorder="1"/>
    <xf numFmtId="0" fontId="25" fillId="0" borderId="0" xfId="0" applyFont="1"/>
    <xf numFmtId="14" fontId="25" fillId="0" borderId="0" xfId="0" applyNumberFormat="1" applyFont="1" applyAlignment="1">
      <alignment wrapText="1"/>
    </xf>
    <xf numFmtId="0" fontId="25" fillId="0" borderId="0" xfId="0" applyFont="1" applyAlignment="1">
      <alignment wrapText="1"/>
    </xf>
    <xf numFmtId="10" fontId="32" fillId="0" borderId="1" xfId="4" applyNumberFormat="1" applyFont="1" applyBorder="1" applyAlignment="1">
      <alignment wrapText="1"/>
    </xf>
    <xf numFmtId="10" fontId="32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5" fillId="0" borderId="0" xfId="0" applyFont="1" applyAlignment="1">
      <alignment horizontal="left"/>
    </xf>
    <xf numFmtId="2" fontId="3" fillId="8" borderId="1" xfId="4" applyNumberFormat="1" applyFont="1" applyFill="1" applyBorder="1" applyAlignment="1">
      <alignment horizontal="center"/>
    </xf>
    <xf numFmtId="10" fontId="3" fillId="8" borderId="1" xfId="4" applyNumberFormat="1" applyFont="1" applyFill="1" applyBorder="1" applyAlignment="1">
      <alignment horizontal="center"/>
    </xf>
    <xf numFmtId="0" fontId="26" fillId="0" borderId="0" xfId="0" applyFont="1"/>
    <xf numFmtId="0" fontId="16" fillId="0" borderId="0" xfId="0" applyFont="1"/>
    <xf numFmtId="0" fontId="5" fillId="0" borderId="5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0" fontId="5" fillId="0" borderId="6" xfId="0" applyNumberFormat="1" applyFont="1" applyBorder="1" applyAlignment="1">
      <alignment horizontal="center"/>
    </xf>
    <xf numFmtId="10" fontId="19" fillId="0" borderId="0" xfId="4" applyNumberFormat="1" applyFont="1" applyFill="1" applyBorder="1" applyAlignment="1">
      <alignment horizontal="center"/>
    </xf>
    <xf numFmtId="10" fontId="32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1" fillId="6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5" fillId="0" borderId="1" xfId="0" applyFont="1" applyBorder="1" applyAlignment="1">
      <alignment horizontal="center" wrapText="1"/>
    </xf>
    <xf numFmtId="165" fontId="15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44" fillId="0" borderId="1" xfId="0" applyFont="1" applyBorder="1"/>
    <xf numFmtId="10" fontId="35" fillId="0" borderId="1" xfId="0" applyNumberFormat="1" applyFont="1" applyBorder="1"/>
    <xf numFmtId="167" fontId="0" fillId="0" borderId="1" xfId="0" applyNumberFormat="1" applyBorder="1"/>
    <xf numFmtId="10" fontId="19" fillId="0" borderId="0" xfId="0" applyNumberFormat="1" applyFont="1" applyBorder="1" applyAlignment="1">
      <alignment horizontal="center"/>
    </xf>
    <xf numFmtId="0" fontId="47" fillId="0" borderId="1" xfId="0" applyFont="1" applyBorder="1" applyAlignment="1">
      <alignment vertical="center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166" fontId="49" fillId="0" borderId="1" xfId="4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vertical="center"/>
    </xf>
    <xf numFmtId="10" fontId="53" fillId="0" borderId="1" xfId="0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166" fontId="54" fillId="0" borderId="1" xfId="4" applyNumberFormat="1" applyFont="1" applyBorder="1" applyAlignment="1">
      <alignment horizontal="center" vertical="center"/>
    </xf>
    <xf numFmtId="10" fontId="54" fillId="0" borderId="1" xfId="0" applyNumberFormat="1" applyFont="1" applyBorder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10" fontId="55" fillId="0" borderId="1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vertical="center"/>
    </xf>
    <xf numFmtId="10" fontId="57" fillId="0" borderId="1" xfId="0" applyNumberFormat="1" applyFont="1" applyBorder="1" applyAlignment="1">
      <alignment horizontal="center" vertical="center"/>
    </xf>
    <xf numFmtId="10" fontId="58" fillId="0" borderId="1" xfId="0" applyNumberFormat="1" applyFont="1" applyBorder="1" applyAlignment="1">
      <alignment horizontal="center" vertical="center"/>
    </xf>
    <xf numFmtId="166" fontId="0" fillId="0" borderId="0" xfId="4" applyNumberFormat="1" applyFont="1"/>
    <xf numFmtId="0" fontId="52" fillId="0" borderId="1" xfId="0" applyFont="1" applyFill="1" applyBorder="1" applyAlignment="1">
      <alignment vertical="center"/>
    </xf>
    <xf numFmtId="2" fontId="54" fillId="0" borderId="1" xfId="0" applyNumberFormat="1" applyFont="1" applyFill="1" applyBorder="1" applyAlignment="1">
      <alignment horizontal="center" vertical="center"/>
    </xf>
    <xf numFmtId="166" fontId="0" fillId="0" borderId="1" xfId="4" applyNumberFormat="1" applyFont="1" applyBorder="1"/>
    <xf numFmtId="166" fontId="0" fillId="0" borderId="1" xfId="4" applyNumberFormat="1" applyFont="1" applyBorder="1" applyAlignment="1">
      <alignment horizontal="center"/>
    </xf>
    <xf numFmtId="0" fontId="6" fillId="0" borderId="0" xfId="2" applyAlignment="1" applyProtection="1"/>
    <xf numFmtId="165" fontId="32" fillId="3" borderId="1" xfId="0" applyNumberFormat="1" applyFont="1" applyFill="1" applyBorder="1" applyAlignment="1">
      <alignment vertical="center"/>
    </xf>
    <xf numFmtId="0" fontId="24" fillId="3" borderId="0" xfId="3" applyFont="1" applyFill="1" applyBorder="1" applyAlignment="1">
      <alignment horizontal="center" wrapText="1"/>
    </xf>
    <xf numFmtId="0" fontId="59" fillId="3" borderId="9" xfId="3" applyFont="1" applyFill="1" applyBorder="1" applyAlignment="1">
      <alignment vertical="center"/>
    </xf>
    <xf numFmtId="0" fontId="0" fillId="0" borderId="0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35" fillId="0" borderId="1" xfId="0" applyFont="1" applyBorder="1" applyAlignment="1">
      <alignment horizontal="left"/>
    </xf>
    <xf numFmtId="165" fontId="16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0" fontId="5" fillId="0" borderId="5" xfId="4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60" fillId="0" borderId="0" xfId="0" applyFont="1"/>
    <xf numFmtId="0" fontId="33" fillId="0" borderId="1" xfId="0" applyFont="1" applyBorder="1"/>
    <xf numFmtId="10" fontId="33" fillId="0" borderId="1" xfId="0" applyNumberFormat="1" applyFont="1" applyBorder="1" applyAlignment="1">
      <alignment horizontal="center"/>
    </xf>
    <xf numFmtId="0" fontId="32" fillId="3" borderId="1" xfId="0" applyFont="1" applyFill="1" applyBorder="1" applyAlignment="1">
      <alignment vertical="center"/>
    </xf>
    <xf numFmtId="0" fontId="24" fillId="3" borderId="13" xfId="3" applyFont="1" applyFill="1" applyBorder="1" applyAlignment="1">
      <alignment horizontal="center" wrapText="1"/>
    </xf>
    <xf numFmtId="0" fontId="61" fillId="0" borderId="0" xfId="0" applyFont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39" fillId="0" borderId="1" xfId="0" applyFont="1" applyFill="1" applyBorder="1" applyAlignment="1">
      <alignment horizontal="center" vertical="center" wrapText="1"/>
    </xf>
    <xf numFmtId="10" fontId="35" fillId="0" borderId="1" xfId="4" applyNumberFormat="1" applyFont="1" applyFill="1" applyBorder="1" applyAlignment="1">
      <alignment horizontal="center"/>
    </xf>
    <xf numFmtId="0" fontId="33" fillId="0" borderId="1" xfId="0" applyFont="1" applyFill="1" applyBorder="1"/>
    <xf numFmtId="0" fontId="0" fillId="0" borderId="0" xfId="0" applyFill="1"/>
    <xf numFmtId="0" fontId="17" fillId="0" borderId="0" xfId="0" applyFont="1" applyFill="1" applyBorder="1"/>
    <xf numFmtId="0" fontId="39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center"/>
    </xf>
    <xf numFmtId="10" fontId="61" fillId="0" borderId="0" xfId="0" applyNumberFormat="1" applyFont="1" applyAlignment="1">
      <alignment horizontal="center"/>
    </xf>
    <xf numFmtId="0" fontId="63" fillId="0" borderId="1" xfId="0" applyFont="1" applyBorder="1"/>
    <xf numFmtId="10" fontId="63" fillId="0" borderId="1" xfId="4" applyNumberFormat="1" applyFont="1" applyBorder="1" applyAlignment="1">
      <alignment horizontal="center"/>
    </xf>
    <xf numFmtId="10" fontId="64" fillId="0" borderId="0" xfId="4" applyNumberFormat="1" applyFont="1"/>
    <xf numFmtId="0" fontId="0" fillId="0" borderId="1" xfId="0" applyBorder="1" applyAlignment="1">
      <alignment horizontal="center"/>
    </xf>
    <xf numFmtId="0" fontId="65" fillId="0" borderId="1" xfId="0" applyFont="1" applyBorder="1"/>
    <xf numFmtId="0" fontId="66" fillId="3" borderId="9" xfId="3" applyFont="1" applyFill="1" applyBorder="1" applyAlignment="1">
      <alignment vertical="center"/>
    </xf>
    <xf numFmtId="0" fontId="66" fillId="3" borderId="9" xfId="3" applyFont="1" applyFill="1" applyBorder="1" applyAlignment="1">
      <alignment horizontal="center" vertical="center"/>
    </xf>
    <xf numFmtId="0" fontId="66" fillId="6" borderId="9" xfId="3" applyFont="1" applyFill="1" applyBorder="1" applyAlignment="1">
      <alignment vertical="center"/>
    </xf>
    <xf numFmtId="0" fontId="66" fillId="6" borderId="9" xfId="3" applyFont="1" applyFill="1" applyBorder="1" applyAlignment="1">
      <alignment horizontal="center" vertical="center"/>
    </xf>
    <xf numFmtId="0" fontId="66" fillId="3" borderId="9" xfId="3" applyFont="1" applyFill="1" applyBorder="1" applyAlignment="1">
      <alignment horizontal="left" vertical="center"/>
    </xf>
    <xf numFmtId="0" fontId="65" fillId="0" borderId="9" xfId="0" applyFont="1" applyBorder="1"/>
    <xf numFmtId="0" fontId="67" fillId="0" borderId="3" xfId="0" applyFont="1" applyBorder="1"/>
    <xf numFmtId="14" fontId="39" fillId="0" borderId="1" xfId="0" applyNumberFormat="1" applyFont="1" applyBorder="1" applyAlignment="1">
      <alignment horizontal="center" vertical="center" wrapText="1"/>
    </xf>
    <xf numFmtId="10" fontId="65" fillId="0" borderId="1" xfId="4" applyNumberFormat="1" applyFont="1" applyFill="1" applyBorder="1" applyAlignment="1">
      <alignment horizontal="center"/>
    </xf>
    <xf numFmtId="0" fontId="70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10" fontId="0" fillId="10" borderId="1" xfId="4" applyNumberFormat="1" applyFont="1" applyFill="1" applyBorder="1" applyAlignment="1">
      <alignment horizontal="center"/>
    </xf>
    <xf numFmtId="0" fontId="6" fillId="0" borderId="0" xfId="2" applyAlignment="1" applyProtection="1">
      <alignment horizontal="left" vertical="top" wrapText="1"/>
    </xf>
    <xf numFmtId="0" fontId="45" fillId="0" borderId="0" xfId="2" applyFont="1" applyAlignment="1" applyProtection="1">
      <alignment horizontal="left" vertical="top" wrapText="1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4" borderId="0" xfId="3" applyFont="1" applyFill="1" applyBorder="1" applyAlignment="1">
      <alignment horizontal="center"/>
    </xf>
    <xf numFmtId="164" fontId="12" fillId="4" borderId="0" xfId="3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/>
    </xf>
  </cellXfs>
  <cellStyles count="5">
    <cellStyle name="blp_column_header" xfId="1" xr:uid="{00000000-0005-0000-0000-000000000000}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1850.245807060186" createdVersion="4" refreshedVersion="6" minRefreshableVersion="3" recordCount="151" xr:uid="{00000000-000A-0000-FFFF-FFFF0A000000}">
  <cacheSource type="worksheet">
    <worksheetSource ref="A1:H152" sheet="Regional breakdown"/>
  </cacheSource>
  <cacheFields count="8">
    <cacheField name="Country" numFmtId="0">
      <sharedItems/>
    </cacheField>
    <cacheField name="GDP (in billions)" numFmtId="2">
      <sharedItems containsSemiMixedTypes="0" containsString="0" containsNumber="1" minValue="0.5" maxValue="18624.48"/>
    </cacheField>
    <cacheField name="Moody's rating" numFmtId="0">
      <sharedItems/>
    </cacheField>
    <cacheField name="Adj. Default Spread" numFmtId="10">
      <sharedItems containsSemiMixedTypes="0" containsString="0" containsNumber="1" minValue="0" maxValue="0.18"/>
    </cacheField>
    <cacheField name="Equity Risk Premium" numFmtId="10">
      <sharedItems containsSemiMixedTypes="0" containsString="0" containsNumber="1" minValue="5.3699999999999998E-2" maxValue="0.27362196611390255" count="20">
        <n v="6.0710297204997758E-2"/>
        <n v="0.11730251464170696"/>
        <n v="8.0594049277355057E-2"/>
        <n v="0.14559862336006157"/>
        <n v="0.13145056900088425"/>
        <n v="7.6260411005174611E-2"/>
        <n v="5.3699999999999998E-2"/>
        <n v="5.9308237763998205E-2"/>
        <n v="9.6144163077531902E-2"/>
        <n v="8.4800227600353703E-2"/>
        <n v="0.10455651972352922"/>
        <n v="0.19492562369340946"/>
        <n v="6.223981659517909E-2"/>
        <n v="6.5681235223087081E-2"/>
        <n v="6.3641876036178643E-2"/>
        <n v="0.18090502928341393"/>
        <n v="7.0652173241176397E-2"/>
        <n v="0.15961921777005708"/>
        <n v="8.9006405923352364E-2"/>
        <n v="0.27362196611390255"/>
      </sharedItems>
    </cacheField>
    <cacheField name="Country Risk Premium" numFmtId="10">
      <sharedItems containsSemiMixedTypes="0" containsString="0" containsNumber="1" minValue="0" maxValue="0.21992196611390258"/>
    </cacheField>
    <cacheField name="Corporate Tax Rate" numFmtId="10">
      <sharedItems containsSemiMixedTypes="0" containsString="0" containsNumber="1" minValue="0" maxValue="0.55000000000000004" count="41">
        <n v="0"/>
        <n v="0.15"/>
        <n v="0.3"/>
        <n v="0.35"/>
        <n v="0.2"/>
        <n v="0.25"/>
        <n v="0.18"/>
        <n v="0.33989999999999998"/>
        <n v="0.28210000000000002"/>
        <n v="0.1"/>
        <n v="0.22"/>
        <n v="0.34"/>
        <n v="0.27500000000000002"/>
        <n v="0.33"/>
        <n v="0.26500000000000001"/>
        <n v="0.255"/>
        <n v="0.27979999999999999"/>
        <n v="0.125"/>
        <n v="0.19"/>
        <n v="0.27"/>
        <n v="0.22500000000000001"/>
        <n v="0.33329999999999999"/>
        <n v="0.2979"/>
        <n v="0.28999999999999998"/>
        <n v="0.16500000000000001"/>
        <n v="0.09"/>
        <n v="0.24"/>
        <n v="0.30859999999999999"/>
        <n v="0.27079999999999999"/>
        <n v="0.12"/>
        <n v="0.31"/>
        <n v="0.32"/>
        <n v="0.28000000000000003"/>
        <n v="0.29499999999999998"/>
        <n v="0.21"/>
        <n v="0.16"/>
        <n v="0.17"/>
        <n v="0.34499999999999997"/>
        <n v="0.36"/>
        <n v="0.1777"/>
        <n v="0.55000000000000004"/>
      </sharedItems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Abu Dhabi"/>
    <n v="390"/>
    <s v="Aa2"/>
    <n v="5.7377328840633162E-3"/>
    <x v="0"/>
    <n v="7.0102972049977622E-3"/>
    <x v="0"/>
    <x v="0"/>
  </r>
  <r>
    <s v="Albania"/>
    <n v="11.86"/>
    <s v="B1"/>
    <n v="5.2056885620865363E-2"/>
    <x v="1"/>
    <n v="6.3602514641706964E-2"/>
    <x v="1"/>
    <x v="1"/>
  </r>
  <r>
    <s v="Andorra (Principality of)"/>
    <n v="2.86"/>
    <s v="Baa2"/>
    <n v="2.201202979158836E-2"/>
    <x v="2"/>
    <n v="2.6894049277355052E-2"/>
    <x v="0"/>
    <x v="2"/>
  </r>
  <r>
    <s v="Angola"/>
    <n v="102.6"/>
    <s v="B3"/>
    <n v="7.5216461989266389E-2"/>
    <x v="3"/>
    <n v="9.1898623360061577E-2"/>
    <x v="2"/>
    <x v="3"/>
  </r>
  <r>
    <s v="Argentina"/>
    <n v="545.48"/>
    <s v="B2"/>
    <n v="6.3636673805065866E-2"/>
    <x v="4"/>
    <n v="7.7750569000884256E-2"/>
    <x v="3"/>
    <x v="4"/>
  </r>
  <r>
    <s v="Armenia"/>
    <n v="10.57"/>
    <s v="B1"/>
    <n v="5.2056885620865363E-2"/>
    <x v="1"/>
    <n v="6.3602514641706964E-2"/>
    <x v="4"/>
    <x v="1"/>
  </r>
  <r>
    <s v="Aruba"/>
    <n v="2.6"/>
    <s v="Baa1"/>
    <n v="1.846506764507649E-2"/>
    <x v="5"/>
    <n v="2.2560411005174617E-2"/>
    <x v="0"/>
    <x v="5"/>
  </r>
  <r>
    <s v="Australia"/>
    <n v="1204.6199999999999"/>
    <s v="Aaa"/>
    <n v="0"/>
    <x v="6"/>
    <n v="0"/>
    <x v="2"/>
    <x v="6"/>
  </r>
  <r>
    <s v="Austria"/>
    <n v="390.8"/>
    <s v="Aa1"/>
    <n v="4.5901863072506524E-3"/>
    <x v="7"/>
    <n v="5.6082377639982087E-3"/>
    <x v="5"/>
    <x v="2"/>
  </r>
  <r>
    <s v="Azerbaijan"/>
    <n v="37.85"/>
    <s v="Ba2"/>
    <n v="3.4739364552601529E-2"/>
    <x v="8"/>
    <n v="4.2444163077531898E-2"/>
    <x v="4"/>
    <x v="1"/>
  </r>
  <r>
    <s v="Bahamas"/>
    <n v="11.26"/>
    <s v="Baa3"/>
    <n v="2.5454669522026348E-2"/>
    <x v="9"/>
    <n v="3.1100227600353709E-2"/>
    <x v="0"/>
    <x v="5"/>
  </r>
  <r>
    <s v="Bahrain"/>
    <n v="32.18"/>
    <s v="B1"/>
    <n v="5.2056885620865363E-2"/>
    <x v="1"/>
    <n v="6.3602514641706964E-2"/>
    <x v="0"/>
    <x v="0"/>
  </r>
  <r>
    <s v="Bangladesh"/>
    <n v="221.42"/>
    <s v="Ba3"/>
    <n v="4.1624644013477513E-2"/>
    <x v="10"/>
    <n v="5.0856519723529219E-2"/>
    <x v="5"/>
    <x v="7"/>
  </r>
  <r>
    <s v="Barbados"/>
    <n v="4.53"/>
    <s v="Caa3"/>
    <n v="0.11558923700985736"/>
    <x v="11"/>
    <n v="0.14122562369340946"/>
    <x v="5"/>
    <x v="5"/>
  </r>
  <r>
    <s v="Belarus"/>
    <n v="47.41"/>
    <s v="B3"/>
    <n v="7.5216461989266389E-2"/>
    <x v="3"/>
    <n v="9.1898623360061577E-2"/>
    <x v="6"/>
    <x v="1"/>
  </r>
  <r>
    <s v="Belgium"/>
    <n v="467.96"/>
    <s v="Aa3"/>
    <n v="6.9896018769498571E-3"/>
    <x v="12"/>
    <n v="8.5398165951790905E-3"/>
    <x v="7"/>
    <x v="2"/>
  </r>
  <r>
    <s v="Belize"/>
    <n v="1.74"/>
    <s v="B3"/>
    <n v="7.5216461989266389E-2"/>
    <x v="3"/>
    <n v="9.1898623360061577E-2"/>
    <x v="8"/>
    <x v="4"/>
  </r>
  <r>
    <s v="Bermuda"/>
    <n v="5.6"/>
    <s v="A2"/>
    <n v="9.8063071109445767E-3"/>
    <x v="13"/>
    <n v="1.1981235223087083E-2"/>
    <x v="0"/>
    <x v="5"/>
  </r>
  <r>
    <s v="Bolivia"/>
    <n v="33.81"/>
    <s v="Ba3"/>
    <n v="4.1624644013477513E-2"/>
    <x v="10"/>
    <n v="5.0856519723529219E-2"/>
    <x v="5"/>
    <x v="4"/>
  </r>
  <r>
    <s v="Bosnia and Herzegovina"/>
    <n v="16.91"/>
    <s v="B3"/>
    <n v="7.5216461989266389E-2"/>
    <x v="3"/>
    <n v="9.1898623360061577E-2"/>
    <x v="9"/>
    <x v="1"/>
  </r>
  <r>
    <s v="Botswana"/>
    <n v="15.58"/>
    <s v="A2"/>
    <n v="9.8063071109445767E-3"/>
    <x v="13"/>
    <n v="1.1981235223087083E-2"/>
    <x v="10"/>
    <x v="3"/>
  </r>
  <r>
    <s v="Brazil"/>
    <n v="1796.19"/>
    <s v="Ba2"/>
    <n v="3.4739364552601529E-2"/>
    <x v="8"/>
    <n v="4.2444163077531898E-2"/>
    <x v="11"/>
    <x v="4"/>
  </r>
  <r>
    <s v="Bulgaria"/>
    <n v="53.24"/>
    <s v="Baa2"/>
    <n v="2.201202979158836E-2"/>
    <x v="2"/>
    <n v="2.6894049277355052E-2"/>
    <x v="9"/>
    <x v="1"/>
  </r>
  <r>
    <s v="Burkina Faso"/>
    <n v="11.69"/>
    <s v="B2"/>
    <n v="6.3636673805065866E-2"/>
    <x v="4"/>
    <n v="7.7750569000884256E-2"/>
    <x v="12"/>
    <x v="3"/>
  </r>
  <r>
    <s v="Cambodia"/>
    <n v="20.02"/>
    <s v="B2"/>
    <n v="6.3636673805065866E-2"/>
    <x v="4"/>
    <n v="7.7750569000884256E-2"/>
    <x v="4"/>
    <x v="7"/>
  </r>
  <r>
    <s v="Cameroon"/>
    <n v="32.22"/>
    <s v="B2"/>
    <n v="6.3636673805065866E-2"/>
    <x v="4"/>
    <n v="7.7750569000884256E-2"/>
    <x v="13"/>
    <x v="3"/>
  </r>
  <r>
    <s v="Canada"/>
    <n v="1529.76"/>
    <s v="Aaa"/>
    <n v="0"/>
    <x v="6"/>
    <n v="0"/>
    <x v="14"/>
    <x v="8"/>
  </r>
  <r>
    <s v="Cape Verde"/>
    <n v="3.2"/>
    <s v="B2"/>
    <n v="6.3636673805065866E-2"/>
    <x v="4"/>
    <n v="7.7750569000884256E-2"/>
    <x v="0"/>
    <x v="3"/>
  </r>
  <r>
    <s v="Cayman Islands"/>
    <n v="1.9"/>
    <s v="Aa3"/>
    <n v="6.9896018769498571E-3"/>
    <x v="12"/>
    <n v="8.5398165951790905E-3"/>
    <x v="8"/>
    <x v="5"/>
  </r>
  <r>
    <s v="Chile"/>
    <n v="247.03"/>
    <s v="Aa3"/>
    <n v="6.9896018769498571E-3"/>
    <x v="12"/>
    <n v="8.5398165951790905E-3"/>
    <x v="15"/>
    <x v="4"/>
  </r>
  <r>
    <s v="China"/>
    <n v="11199.15"/>
    <s v="A1"/>
    <n v="8.1371484537625226E-3"/>
    <x v="14"/>
    <n v="9.9418760361786457E-3"/>
    <x v="5"/>
    <x v="7"/>
  </r>
  <r>
    <s v="Colombia"/>
    <n v="282.45999999999998"/>
    <s v="Baa2"/>
    <n v="2.201202979158836E-2"/>
    <x v="2"/>
    <n v="2.6894049277355052E-2"/>
    <x v="11"/>
    <x v="4"/>
  </r>
  <r>
    <s v="Congo (Democratic Republic of)"/>
    <n v="31.93"/>
    <s v="B3"/>
    <n v="7.5216461989266389E-2"/>
    <x v="3"/>
    <n v="9.1898623360061577E-2"/>
    <x v="3"/>
    <x v="3"/>
  </r>
  <r>
    <s v="Congo (Republic of)"/>
    <n v="7.83"/>
    <s v="Caa2"/>
    <n v="0.10411377124173073"/>
    <x v="15"/>
    <n v="0.12720502928341393"/>
    <x v="8"/>
    <x v="3"/>
  </r>
  <r>
    <s v="Cook Islands"/>
    <n v="1.2"/>
    <s v="B1"/>
    <n v="5.2056885620865363E-2"/>
    <x v="1"/>
    <n v="6.3602514641706964E-2"/>
    <x v="0"/>
    <x v="6"/>
  </r>
  <r>
    <s v="Costa Rica"/>
    <n v="57.44"/>
    <s v="Ba2"/>
    <n v="3.4739364552601529E-2"/>
    <x v="8"/>
    <n v="4.2444163077531898E-2"/>
    <x v="2"/>
    <x v="4"/>
  </r>
  <r>
    <s v="Côte d'Ivoire"/>
    <n v="36.369999999999997"/>
    <s v="Ba3"/>
    <n v="4.1624644013477513E-2"/>
    <x v="10"/>
    <n v="5.0856519723529219E-2"/>
    <x v="5"/>
    <x v="3"/>
  </r>
  <r>
    <s v="Croatia"/>
    <n v="50.71"/>
    <s v="Ba2"/>
    <n v="3.4739364552601529E-2"/>
    <x v="8"/>
    <n v="4.2444163077531898E-2"/>
    <x v="4"/>
    <x v="1"/>
  </r>
  <r>
    <s v="Cuba"/>
    <n v="77.2"/>
    <s v="Caa2"/>
    <n v="0.10411377124173073"/>
    <x v="15"/>
    <n v="0.12720502928341393"/>
    <x v="16"/>
    <x v="5"/>
  </r>
  <r>
    <s v="Curacao"/>
    <n v="1"/>
    <s v="A3"/>
    <n v="1.3874881337825837E-2"/>
    <x v="16"/>
    <n v="1.6952173241176406E-2"/>
    <x v="10"/>
    <x v="5"/>
  </r>
  <r>
    <s v="Cyprus"/>
    <n v="20.05"/>
    <s v="Ba3"/>
    <n v="4.1624644013477513E-2"/>
    <x v="10"/>
    <n v="5.0856519723529219E-2"/>
    <x v="17"/>
    <x v="2"/>
  </r>
  <r>
    <s v="Czech Republic"/>
    <n v="195.31"/>
    <s v="A1"/>
    <n v="8.1371484537625226E-3"/>
    <x v="14"/>
    <n v="9.9418760361786457E-3"/>
    <x v="18"/>
    <x v="1"/>
  </r>
  <r>
    <s v="Denmark"/>
    <n v="306.89999999999998"/>
    <s v="Aaa"/>
    <n v="0"/>
    <x v="6"/>
    <n v="0"/>
    <x v="10"/>
    <x v="2"/>
  </r>
  <r>
    <s v="Dominican Republic"/>
    <n v="71.58"/>
    <s v="Ba3"/>
    <n v="4.1624644013477513E-2"/>
    <x v="10"/>
    <n v="5.0856519723529219E-2"/>
    <x v="19"/>
    <x v="5"/>
  </r>
  <r>
    <s v="Ecuador"/>
    <n v="98.61"/>
    <s v="B3"/>
    <n v="7.5216461989266389E-2"/>
    <x v="3"/>
    <n v="9.1898623360061577E-2"/>
    <x v="10"/>
    <x v="4"/>
  </r>
  <r>
    <s v="Egypt"/>
    <n v="332.79"/>
    <s v="B3"/>
    <n v="7.5216461989266389E-2"/>
    <x v="3"/>
    <n v="9.1898623360061577E-2"/>
    <x v="20"/>
    <x v="3"/>
  </r>
  <r>
    <s v="El Salvador"/>
    <n v="26.8"/>
    <s v="Caa1"/>
    <n v="8.6691927757393011E-2"/>
    <x v="17"/>
    <n v="0.10591921777005708"/>
    <x v="2"/>
    <x v="4"/>
  </r>
  <r>
    <s v="Estonia"/>
    <n v="23.34"/>
    <s v="A1"/>
    <n v="8.1371484537625226E-3"/>
    <x v="14"/>
    <n v="9.9418760361786457E-3"/>
    <x v="4"/>
    <x v="1"/>
  </r>
  <r>
    <s v="Ethiopia"/>
    <n v="72.37"/>
    <s v="B1"/>
    <n v="5.2056885620865363E-2"/>
    <x v="1"/>
    <n v="6.3602514641706964E-2"/>
    <x v="2"/>
    <x v="3"/>
  </r>
  <r>
    <s v="Fiji"/>
    <n v="4.7"/>
    <s v="Ba3"/>
    <n v="4.1624644013477513E-2"/>
    <x v="10"/>
    <n v="5.0856519723529219E-2"/>
    <x v="4"/>
    <x v="7"/>
  </r>
  <r>
    <s v="Finland"/>
    <n v="238.5"/>
    <s v="Aa1"/>
    <n v="4.5901863072506524E-3"/>
    <x v="7"/>
    <n v="5.6082377639982087E-3"/>
    <x v="4"/>
    <x v="2"/>
  </r>
  <r>
    <s v="France"/>
    <n v="2465.4499999999998"/>
    <s v="Aa2"/>
    <n v="5.7377328840633162E-3"/>
    <x v="0"/>
    <n v="7.0102972049977622E-3"/>
    <x v="21"/>
    <x v="2"/>
  </r>
  <r>
    <s v="Gabon"/>
    <n v="14.21"/>
    <s v="Caa1"/>
    <n v="8.6691927757393011E-2"/>
    <x v="17"/>
    <n v="0.10591921777005708"/>
    <x v="2"/>
    <x v="3"/>
  </r>
  <r>
    <s v="Georgia"/>
    <n v="14.38"/>
    <s v="Ba2"/>
    <n v="3.4739364552601529E-2"/>
    <x v="8"/>
    <n v="4.2444163077531898E-2"/>
    <x v="1"/>
    <x v="1"/>
  </r>
  <r>
    <s v="Germany"/>
    <n v="3477.8"/>
    <s v="Aaa"/>
    <n v="0"/>
    <x v="6"/>
    <n v="0"/>
    <x v="22"/>
    <x v="2"/>
  </r>
  <r>
    <s v="Ghana"/>
    <n v="42.69"/>
    <s v="B3"/>
    <n v="7.5216461989266389E-2"/>
    <x v="3"/>
    <n v="9.1898623360061577E-2"/>
    <x v="5"/>
    <x v="3"/>
  </r>
  <r>
    <s v="Greece"/>
    <n v="192.69"/>
    <s v="B3"/>
    <n v="7.5216461989266389E-2"/>
    <x v="3"/>
    <n v="9.1898623360061577E-2"/>
    <x v="23"/>
    <x v="2"/>
  </r>
  <r>
    <s v="Guatemala"/>
    <n v="68.760000000000005"/>
    <s v="Ba1"/>
    <n v="2.8897309252464341E-2"/>
    <x v="18"/>
    <n v="3.5306405923352366E-2"/>
    <x v="5"/>
    <x v="4"/>
  </r>
  <r>
    <s v="Guernsey (States of)"/>
    <n v="0.5"/>
    <s v="Aa3"/>
    <n v="6.9896018769498571E-3"/>
    <x v="12"/>
    <n v="8.5398165951790905E-3"/>
    <x v="0"/>
    <x v="2"/>
  </r>
  <r>
    <s v="Honduras"/>
    <n v="21.52"/>
    <s v="B1"/>
    <n v="5.2056885620865363E-2"/>
    <x v="1"/>
    <n v="6.3602514641706964E-2"/>
    <x v="5"/>
    <x v="4"/>
  </r>
  <r>
    <s v="Hong Kong"/>
    <n v="320.91000000000003"/>
    <s v="Aa2"/>
    <n v="5.7377328840633162E-3"/>
    <x v="0"/>
    <n v="7.0102972049977622E-3"/>
    <x v="24"/>
    <x v="7"/>
  </r>
  <r>
    <s v="Hungary"/>
    <n v="125.82"/>
    <s v="Baa3"/>
    <n v="2.5454669522026348E-2"/>
    <x v="9"/>
    <n v="3.1100227600353709E-2"/>
    <x v="25"/>
    <x v="1"/>
  </r>
  <r>
    <s v="Iceland"/>
    <n v="20.05"/>
    <s v="A3"/>
    <n v="1.3874881337825837E-2"/>
    <x v="16"/>
    <n v="1.6952173241176406E-2"/>
    <x v="4"/>
    <x v="2"/>
  </r>
  <r>
    <s v="India"/>
    <n v="2263.79"/>
    <s v="Baa2"/>
    <n v="2.201202979158836E-2"/>
    <x v="2"/>
    <n v="2.6894049277355052E-2"/>
    <x v="2"/>
    <x v="7"/>
  </r>
  <r>
    <s v="Indonesia"/>
    <n v="932.26"/>
    <s v="Baa2"/>
    <n v="2.201202979158836E-2"/>
    <x v="2"/>
    <n v="2.6894049277355052E-2"/>
    <x v="5"/>
    <x v="7"/>
  </r>
  <r>
    <s v="Iraq"/>
    <n v="171.49"/>
    <s v="Caa1"/>
    <n v="8.6691927757393011E-2"/>
    <x v="17"/>
    <n v="0.10591921777005708"/>
    <x v="1"/>
    <x v="0"/>
  </r>
  <r>
    <s v="Ireland"/>
    <n v="304.82"/>
    <s v="A2"/>
    <n v="9.8063071109445767E-3"/>
    <x v="13"/>
    <n v="1.1981235223087083E-2"/>
    <x v="17"/>
    <x v="2"/>
  </r>
  <r>
    <s v="Isle of Man"/>
    <n v="7.4"/>
    <s v="Aa2"/>
    <n v="5.7377328840633162E-3"/>
    <x v="0"/>
    <n v="7.0102972049977622E-3"/>
    <x v="0"/>
    <x v="2"/>
  </r>
  <r>
    <s v="Israel"/>
    <n v="317.74"/>
    <s v="A1"/>
    <n v="8.1371484537625226E-3"/>
    <x v="14"/>
    <n v="9.9418760361786457E-3"/>
    <x v="26"/>
    <x v="0"/>
  </r>
  <r>
    <s v="Italy"/>
    <n v="1858.91"/>
    <s v="Baa2"/>
    <n v="2.201202979158836E-2"/>
    <x v="2"/>
    <n v="2.6894049277355052E-2"/>
    <x v="26"/>
    <x v="2"/>
  </r>
  <r>
    <s v="Jamaica"/>
    <n v="14.06"/>
    <s v="B3"/>
    <n v="7.5216461989266389E-2"/>
    <x v="3"/>
    <n v="9.1898623360061577E-2"/>
    <x v="5"/>
    <x v="5"/>
  </r>
  <r>
    <s v="Japan"/>
    <n v="4940.16"/>
    <s v="A1"/>
    <n v="8.1371484537625226E-3"/>
    <x v="14"/>
    <n v="9.9418760361786457E-3"/>
    <x v="27"/>
    <x v="7"/>
  </r>
  <r>
    <s v="Jersey (States of)"/>
    <n v="1"/>
    <s v="Aa3"/>
    <n v="6.9896018769498571E-3"/>
    <x v="12"/>
    <n v="8.5398165951790905E-3"/>
    <x v="4"/>
    <x v="2"/>
  </r>
  <r>
    <s v="Jordan"/>
    <n v="38.65"/>
    <s v="B1"/>
    <n v="5.2056885620865363E-2"/>
    <x v="1"/>
    <n v="6.3602514641706964E-2"/>
    <x v="4"/>
    <x v="0"/>
  </r>
  <r>
    <s v="Kazakhstan"/>
    <n v="137.28"/>
    <s v="Baa3"/>
    <n v="2.5454669522026348E-2"/>
    <x v="9"/>
    <n v="3.1100227600353709E-2"/>
    <x v="4"/>
    <x v="1"/>
  </r>
  <r>
    <s v="Kenya"/>
    <n v="70.53"/>
    <s v="B2"/>
    <n v="6.3636673805065866E-2"/>
    <x v="4"/>
    <n v="7.7750569000884256E-2"/>
    <x v="2"/>
    <x v="3"/>
  </r>
  <r>
    <s v="Korea"/>
    <n v="1411.25"/>
    <s v="Aa2"/>
    <n v="5.7377328840633162E-3"/>
    <x v="0"/>
    <n v="7.0102972049977622E-3"/>
    <x v="10"/>
    <x v="7"/>
  </r>
  <r>
    <s v="Kuwait"/>
    <n v="110.88"/>
    <s v="Aa2"/>
    <n v="5.7377328840633162E-3"/>
    <x v="0"/>
    <n v="7.0102972049977622E-3"/>
    <x v="1"/>
    <x v="0"/>
  </r>
  <r>
    <s v="Kyrgyzstan"/>
    <n v="6.55"/>
    <s v="B2"/>
    <n v="6.3636673805065866E-2"/>
    <x v="4"/>
    <n v="7.7750569000884256E-2"/>
    <x v="1"/>
    <x v="1"/>
  </r>
  <r>
    <s v="Latvia"/>
    <n v="27.57"/>
    <s v="A3"/>
    <n v="1.3874881337825837E-2"/>
    <x v="16"/>
    <n v="1.6952173241176406E-2"/>
    <x v="1"/>
    <x v="1"/>
  </r>
  <r>
    <s v="Lebanon"/>
    <n v="49.6"/>
    <s v="B3"/>
    <n v="7.5216461989266389E-2"/>
    <x v="3"/>
    <n v="9.1898623360061577E-2"/>
    <x v="1"/>
    <x v="0"/>
  </r>
  <r>
    <s v="Liechtenstein"/>
    <n v="6.7"/>
    <s v="Aaa"/>
    <n v="0"/>
    <x v="6"/>
    <n v="0"/>
    <x v="17"/>
    <x v="2"/>
  </r>
  <r>
    <s v="Lithuania"/>
    <n v="42.74"/>
    <s v="A3"/>
    <n v="1.3874881337825837E-2"/>
    <x v="16"/>
    <n v="1.6952173241176406E-2"/>
    <x v="1"/>
    <x v="1"/>
  </r>
  <r>
    <s v="Luxembourg"/>
    <n v="58.63"/>
    <s v="Aaa"/>
    <n v="0"/>
    <x v="6"/>
    <n v="0"/>
    <x v="28"/>
    <x v="2"/>
  </r>
  <r>
    <s v="Macao"/>
    <n v="44.8"/>
    <s v="Aa3"/>
    <n v="6.9896018769498571E-3"/>
    <x v="12"/>
    <n v="8.5398165951790905E-3"/>
    <x v="29"/>
    <x v="7"/>
  </r>
  <r>
    <s v="Macedonia"/>
    <n v="10.9"/>
    <s v="Ba3"/>
    <n v="4.1624644013477513E-2"/>
    <x v="10"/>
    <n v="5.0856519723529219E-2"/>
    <x v="9"/>
    <x v="1"/>
  </r>
  <r>
    <s v="Malaysia"/>
    <n v="296.54000000000002"/>
    <s v="A3"/>
    <n v="1.3874881337825837E-2"/>
    <x v="16"/>
    <n v="1.6952173241176406E-2"/>
    <x v="26"/>
    <x v="7"/>
  </r>
  <r>
    <s v="Maldives"/>
    <n v="4.22"/>
    <s v="B2"/>
    <n v="1.3874881337825837E-2"/>
    <x v="16"/>
    <n v="1.6952173241176406E-2"/>
    <x v="3"/>
    <x v="7"/>
  </r>
  <r>
    <s v="Malta"/>
    <n v="11"/>
    <s v="A3"/>
    <n v="1.3874881337825837E-2"/>
    <x v="16"/>
    <n v="1.6952173241176406E-2"/>
    <x v="3"/>
    <x v="2"/>
  </r>
  <r>
    <s v="Mauritius"/>
    <n v="12.17"/>
    <s v="Baa1"/>
    <n v="1.846506764507649E-2"/>
    <x v="5"/>
    <n v="2.2560411005174617E-2"/>
    <x v="1"/>
    <x v="7"/>
  </r>
  <r>
    <s v="Mexico"/>
    <n v="1046.92"/>
    <s v="A3"/>
    <n v="1.3874881337825837E-2"/>
    <x v="16"/>
    <n v="1.6952173241176406E-2"/>
    <x v="2"/>
    <x v="4"/>
  </r>
  <r>
    <s v="Moldova"/>
    <n v="6.75"/>
    <s v="B3"/>
    <n v="7.5216461989266389E-2"/>
    <x v="3"/>
    <n v="9.1898623360061577E-2"/>
    <x v="29"/>
    <x v="1"/>
  </r>
  <r>
    <s v="Mongolia"/>
    <n v="11.18"/>
    <s v="B3"/>
    <n v="7.5216461989266389E-2"/>
    <x v="3"/>
    <n v="9.1898623360061577E-2"/>
    <x v="5"/>
    <x v="7"/>
  </r>
  <r>
    <s v="Montenegro"/>
    <n v="4.37"/>
    <s v="B1"/>
    <n v="5.2056885620865363E-2"/>
    <x v="1"/>
    <n v="6.3602514641706964E-2"/>
    <x v="25"/>
    <x v="1"/>
  </r>
  <r>
    <s v="Montserrat"/>
    <n v="1.5"/>
    <s v="Baa3"/>
    <n v="2.5454669522026348E-2"/>
    <x v="9"/>
    <n v="3.1100227600353709E-2"/>
    <x v="16"/>
    <x v="5"/>
  </r>
  <r>
    <s v="Morocco"/>
    <n v="103.61"/>
    <s v="Ba1"/>
    <n v="2.8897309252464341E-2"/>
    <x v="18"/>
    <n v="3.5306405923352366E-2"/>
    <x v="30"/>
    <x v="3"/>
  </r>
  <r>
    <s v="Mozambique"/>
    <n v="11.01"/>
    <s v="Caa3"/>
    <n v="0.11558923700985736"/>
    <x v="11"/>
    <n v="0.14122562369340946"/>
    <x v="31"/>
    <x v="3"/>
  </r>
  <r>
    <s v="Namibia"/>
    <n v="10.95"/>
    <s v="Ba1"/>
    <n v="2.8897309252464341E-2"/>
    <x v="18"/>
    <n v="3.5306405923352366E-2"/>
    <x v="31"/>
    <x v="3"/>
  </r>
  <r>
    <s v="Netherlands"/>
    <n v="777.23"/>
    <s v="Aaa"/>
    <n v="0"/>
    <x v="6"/>
    <n v="0"/>
    <x v="5"/>
    <x v="2"/>
  </r>
  <r>
    <s v="New Zealand"/>
    <n v="184.97"/>
    <s v="Aaa"/>
    <n v="0"/>
    <x v="6"/>
    <n v="0"/>
    <x v="32"/>
    <x v="6"/>
  </r>
  <r>
    <s v="Nicaragua"/>
    <n v="13.23"/>
    <s v="B2"/>
    <n v="6.3636673805065866E-2"/>
    <x v="4"/>
    <n v="7.7750569000884256E-2"/>
    <x v="2"/>
    <x v="4"/>
  </r>
  <r>
    <s v="Nigeria"/>
    <n v="404.65"/>
    <s v="B2"/>
    <n v="6.3636673805065866E-2"/>
    <x v="4"/>
    <n v="7.7750569000884256E-2"/>
    <x v="2"/>
    <x v="3"/>
  </r>
  <r>
    <s v="Norway"/>
    <n v="371.08"/>
    <s v="Aaa"/>
    <n v="0"/>
    <x v="6"/>
    <n v="0"/>
    <x v="26"/>
    <x v="2"/>
  </r>
  <r>
    <s v="Oman"/>
    <n v="66.290000000000006"/>
    <s v="Baa3"/>
    <n v="2.5454669522026348E-2"/>
    <x v="9"/>
    <n v="3.1100227600353709E-2"/>
    <x v="1"/>
    <x v="0"/>
  </r>
  <r>
    <s v="Pakistan"/>
    <n v="278.91000000000003"/>
    <s v="B3"/>
    <n v="7.5216461989266389E-2"/>
    <x v="3"/>
    <n v="9.1898623360061577E-2"/>
    <x v="30"/>
    <x v="7"/>
  </r>
  <r>
    <s v="Panama"/>
    <n v="55.19"/>
    <s v="Baa2"/>
    <n v="2.201202979158836E-2"/>
    <x v="2"/>
    <n v="2.6894049277355052E-2"/>
    <x v="5"/>
    <x v="4"/>
  </r>
  <r>
    <s v="Papua New Guinea"/>
    <n v="20.21"/>
    <s v="B2"/>
    <n v="6.3636673805065866E-2"/>
    <x v="4"/>
    <n v="7.7750569000884256E-2"/>
    <x v="2"/>
    <x v="7"/>
  </r>
  <r>
    <s v="Paraguay"/>
    <n v="27.42"/>
    <s v="Ba1"/>
    <n v="2.8897309252464341E-2"/>
    <x v="18"/>
    <n v="3.5306405923352366E-2"/>
    <x v="9"/>
    <x v="4"/>
  </r>
  <r>
    <s v="Peru"/>
    <n v="192.21"/>
    <s v="A3"/>
    <n v="1.3874881337825837E-2"/>
    <x v="16"/>
    <n v="1.6952173241176406E-2"/>
    <x v="33"/>
    <x v="4"/>
  </r>
  <r>
    <s v="Philippines"/>
    <n v="304.91000000000003"/>
    <s v="Baa2"/>
    <n v="2.201202979158836E-2"/>
    <x v="2"/>
    <n v="2.6894049277355052E-2"/>
    <x v="2"/>
    <x v="7"/>
  </r>
  <r>
    <s v="Poland"/>
    <n v="471.36"/>
    <s v="A2"/>
    <n v="9.8063071109445767E-3"/>
    <x v="13"/>
    <n v="1.1981235223087083E-2"/>
    <x v="18"/>
    <x v="1"/>
  </r>
  <r>
    <s v="Portugal"/>
    <n v="204.84"/>
    <s v="Ba1"/>
    <n v="2.8897309252464341E-2"/>
    <x v="18"/>
    <n v="3.5306405923352366E-2"/>
    <x v="34"/>
    <x v="2"/>
  </r>
  <r>
    <s v="Qatar"/>
    <n v="152.44999999999999"/>
    <s v="Aa3"/>
    <n v="6.9896018769498571E-3"/>
    <x v="12"/>
    <n v="8.5398165951790905E-3"/>
    <x v="9"/>
    <x v="0"/>
  </r>
  <r>
    <s v="Ras Al Khaimah (Emirate of)"/>
    <n v="5.2"/>
    <s v="A2"/>
    <n v="9.8063071109445767E-3"/>
    <x v="13"/>
    <n v="1.1981235223087083E-2"/>
    <x v="0"/>
    <x v="0"/>
  </r>
  <r>
    <s v="Romania"/>
    <n v="187.59"/>
    <s v="Baa3"/>
    <n v="2.5454669522026348E-2"/>
    <x v="9"/>
    <n v="3.1100227600353709E-2"/>
    <x v="35"/>
    <x v="1"/>
  </r>
  <r>
    <s v="Russia"/>
    <n v="1283.1600000000001"/>
    <s v="Ba1"/>
    <n v="2.8897309252464341E-2"/>
    <x v="18"/>
    <n v="3.5306405923352366E-2"/>
    <x v="4"/>
    <x v="1"/>
  </r>
  <r>
    <s v="Rwanda"/>
    <n v="8.3800000000000008"/>
    <s v="B2"/>
    <n v="6.3636673805065866E-2"/>
    <x v="4"/>
    <n v="7.7750569000884256E-2"/>
    <x v="2"/>
    <x v="3"/>
  </r>
  <r>
    <s v="Saudi Arabia"/>
    <n v="646.44000000000005"/>
    <s v="A1"/>
    <n v="8.1371484537625226E-3"/>
    <x v="14"/>
    <n v="9.9418760361786457E-3"/>
    <x v="4"/>
    <x v="0"/>
  </r>
  <r>
    <s v="Senegal"/>
    <n v="14.68"/>
    <s v="Ba3"/>
    <n v="4.1624644013477513E-2"/>
    <x v="10"/>
    <n v="5.0856519723529219E-2"/>
    <x v="2"/>
    <x v="3"/>
  </r>
  <r>
    <s v="Serbia"/>
    <n v="38.299999999999997"/>
    <s v="Ba3"/>
    <n v="4.1624644013477513E-2"/>
    <x v="10"/>
    <n v="5.0856519723529219E-2"/>
    <x v="1"/>
    <x v="1"/>
  </r>
  <r>
    <s v="Sharjah"/>
    <n v="5"/>
    <s v="A3"/>
    <n v="1.3874881337825837E-2"/>
    <x v="16"/>
    <n v="1.6952173241176406E-2"/>
    <x v="0"/>
    <x v="0"/>
  </r>
  <r>
    <s v="Singapore"/>
    <n v="296.98"/>
    <s v="Aaa"/>
    <n v="0"/>
    <x v="6"/>
    <n v="0"/>
    <x v="36"/>
    <x v="7"/>
  </r>
  <r>
    <s v="Slovakia"/>
    <n v="89.77"/>
    <s v="A2"/>
    <n v="9.8063071109445767E-3"/>
    <x v="13"/>
    <n v="1.1981235223087083E-2"/>
    <x v="34"/>
    <x v="1"/>
  </r>
  <r>
    <s v="Slovenia"/>
    <n v="44.71"/>
    <s v="Baa1"/>
    <n v="1.846506764507649E-2"/>
    <x v="5"/>
    <n v="2.2560411005174617E-2"/>
    <x v="18"/>
    <x v="1"/>
  </r>
  <r>
    <s v="Solomon Islands"/>
    <n v="1.2"/>
    <s v="B3"/>
    <n v="2.5454669522026348E-2"/>
    <x v="9"/>
    <n v="3.1100227600353709E-2"/>
    <x v="32"/>
    <x v="7"/>
  </r>
  <r>
    <s v="South Africa"/>
    <n v="295.45999999999998"/>
    <s v="Baa3"/>
    <n v="2.5454669522026348E-2"/>
    <x v="9"/>
    <n v="3.1100227600353709E-2"/>
    <x v="32"/>
    <x v="3"/>
  </r>
  <r>
    <s v="Spain"/>
    <n v="1237.26"/>
    <s v="Baa1"/>
    <n v="1.846506764507649E-2"/>
    <x v="5"/>
    <n v="2.2560411005174617E-2"/>
    <x v="5"/>
    <x v="2"/>
  </r>
  <r>
    <s v="Sri Lanka"/>
    <n v="81.319999999999993"/>
    <s v="B1"/>
    <n v="5.2056885620865363E-2"/>
    <x v="1"/>
    <n v="6.3602514641706964E-2"/>
    <x v="32"/>
    <x v="7"/>
  </r>
  <r>
    <s v="St. Maarten"/>
    <n v="1.5"/>
    <s v="Baa2"/>
    <n v="2.201202979158836E-2"/>
    <x v="2"/>
    <n v="2.6894049277355052E-2"/>
    <x v="37"/>
    <x v="5"/>
  </r>
  <r>
    <s v="St. Vincent &amp; the Grenadines"/>
    <n v="0.77"/>
    <s v="B3"/>
    <n v="7.5216461989266389E-2"/>
    <x v="3"/>
    <n v="9.1898623360061577E-2"/>
    <x v="16"/>
    <x v="5"/>
  </r>
  <r>
    <s v="Suriname"/>
    <n v="3.28"/>
    <s v="B2"/>
    <n v="6.3636673805065866E-2"/>
    <x v="4"/>
    <n v="7.7750569000884256E-2"/>
    <x v="38"/>
    <x v="4"/>
  </r>
  <r>
    <s v="Swaziland"/>
    <n v="3.72"/>
    <s v="B2"/>
    <n v="0"/>
    <x v="6"/>
    <n v="0"/>
    <x v="12"/>
    <x v="3"/>
  </r>
  <r>
    <s v="Sweden"/>
    <n v="514.46"/>
    <s v="Aaa"/>
    <n v="0"/>
    <x v="6"/>
    <n v="0"/>
    <x v="10"/>
    <x v="2"/>
  </r>
  <r>
    <s v="Switzerland"/>
    <n v="668.85"/>
    <s v="Aaa"/>
    <n v="0"/>
    <x v="6"/>
    <n v="0"/>
    <x v="39"/>
    <x v="2"/>
  </r>
  <r>
    <s v="Taiwan"/>
    <n v="970.9"/>
    <s v="Aa3"/>
    <n v="6.9896018769498571E-3"/>
    <x v="12"/>
    <n v="8.5398165951790905E-3"/>
    <x v="36"/>
    <x v="7"/>
  </r>
  <r>
    <s v="Tajikistan"/>
    <n v="6.95"/>
    <s v="B3"/>
    <n v="2.8897309252464341E-2"/>
    <x v="18"/>
    <n v="3.5306405923352366E-2"/>
    <x v="0"/>
    <x v="1"/>
  </r>
  <r>
    <s v="Tanzania"/>
    <n v="47.34"/>
    <s v="B1"/>
    <n v="6.3636673805065866E-2"/>
    <x v="4"/>
    <n v="7.7750569000884256E-2"/>
    <x v="4"/>
    <x v="3"/>
  </r>
  <r>
    <s v="Thailand"/>
    <n v="407.03"/>
    <s v="Baa1"/>
    <n v="1.846506764507649E-2"/>
    <x v="5"/>
    <n v="2.2560411005174617E-2"/>
    <x v="4"/>
    <x v="7"/>
  </r>
  <r>
    <s v="Trinidad and Tobago"/>
    <n v="21.89"/>
    <s v="Ba1"/>
    <n v="2.8897309252464341E-2"/>
    <x v="18"/>
    <n v="3.5306405923352366E-2"/>
    <x v="5"/>
    <x v="5"/>
  </r>
  <r>
    <s v="Tunisia"/>
    <n v="42.06"/>
    <s v="B2"/>
    <n v="6.3636673805065866E-2"/>
    <x v="4"/>
    <n v="7.7750569000884256E-2"/>
    <x v="5"/>
    <x v="3"/>
  </r>
  <r>
    <s v="Turkey"/>
    <n v="863.71"/>
    <s v="Ba2"/>
    <n v="3.4739364552601529E-2"/>
    <x v="8"/>
    <n v="4.2444163077531898E-2"/>
    <x v="4"/>
    <x v="2"/>
  </r>
  <r>
    <s v="Turks and Caicos Islands"/>
    <n v="1.5"/>
    <s v="Baa1"/>
    <n v="1.846506764507649E-2"/>
    <x v="5"/>
    <n v="2.2560411005174617E-2"/>
    <x v="0"/>
    <x v="5"/>
  </r>
  <r>
    <s v="Uganda"/>
    <n v="24.08"/>
    <s v="B2"/>
    <n v="6.3636673805065866E-2"/>
    <x v="4"/>
    <n v="7.7750569000884256E-2"/>
    <x v="2"/>
    <x v="3"/>
  </r>
  <r>
    <s v="Ukraine"/>
    <n v="93.27"/>
    <s v="Caa2"/>
    <n v="0.10411377124173073"/>
    <x v="15"/>
    <n v="0.12720502928341393"/>
    <x v="6"/>
    <x v="1"/>
  </r>
  <r>
    <s v="United Arab Emirates"/>
    <n v="348.74"/>
    <s v="Aa2"/>
    <n v="5.7377328840633162E-3"/>
    <x v="0"/>
    <n v="7.0102972049977622E-3"/>
    <x v="40"/>
    <x v="0"/>
  </r>
  <r>
    <s v="United Kingdom"/>
    <n v="2647.9"/>
    <s v="Aa2"/>
    <n v="5.7377328840633162E-3"/>
    <x v="0"/>
    <n v="7.0102972049977622E-3"/>
    <x v="4"/>
    <x v="2"/>
  </r>
  <r>
    <s v="United States"/>
    <n v="18624.48"/>
    <s v="Aaa"/>
    <n v="0"/>
    <x v="6"/>
    <n v="0"/>
    <x v="34"/>
    <x v="8"/>
  </r>
  <r>
    <s v="Uruguay"/>
    <n v="52.42"/>
    <s v="Baa2"/>
    <n v="2.201202979158836E-2"/>
    <x v="2"/>
    <n v="2.6894049277355052E-2"/>
    <x v="5"/>
    <x v="4"/>
  </r>
  <r>
    <s v="Venezuela"/>
    <n v="250"/>
    <s v="C"/>
    <n v="0.18"/>
    <x v="19"/>
    <n v="0.21992196611390258"/>
    <x v="11"/>
    <x v="4"/>
  </r>
  <r>
    <s v="Vietnam"/>
    <n v="205.28"/>
    <s v="B1"/>
    <n v="5.2056885620865363E-2"/>
    <x v="1"/>
    <n v="6.3602514641706964E-2"/>
    <x v="4"/>
    <x v="7"/>
  </r>
  <r>
    <s v="Zambia"/>
    <n v="21.06"/>
    <s v="B3"/>
    <n v="7.5216461989266389E-2"/>
    <x v="3"/>
    <n v="9.1898623360061577E-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D14" firstHeaderRow="1" firstDataRow="2" firstDataCol="1"/>
  <pivotFields count="8">
    <pivotField showAll="0"/>
    <pivotField showAll="0" defaultSubtotal="0"/>
    <pivotField showAll="0" defaultSubtotal="0"/>
    <pivotField dataField="1" numFmtId="10" showAll="0"/>
    <pivotField dataField="1" numFmtId="10" showAll="0" defaultSubtotal="0">
      <items count="20">
        <item x="6"/>
        <item x="7"/>
        <item x="0"/>
        <item x="12"/>
        <item x="14"/>
        <item x="13"/>
        <item x="16"/>
        <item x="5"/>
        <item x="2"/>
        <item x="9"/>
        <item x="18"/>
        <item x="8"/>
        <item x="10"/>
        <item x="1"/>
        <item x="4"/>
        <item x="3"/>
        <item x="17"/>
        <item x="15"/>
        <item x="11"/>
        <item x="19"/>
      </items>
    </pivotField>
    <pivotField dataField="1" numFmtId="10" showAll="0"/>
    <pivotField numFmtId="10" showAll="0" defaultSubtotal="0">
      <items count="41">
        <item x="0"/>
        <item x="25"/>
        <item x="9"/>
        <item x="29"/>
        <item x="17"/>
        <item x="1"/>
        <item x="35"/>
        <item x="24"/>
        <item x="36"/>
        <item x="39"/>
        <item x="6"/>
        <item x="18"/>
        <item x="4"/>
        <item x="34"/>
        <item x="10"/>
        <item x="20"/>
        <item x="26"/>
        <item x="5"/>
        <item x="15"/>
        <item x="14"/>
        <item x="19"/>
        <item x="28"/>
        <item x="12"/>
        <item x="16"/>
        <item x="32"/>
        <item x="8"/>
        <item x="23"/>
        <item x="33"/>
        <item x="22"/>
        <item x="2"/>
        <item x="27"/>
        <item x="30"/>
        <item x="31"/>
        <item x="13"/>
        <item x="21"/>
        <item x="7"/>
        <item x="11"/>
        <item x="37"/>
        <item x="3"/>
        <item x="38"/>
        <item x="40"/>
      </items>
    </pivotField>
    <pivotField axis="axisRow" showAll="0">
      <items count="10">
        <item x="3"/>
        <item x="7"/>
        <item x="6"/>
        <item x="5"/>
        <item x="4"/>
        <item x="1"/>
        <item x="0"/>
        <item x="8"/>
        <item x="2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j. Default Spread" fld="3" subtotal="average" baseField="0" baseItem="0"/>
    <dataField name="Average of Country Risk Premium" fld="5" subtotal="average" baseField="0" baseItem="0"/>
    <dataField name="Average of Equity Risk Premium" fld="4" subtotal="average" baseField="0" baseItem="0"/>
  </dataFields>
  <formats count="1">
    <format dxfId="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58" totalsRowShown="0" headerRowDxfId="24" dataDxfId="22" headerRowBorderDxfId="23" tableBorderDxfId="21" totalsRowBorderDxfId="20">
  <autoFilter ref="A7:I158" xr:uid="{00000000-0009-0000-0100-000001000000}"/>
  <tableColumns count="9">
    <tableColumn id="1" xr3:uid="{00000000-0010-0000-0000-000001000000}" name="Country" dataDxfId="19"/>
    <tableColumn id="2" xr3:uid="{00000000-0010-0000-0000-000002000000}" name="Africa" dataDxfId="18"/>
    <tableColumn id="3" xr3:uid="{00000000-0010-0000-0000-000003000000}" name="Moody's rating" dataDxfId="17"/>
    <tableColumn id="4" xr3:uid="{00000000-0010-0000-0000-000004000000}" name="Rating-based Default Spread" dataDxfId="16" dataCellStyle="Percent"/>
    <tableColumn id="5" xr3:uid="{00000000-0010-0000-0000-000005000000}" name="Total Equity Risk Premium" dataDxfId="15" dataCellStyle="Percent"/>
    <tableColumn id="6" xr3:uid="{00000000-0010-0000-0000-000006000000}" name="Country Risk Premium" dataDxfId="14"/>
    <tableColumn id="7" xr3:uid="{00000000-0010-0000-0000-000007000000}" name="Sovereign CDS, net of US" dataDxfId="13"/>
    <tableColumn id="8" xr3:uid="{00000000-0010-0000-0000-000008000000}" name="Total Equity Risk Premium2" dataDxfId="12"/>
    <tableColumn id="9" xr3:uid="{00000000-0010-0000-0000-000009000000}" name="Country Risk Premium3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3:E186" totalsRowShown="0" headerRowDxfId="10" tableBorderDxfId="9">
  <autoFilter ref="A163:E186" xr:uid="{00000000-0009-0000-0100-000002000000}"/>
  <tableColumns count="5">
    <tableColumn id="1" xr3:uid="{00000000-0010-0000-0100-000001000000}" name="Country" dataDxfId="8"/>
    <tableColumn id="2" xr3:uid="{00000000-0010-0000-0100-000002000000}" name="PRS Composite Risk Score" dataDxfId="7"/>
    <tableColumn id="3" xr3:uid="{00000000-0010-0000-0100-000003000000}" name="ERP" dataDxfId="6" dataCellStyle="Percent"/>
    <tableColumn id="4" xr3:uid="{00000000-0010-0000-0100-000004000000}" name="CRP" dataDxfId="5" dataCellStyle="Percent"/>
    <tableColumn id="5" xr3:uid="{00000000-0010-0000-0100-000005000000}" name="Default Spread" dataDxfId="4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pers.ssrn.com/sol3/papers.cfm?abstract_id=3140837" TargetMode="External"/><Relationship Id="rId3" Type="http://schemas.openxmlformats.org/officeDocument/2006/relationships/hyperlink" Target="http://www.moodys.com/" TargetMode="External"/><Relationship Id="rId7" Type="http://schemas.openxmlformats.org/officeDocument/2006/relationships/hyperlink" Target="http://www.data.worldbank.org/data-catalog/GDP-ranking-table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6" Type="http://schemas.openxmlformats.org/officeDocument/2006/relationships/hyperlink" Target="http://echo360.stern.nyu.edu:8080/ess/echo/presentation/e41ef416-aba8-4dda-8d8b-0fe3b0e6283d/media.m4v" TargetMode="External"/><Relationship Id="rId5" Type="http://schemas.openxmlformats.org/officeDocument/2006/relationships/hyperlink" Target="http://echo360.stern.nyu.edu:8080/ess/echo/presentation/d5b0232a-ef00-4ffd-b92e-0f95e1685373/media.m4v" TargetMode="External"/><Relationship Id="rId4" Type="http://schemas.openxmlformats.org/officeDocument/2006/relationships/hyperlink" Target="http://www.duke.edu/~charvey/Country_risk/couindex.ht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pitaliq.com/CIQDotNet/RatingsDirect/GCPTearsheet.aspx?CompanyId=26935624" TargetMode="External"/><Relationship Id="rId21" Type="http://schemas.openxmlformats.org/officeDocument/2006/relationships/hyperlink" Target="https://www.capitaliq.com/CIQDotNet/RatingsDirect/GCPTearsheet.aspx?CompanyId=20485358" TargetMode="External"/><Relationship Id="rId42" Type="http://schemas.openxmlformats.org/officeDocument/2006/relationships/hyperlink" Target="https://www.capitaliq.com/CIQDotNet/RatingsDirect/GCPTearsheet.aspx?CompanyId=7665122" TargetMode="External"/><Relationship Id="rId47" Type="http://schemas.openxmlformats.org/officeDocument/2006/relationships/hyperlink" Target="https://www.capitaliq.com/CIQDotNet/RatingsDirect/GCPTearsheet.aspx?CompanyId=28896591" TargetMode="External"/><Relationship Id="rId63" Type="http://schemas.openxmlformats.org/officeDocument/2006/relationships/hyperlink" Target="https://www.capitaliq.com/CIQDotNet/RatingsDirect/GCPTearsheet.aspx?CompanyId=3590186" TargetMode="External"/><Relationship Id="rId68" Type="http://schemas.openxmlformats.org/officeDocument/2006/relationships/hyperlink" Target="https://www.capitaliq.com/CIQDotNet/RatingsDirect/GCPTearsheet.aspx?CompanyId=35583428" TargetMode="External"/><Relationship Id="rId84" Type="http://schemas.openxmlformats.org/officeDocument/2006/relationships/hyperlink" Target="https://www.capitaliq.com/CIQDotNet/RatingsDirect/GCPTearsheet.aspx?CompanyId=26971957" TargetMode="External"/><Relationship Id="rId89" Type="http://schemas.openxmlformats.org/officeDocument/2006/relationships/hyperlink" Target="https://www.capitaliq.com/CIQDotNet/RatingsDirect/GCPTearsheet.aspx?CompanyId=24844183" TargetMode="External"/><Relationship Id="rId112" Type="http://schemas.openxmlformats.org/officeDocument/2006/relationships/hyperlink" Target="https://www.capitaliq.com/CIQDotNet/RatingsDirect/GCPTearsheet.aspx?CompanyId=26956249" TargetMode="External"/><Relationship Id="rId16" Type="http://schemas.openxmlformats.org/officeDocument/2006/relationships/hyperlink" Target="https://www.capitaliq.com/CIQDotNet/RatingsDirect/GCPTearsheet.aspx?CompanyId=3566033" TargetMode="External"/><Relationship Id="rId107" Type="http://schemas.openxmlformats.org/officeDocument/2006/relationships/hyperlink" Target="https://www.capitaliq.com/CIQDotNet/RatingsDirect/GCPTearsheet.aspx?CompanyId=31250052" TargetMode="External"/><Relationship Id="rId11" Type="http://schemas.openxmlformats.org/officeDocument/2006/relationships/hyperlink" Target="https://www.capitaliq.com/CIQDotNet/RatingsDirect/GCPTearsheet.aspx?CompanyId=22355288" TargetMode="External"/><Relationship Id="rId32" Type="http://schemas.openxmlformats.org/officeDocument/2006/relationships/hyperlink" Target="https://www.capitaliq.com/CIQDotNet/RatingsDirect/GCPTearsheet.aspx?CompanyId=26972902" TargetMode="External"/><Relationship Id="rId37" Type="http://schemas.openxmlformats.org/officeDocument/2006/relationships/hyperlink" Target="https://www.capitaliq.com/CIQDotNet/RatingsDirect/GCPTearsheet.aspx?CompanyId=35414816" TargetMode="External"/><Relationship Id="rId53" Type="http://schemas.openxmlformats.org/officeDocument/2006/relationships/hyperlink" Target="https://www.capitaliq.com/CIQDotNet/RatingsDirect/GCPTearsheet.aspx?CompanyId=35648645" TargetMode="External"/><Relationship Id="rId58" Type="http://schemas.openxmlformats.org/officeDocument/2006/relationships/hyperlink" Target="https://www.capitaliq.com/CIQDotNet/RatingsDirect/GCPTearsheet.aspx?CompanyId=24930358" TargetMode="External"/><Relationship Id="rId74" Type="http://schemas.openxmlformats.org/officeDocument/2006/relationships/hyperlink" Target="https://www.capitaliq.com/CIQDotNet/RatingsDirect/GCPTearsheet.aspx?CompanyId=20464246" TargetMode="External"/><Relationship Id="rId79" Type="http://schemas.openxmlformats.org/officeDocument/2006/relationships/hyperlink" Target="https://www.capitaliq.com/CIQDotNet/RatingsDirect/GCPTearsheet.aspx?CompanyId=26946296" TargetMode="External"/><Relationship Id="rId102" Type="http://schemas.openxmlformats.org/officeDocument/2006/relationships/hyperlink" Target="https://www.capitaliq.com/CIQDotNet/RatingsDirect/GCPTearsheet.aspx?CompanyId=51181914" TargetMode="External"/><Relationship Id="rId123" Type="http://schemas.openxmlformats.org/officeDocument/2006/relationships/hyperlink" Target="https://www.capitaliq.com/CIQDotNet/RatingsDirect/GCPTearsheet.aspx?CompanyId=26972625" TargetMode="External"/><Relationship Id="rId128" Type="http://schemas.openxmlformats.org/officeDocument/2006/relationships/hyperlink" Target="https://www.capitaliq.com/CIQDotNet/RatingsDirect/GCPTearsheet.aspx?CompanyId=26935370" TargetMode="External"/><Relationship Id="rId5" Type="http://schemas.openxmlformats.org/officeDocument/2006/relationships/hyperlink" Target="https://www.capitaliq.com/CIQDotNet/RatingsDirect/GCPTearsheet.aspx?CompanyId=30189743" TargetMode="External"/><Relationship Id="rId90" Type="http://schemas.openxmlformats.org/officeDocument/2006/relationships/hyperlink" Target="https://www.capitaliq.com/CIQDotNet/RatingsDirect/GCPTearsheet.aspx?CompanyId=27481471" TargetMode="External"/><Relationship Id="rId95" Type="http://schemas.openxmlformats.org/officeDocument/2006/relationships/hyperlink" Target="https://www.capitaliq.com/CIQDotNet/RatingsDirect/GCPTearsheet.aspx?CompanyId=3548008" TargetMode="External"/><Relationship Id="rId22" Type="http://schemas.openxmlformats.org/officeDocument/2006/relationships/hyperlink" Target="https://www.capitaliq.com/CIQDotNet/RatingsDirect/GCPTearsheet.aspx?CompanyId=20507141" TargetMode="External"/><Relationship Id="rId27" Type="http://schemas.openxmlformats.org/officeDocument/2006/relationships/hyperlink" Target="https://www.capitaliq.com/CIQDotNet/RatingsDirect/GCPTearsheet.aspx?CompanyId=3610526" TargetMode="External"/><Relationship Id="rId43" Type="http://schemas.openxmlformats.org/officeDocument/2006/relationships/hyperlink" Target="https://www.capitaliq.com/CIQDotNet/RatingsDirect/GCPTearsheet.aspx?CompanyId=32879831" TargetMode="External"/><Relationship Id="rId48" Type="http://schemas.openxmlformats.org/officeDocument/2006/relationships/hyperlink" Target="https://www.capitaliq.com/CIQDotNet/RatingsDirect/GCPTearsheet.aspx?CompanyId=8201718" TargetMode="External"/><Relationship Id="rId64" Type="http://schemas.openxmlformats.org/officeDocument/2006/relationships/hyperlink" Target="https://www.capitaliq.com/CIQDotNet/RatingsDirect/GCPTearsheet.aspx?CompanyId=27482154" TargetMode="External"/><Relationship Id="rId69" Type="http://schemas.openxmlformats.org/officeDocument/2006/relationships/hyperlink" Target="https://www.capitaliq.com/CIQDotNet/RatingsDirect/GCPTearsheet.aspx?CompanyId=12721923" TargetMode="External"/><Relationship Id="rId113" Type="http://schemas.openxmlformats.org/officeDocument/2006/relationships/hyperlink" Target="https://www.capitaliq.com/CIQDotNet/RatingsDirect/GCPTearsheet.aspx?CompanyId=26972915" TargetMode="External"/><Relationship Id="rId118" Type="http://schemas.openxmlformats.org/officeDocument/2006/relationships/hyperlink" Target="https://www.capitaliq.com/CIQDotNet/RatingsDirect/GCPTearsheet.aspx?CompanyId=3590614" TargetMode="External"/><Relationship Id="rId80" Type="http://schemas.openxmlformats.org/officeDocument/2006/relationships/hyperlink" Target="https://www.capitaliq.com/CIQDotNet/RatingsDirect/GCPTearsheet.aspx?CompanyId=32393058" TargetMode="External"/><Relationship Id="rId85" Type="http://schemas.openxmlformats.org/officeDocument/2006/relationships/hyperlink" Target="https://www.capitaliq.com/CIQDotNet/RatingsDirect/GCPTearsheet.aspx?CompanyId=3693241" TargetMode="External"/><Relationship Id="rId12" Type="http://schemas.openxmlformats.org/officeDocument/2006/relationships/hyperlink" Target="https://www.capitaliq.com/CIQDotNet/RatingsDirect/GCPTearsheet.aspx?CompanyId=31073104" TargetMode="External"/><Relationship Id="rId17" Type="http://schemas.openxmlformats.org/officeDocument/2006/relationships/hyperlink" Target="https://www.capitaliq.com/CIQDotNet/RatingsDirect/GCPTearsheet.aspx?CompanyId=26936531" TargetMode="External"/><Relationship Id="rId33" Type="http://schemas.openxmlformats.org/officeDocument/2006/relationships/hyperlink" Target="https://www.capitaliq.com/CIQDotNet/RatingsDirect/GCPTearsheet.aspx?CompanyId=12723116" TargetMode="External"/><Relationship Id="rId38" Type="http://schemas.openxmlformats.org/officeDocument/2006/relationships/hyperlink" Target="https://www.capitaliq.com/CIQDotNet/RatingsDirect/GCPTearsheet.aspx?CompanyId=27481536" TargetMode="External"/><Relationship Id="rId59" Type="http://schemas.openxmlformats.org/officeDocument/2006/relationships/hyperlink" Target="https://www.capitaliq.com/CIQDotNet/RatingsDirect/GCPTearsheet.aspx?CompanyId=32568063" TargetMode="External"/><Relationship Id="rId103" Type="http://schemas.openxmlformats.org/officeDocument/2006/relationships/hyperlink" Target="https://www.capitaliq.com/CIQDotNet/RatingsDirect/GCPTearsheet.aspx?CompanyId=28397289" TargetMode="External"/><Relationship Id="rId108" Type="http://schemas.openxmlformats.org/officeDocument/2006/relationships/hyperlink" Target="https://www.capitaliq.com/CIQDotNet/RatingsDirect/GCPTearsheet.aspx?CompanyId=42398017" TargetMode="External"/><Relationship Id="rId124" Type="http://schemas.openxmlformats.org/officeDocument/2006/relationships/hyperlink" Target="https://www.capitaliq.com/CIQDotNet/RatingsDirect/GCPTearsheet.aspx?CompanyId=25809472" TargetMode="External"/><Relationship Id="rId129" Type="http://schemas.openxmlformats.org/officeDocument/2006/relationships/hyperlink" Target="https://www.capitaliq.com/CIQDotNet/RatingsDirect/GCPTearsheet.aspx?CompanyId=33030526" TargetMode="External"/><Relationship Id="rId54" Type="http://schemas.openxmlformats.org/officeDocument/2006/relationships/hyperlink" Target="https://www.capitaliq.com/CIQDotNet/RatingsDirect/GCPTearsheet.aspx?CompanyId=22453044" TargetMode="External"/><Relationship Id="rId70" Type="http://schemas.openxmlformats.org/officeDocument/2006/relationships/hyperlink" Target="https://www.capitaliq.com/CIQDotNet/RatingsDirect/GCPTearsheet.aspx?CompanyId=3697271" TargetMode="External"/><Relationship Id="rId75" Type="http://schemas.openxmlformats.org/officeDocument/2006/relationships/hyperlink" Target="https://www.capitaliq.com/CIQDotNet/RatingsDirect/GCPTearsheet.aspx?CompanyId=24985427" TargetMode="External"/><Relationship Id="rId91" Type="http://schemas.openxmlformats.org/officeDocument/2006/relationships/hyperlink" Target="https://www.capitaliq.com/CIQDotNet/RatingsDirect/GCPTearsheet.aspx?CompanyId=3534766" TargetMode="External"/><Relationship Id="rId96" Type="http://schemas.openxmlformats.org/officeDocument/2006/relationships/hyperlink" Target="https://www.capitaliq.com/CIQDotNet/RatingsDirect/GCPTearsheet.aspx?CompanyId=3611381" TargetMode="External"/><Relationship Id="rId1" Type="http://schemas.openxmlformats.org/officeDocument/2006/relationships/hyperlink" Target="https://www.capitaliq.com/CIQDotNet/RatingsDirect/GCPTearsheet.aspx?CompanyId=34813333" TargetMode="External"/><Relationship Id="rId6" Type="http://schemas.openxmlformats.org/officeDocument/2006/relationships/hyperlink" Target="https://www.capitaliq.com/CIQDotNet/RatingsDirect/GCPTearsheet.aspx?CompanyId=39123067" TargetMode="External"/><Relationship Id="rId23" Type="http://schemas.openxmlformats.org/officeDocument/2006/relationships/hyperlink" Target="https://www.capitaliq.com/CIQDotNet/RatingsDirect/GCPTearsheet.aspx?CompanyId=26973160" TargetMode="External"/><Relationship Id="rId28" Type="http://schemas.openxmlformats.org/officeDocument/2006/relationships/hyperlink" Target="https://www.capitaliq.com/CIQDotNet/RatingsDirect/GCPTearsheet.aspx?CompanyId=28461984" TargetMode="External"/><Relationship Id="rId49" Type="http://schemas.openxmlformats.org/officeDocument/2006/relationships/hyperlink" Target="https://www.capitaliq.com/CIQDotNet/RatingsDirect/GCPTearsheet.aspx?CompanyId=28046109" TargetMode="External"/><Relationship Id="rId114" Type="http://schemas.openxmlformats.org/officeDocument/2006/relationships/hyperlink" Target="https://www.capitaliq.com/CIQDotNet/RatingsDirect/GCPTearsheet.aspx?CompanyId=20531158" TargetMode="External"/><Relationship Id="rId119" Type="http://schemas.openxmlformats.org/officeDocument/2006/relationships/hyperlink" Target="https://www.capitaliq.com/CIQDotNet/RatingsDirect/GCPTearsheet.aspx?CompanyId=12723131" TargetMode="External"/><Relationship Id="rId44" Type="http://schemas.openxmlformats.org/officeDocument/2006/relationships/hyperlink" Target="https://www.capitaliq.com/CIQDotNet/RatingsDirect/GCPTearsheet.aspx?CompanyId=28801262" TargetMode="External"/><Relationship Id="rId60" Type="http://schemas.openxmlformats.org/officeDocument/2006/relationships/hyperlink" Target="https://www.capitaliq.com/CIQDotNet/RatingsDirect/GCPTearsheet.aspx?CompanyId=24807737" TargetMode="External"/><Relationship Id="rId65" Type="http://schemas.openxmlformats.org/officeDocument/2006/relationships/hyperlink" Target="https://www.capitaliq.com/CIQDotNet/RatingsDirect/GCPTearsheet.aspx?CompanyId=59404581" TargetMode="External"/><Relationship Id="rId81" Type="http://schemas.openxmlformats.org/officeDocument/2006/relationships/hyperlink" Target="https://www.capitaliq.com/CIQDotNet/RatingsDirect/GCPTearsheet.aspx?CompanyId=53736984" TargetMode="External"/><Relationship Id="rId86" Type="http://schemas.openxmlformats.org/officeDocument/2006/relationships/hyperlink" Target="https://www.capitaliq.com/CIQDotNet/RatingsDirect/GCPTearsheet.aspx?CompanyId=29686622" TargetMode="External"/><Relationship Id="rId130" Type="http://schemas.openxmlformats.org/officeDocument/2006/relationships/hyperlink" Target="https://www.capitaliq.com/CIQDotNet/RatingsDirect/GCPTearsheet.aspx?CompanyId=143004518" TargetMode="External"/><Relationship Id="rId13" Type="http://schemas.openxmlformats.org/officeDocument/2006/relationships/hyperlink" Target="https://www.capitaliq.com/CIQDotNet/RatingsDirect/GCPTearsheet.aspx?CompanyId=20506412" TargetMode="External"/><Relationship Id="rId18" Type="http://schemas.openxmlformats.org/officeDocument/2006/relationships/hyperlink" Target="https://www.capitaliq.com/CIQDotNet/RatingsDirect/GCPTearsheet.aspx?CompanyId=32857125" TargetMode="External"/><Relationship Id="rId39" Type="http://schemas.openxmlformats.org/officeDocument/2006/relationships/hyperlink" Target="https://www.capitaliq.com/CIQDotNet/RatingsDirect/GCPTearsheet.aspx?CompanyId=22398854" TargetMode="External"/><Relationship Id="rId109" Type="http://schemas.openxmlformats.org/officeDocument/2006/relationships/hyperlink" Target="https://www.capitaliq.com/CIQDotNet/RatingsDirect/GCPTearsheet.aspx?CompanyId=27481510" TargetMode="External"/><Relationship Id="rId34" Type="http://schemas.openxmlformats.org/officeDocument/2006/relationships/hyperlink" Target="https://www.capitaliq.com/CIQDotNet/RatingsDirect/GCPTearsheet.aspx?CompanyId=27481537" TargetMode="External"/><Relationship Id="rId50" Type="http://schemas.openxmlformats.org/officeDocument/2006/relationships/hyperlink" Target="https://www.capitaliq.com/CIQDotNet/RatingsDirect/GCPTearsheet.aspx?CompanyId=29380993" TargetMode="External"/><Relationship Id="rId55" Type="http://schemas.openxmlformats.org/officeDocument/2006/relationships/hyperlink" Target="https://www.capitaliq.com/CIQDotNet/RatingsDirect/GCPTearsheet.aspx?CompanyId=3590669" TargetMode="External"/><Relationship Id="rId76" Type="http://schemas.openxmlformats.org/officeDocument/2006/relationships/hyperlink" Target="https://www.capitaliq.com/CIQDotNet/RatingsDirect/GCPTearsheet.aspx?CompanyId=27481487" TargetMode="External"/><Relationship Id="rId97" Type="http://schemas.openxmlformats.org/officeDocument/2006/relationships/hyperlink" Target="https://www.capitaliq.com/CIQDotNet/RatingsDirect/GCPTearsheet.aspx?CompanyId=20528442" TargetMode="External"/><Relationship Id="rId104" Type="http://schemas.openxmlformats.org/officeDocument/2006/relationships/hyperlink" Target="https://www.capitaliq.com/CIQDotNet/RatingsDirect/GCPTearsheet.aspx?CompanyId=31222402" TargetMode="External"/><Relationship Id="rId120" Type="http://schemas.openxmlformats.org/officeDocument/2006/relationships/hyperlink" Target="https://www.capitaliq.com/CIQDotNet/RatingsDirect/GCPTearsheet.aspx?CompanyId=3590635" TargetMode="External"/><Relationship Id="rId125" Type="http://schemas.openxmlformats.org/officeDocument/2006/relationships/hyperlink" Target="https://www.capitaliq.com/CIQDotNet/RatingsDirect/GCPTearsheet.aspx?CompanyId=12425677" TargetMode="External"/><Relationship Id="rId7" Type="http://schemas.openxmlformats.org/officeDocument/2006/relationships/hyperlink" Target="https://www.capitaliq.com/CIQDotNet/RatingsDirect/GCPTearsheet.aspx?CompanyId=25104817" TargetMode="External"/><Relationship Id="rId71" Type="http://schemas.openxmlformats.org/officeDocument/2006/relationships/hyperlink" Target="https://www.capitaliq.com/CIQDotNet/RatingsDirect/GCPTearsheet.aspx?CompanyId=32454184" TargetMode="External"/><Relationship Id="rId92" Type="http://schemas.openxmlformats.org/officeDocument/2006/relationships/hyperlink" Target="https://www.capitaliq.com/CIQDotNet/RatingsDirect/GCPTearsheet.aspx?CompanyId=28321656" TargetMode="External"/><Relationship Id="rId2" Type="http://schemas.openxmlformats.org/officeDocument/2006/relationships/hyperlink" Target="https://www.capitaliq.com/CIQDotNet/RatingsDirect/GCPTearsheet.aspx?CompanyId=35447083" TargetMode="External"/><Relationship Id="rId29" Type="http://schemas.openxmlformats.org/officeDocument/2006/relationships/hyperlink" Target="https://www.capitaliq.com/CIQDotNet/RatingsDirect/GCPTearsheet.aspx?CompanyId=3569286" TargetMode="External"/><Relationship Id="rId24" Type="http://schemas.openxmlformats.org/officeDocument/2006/relationships/hyperlink" Target="https://www.capitaliq.com/CIQDotNet/RatingsDirect/GCPTearsheet.aspx?CompanyId=32733526" TargetMode="External"/><Relationship Id="rId40" Type="http://schemas.openxmlformats.org/officeDocument/2006/relationships/hyperlink" Target="https://www.capitaliq.com/CIQDotNet/RatingsDirect/GCPTearsheet.aspx?CompanyId=20530398" TargetMode="External"/><Relationship Id="rId45" Type="http://schemas.openxmlformats.org/officeDocument/2006/relationships/hyperlink" Target="https://www.capitaliq.com/CIQDotNet/RatingsDirect/GCPTearsheet.aspx?CompanyId=3612255" TargetMode="External"/><Relationship Id="rId66" Type="http://schemas.openxmlformats.org/officeDocument/2006/relationships/hyperlink" Target="https://www.capitaliq.com/CIQDotNet/RatingsDirect/GCPTearsheet.aspx?CompanyId=26938370" TargetMode="External"/><Relationship Id="rId87" Type="http://schemas.openxmlformats.org/officeDocument/2006/relationships/hyperlink" Target="https://www.capitaliq.com/CIQDotNet/RatingsDirect/GCPTearsheet.aspx?CompanyId=28913065" TargetMode="External"/><Relationship Id="rId110" Type="http://schemas.openxmlformats.org/officeDocument/2006/relationships/hyperlink" Target="https://www.capitaliq.com/CIQDotNet/RatingsDirect/GCPTearsheet.aspx?CompanyId=3590743" TargetMode="External"/><Relationship Id="rId115" Type="http://schemas.openxmlformats.org/officeDocument/2006/relationships/hyperlink" Target="https://www.capitaliq.com/CIQDotNet/RatingsDirect/GCPTearsheet.aspx?CompanyId=29618341" TargetMode="External"/><Relationship Id="rId131" Type="http://schemas.openxmlformats.org/officeDocument/2006/relationships/hyperlink" Target="https://www.capitaliq.com/CIQDotNet/RatingsDirect/GCPTearsheet.aspx?CompanyId=30192242" TargetMode="External"/><Relationship Id="rId61" Type="http://schemas.openxmlformats.org/officeDocument/2006/relationships/hyperlink" Target="https://www.capitaliq.com/CIQDotNet/RatingsDirect/GCPTearsheet.aspx?CompanyId=3534698" TargetMode="External"/><Relationship Id="rId82" Type="http://schemas.openxmlformats.org/officeDocument/2006/relationships/hyperlink" Target="https://www.capitaliq.com/CIQDotNet/RatingsDirect/GCPTearsheet.aspx?CompanyId=30189576" TargetMode="External"/><Relationship Id="rId19" Type="http://schemas.openxmlformats.org/officeDocument/2006/relationships/hyperlink" Target="https://www.capitaliq.com/CIQDotNet/RatingsDirect/GCPTearsheet.aspx?CompanyId=32454178" TargetMode="External"/><Relationship Id="rId14" Type="http://schemas.openxmlformats.org/officeDocument/2006/relationships/hyperlink" Target="https://www.capitaliq.com/CIQDotNet/RatingsDirect/GCPTearsheet.aspx?CompanyId=36465360" TargetMode="External"/><Relationship Id="rId30" Type="http://schemas.openxmlformats.org/officeDocument/2006/relationships/hyperlink" Target="https://www.capitaliq.com/CIQDotNet/RatingsDirect/GCPTearsheet.aspx?CompanyId=32670211" TargetMode="External"/><Relationship Id="rId35" Type="http://schemas.openxmlformats.org/officeDocument/2006/relationships/hyperlink" Target="https://www.capitaliq.com/CIQDotNet/RatingsDirect/GCPTearsheet.aspx?CompanyId=20505264" TargetMode="External"/><Relationship Id="rId56" Type="http://schemas.openxmlformats.org/officeDocument/2006/relationships/hyperlink" Target="https://www.capitaliq.com/CIQDotNet/RatingsDirect/GCPTearsheet.aspx?CompanyId=20504284" TargetMode="External"/><Relationship Id="rId77" Type="http://schemas.openxmlformats.org/officeDocument/2006/relationships/hyperlink" Target="https://www.capitaliq.com/CIQDotNet/RatingsDirect/GCPTearsheet.aspx?CompanyId=31130649" TargetMode="External"/><Relationship Id="rId100" Type="http://schemas.openxmlformats.org/officeDocument/2006/relationships/hyperlink" Target="https://www.capitaliq.com/CIQDotNet/RatingsDirect/GCPTearsheet.aspx?CompanyId=20530761" TargetMode="External"/><Relationship Id="rId105" Type="http://schemas.openxmlformats.org/officeDocument/2006/relationships/hyperlink" Target="https://www.capitaliq.com/CIQDotNet/RatingsDirect/GCPTearsheet.aspx?CompanyId=32572239" TargetMode="External"/><Relationship Id="rId126" Type="http://schemas.openxmlformats.org/officeDocument/2006/relationships/hyperlink" Target="https://www.capitaliq.com/CIQDotNet/RatingsDirect/GCPTearsheet.aspx?CompanyId=3611383" TargetMode="External"/><Relationship Id="rId8" Type="http://schemas.openxmlformats.org/officeDocument/2006/relationships/hyperlink" Target="https://www.capitaliq.com/CIQDotNet/RatingsDirect/GCPTearsheet.aspx?CompanyId=3215470" TargetMode="External"/><Relationship Id="rId51" Type="http://schemas.openxmlformats.org/officeDocument/2006/relationships/hyperlink" Target="https://www.capitaliq.com/CIQDotNet/RatingsDirect/GCPTearsheet.aspx?CompanyId=20528115" TargetMode="External"/><Relationship Id="rId72" Type="http://schemas.openxmlformats.org/officeDocument/2006/relationships/hyperlink" Target="https://www.capitaliq.com/CIQDotNet/RatingsDirect/GCPTearsheet.aspx?CompanyId=7884639" TargetMode="External"/><Relationship Id="rId93" Type="http://schemas.openxmlformats.org/officeDocument/2006/relationships/hyperlink" Target="https://www.capitaliq.com/CIQDotNet/RatingsDirect/GCPTearsheet.aspx?CompanyId=32857040" TargetMode="External"/><Relationship Id="rId98" Type="http://schemas.openxmlformats.org/officeDocument/2006/relationships/hyperlink" Target="https://www.capitaliq.com/CIQDotNet/RatingsDirect/GCPTearsheet.aspx?CompanyId=26359855" TargetMode="External"/><Relationship Id="rId121" Type="http://schemas.openxmlformats.org/officeDocument/2006/relationships/hyperlink" Target="https://www.capitaliq.com/CIQDotNet/RatingsDirect/GCPTearsheet.aspx?CompanyId=49432987" TargetMode="External"/><Relationship Id="rId3" Type="http://schemas.openxmlformats.org/officeDocument/2006/relationships/hyperlink" Target="https://www.capitaliq.com/CIQDotNet/RatingsDirect/GCPTearsheet.aspx?CompanyId=33017289" TargetMode="External"/><Relationship Id="rId25" Type="http://schemas.openxmlformats.org/officeDocument/2006/relationships/hyperlink" Target="https://www.capitaliq.com/CIQDotNet/RatingsDirect/GCPTearsheet.aspx?CompanyId=4080736" TargetMode="External"/><Relationship Id="rId46" Type="http://schemas.openxmlformats.org/officeDocument/2006/relationships/hyperlink" Target="https://www.capitaliq.com/CIQDotNet/RatingsDirect/GCPTearsheet.aspx?CompanyId=3474783" TargetMode="External"/><Relationship Id="rId67" Type="http://schemas.openxmlformats.org/officeDocument/2006/relationships/hyperlink" Target="https://www.capitaliq.com/CIQDotNet/RatingsDirect/GCPTearsheet.aspx?CompanyId=20515001" TargetMode="External"/><Relationship Id="rId116" Type="http://schemas.openxmlformats.org/officeDocument/2006/relationships/hyperlink" Target="https://www.capitaliq.com/CIQDotNet/RatingsDirect/GCPTearsheet.aspx?CompanyId=26935624" TargetMode="External"/><Relationship Id="rId20" Type="http://schemas.openxmlformats.org/officeDocument/2006/relationships/hyperlink" Target="https://www.capitaliq.com/CIQDotNet/RatingsDirect/GCPTearsheet.aspx?CompanyId=32454169" TargetMode="External"/><Relationship Id="rId41" Type="http://schemas.openxmlformats.org/officeDocument/2006/relationships/hyperlink" Target="https://www.capitaliq.com/CIQDotNet/RatingsDirect/GCPTearsheet.aspx?CompanyId=20486245" TargetMode="External"/><Relationship Id="rId62" Type="http://schemas.openxmlformats.org/officeDocument/2006/relationships/hyperlink" Target="https://www.capitaliq.com/CIQDotNet/RatingsDirect/GCPTearsheet.aspx?CompanyId=3534701" TargetMode="External"/><Relationship Id="rId83" Type="http://schemas.openxmlformats.org/officeDocument/2006/relationships/hyperlink" Target="https://www.capitaliq.com/CIQDotNet/RatingsDirect/GCPTearsheet.aspx?CompanyId=30999424" TargetMode="External"/><Relationship Id="rId88" Type="http://schemas.openxmlformats.org/officeDocument/2006/relationships/hyperlink" Target="https://www.capitaliq.com/CIQDotNet/RatingsDirect/GCPTearsheet.aspx?CompanyId=32589250" TargetMode="External"/><Relationship Id="rId111" Type="http://schemas.openxmlformats.org/officeDocument/2006/relationships/hyperlink" Target="https://www.capitaliq.com/CIQDotNet/RatingsDirect/GCPTearsheet.aspx?CompanyId=3600380" TargetMode="External"/><Relationship Id="rId15" Type="http://schemas.openxmlformats.org/officeDocument/2006/relationships/hyperlink" Target="https://www.capitaliq.com/CIQDotNet/RatingsDirect/GCPTearsheet.aspx?CompanyId=27481534" TargetMode="External"/><Relationship Id="rId36" Type="http://schemas.openxmlformats.org/officeDocument/2006/relationships/hyperlink" Target="https://www.capitaliq.com/CIQDotNet/RatingsDirect/GCPTearsheet.aspx?CompanyId=24934294" TargetMode="External"/><Relationship Id="rId57" Type="http://schemas.openxmlformats.org/officeDocument/2006/relationships/hyperlink" Target="https://www.capitaliq.com/CIQDotNet/RatingsDirect/GCPTearsheet.aspx?CompanyId=25020895" TargetMode="External"/><Relationship Id="rId106" Type="http://schemas.openxmlformats.org/officeDocument/2006/relationships/hyperlink" Target="https://www.capitaliq.com/CIQDotNet/RatingsDirect/GCPTearsheet.aspx?CompanyId=84202515" TargetMode="External"/><Relationship Id="rId127" Type="http://schemas.openxmlformats.org/officeDocument/2006/relationships/hyperlink" Target="https://www.capitaliq.com/CIQDotNet/RatingsDirect/GCPTearsheet.aspx?CompanyId=3611384" TargetMode="External"/><Relationship Id="rId10" Type="http://schemas.openxmlformats.org/officeDocument/2006/relationships/hyperlink" Target="https://www.capitaliq.com/CIQDotNet/RatingsDirect/GCPTearsheet.aspx?CompanyId=20487191" TargetMode="External"/><Relationship Id="rId31" Type="http://schemas.openxmlformats.org/officeDocument/2006/relationships/hyperlink" Target="https://www.capitaliq.com/CIQDotNet/RatingsDirect/GCPTearsheet.aspx?CompanyId=32861032" TargetMode="External"/><Relationship Id="rId52" Type="http://schemas.openxmlformats.org/officeDocument/2006/relationships/hyperlink" Target="https://www.capitaliq.com/CIQDotNet/RatingsDirect/GCPTearsheet.aspx?CompanyId=36815153" TargetMode="External"/><Relationship Id="rId73" Type="http://schemas.openxmlformats.org/officeDocument/2006/relationships/hyperlink" Target="https://www.capitaliq.com/CIQDotNet/RatingsDirect/GCPTearsheet.aspx?CompanyId=36814627" TargetMode="External"/><Relationship Id="rId78" Type="http://schemas.openxmlformats.org/officeDocument/2006/relationships/hyperlink" Target="https://www.capitaliq.com/CIQDotNet/RatingsDirect/GCPTearsheet.aspx?CompanyId=3611382" TargetMode="External"/><Relationship Id="rId94" Type="http://schemas.openxmlformats.org/officeDocument/2006/relationships/hyperlink" Target="https://www.capitaliq.com/CIQDotNet/RatingsDirect/GCPTearsheet.aspx?CompanyId=3611380" TargetMode="External"/><Relationship Id="rId99" Type="http://schemas.openxmlformats.org/officeDocument/2006/relationships/hyperlink" Target="https://www.capitaliq.com/CIQDotNet/RatingsDirect/GCPTearsheet.aspx?CompanyId=106631819" TargetMode="External"/><Relationship Id="rId101" Type="http://schemas.openxmlformats.org/officeDocument/2006/relationships/hyperlink" Target="https://www.capitaliq.com/CIQDotNet/RatingsDirect/GCPTearsheet.aspx?CompanyId=20464846" TargetMode="External"/><Relationship Id="rId122" Type="http://schemas.openxmlformats.org/officeDocument/2006/relationships/hyperlink" Target="https://www.capitaliq.com/CIQDotNet/RatingsDirect/GCPTearsheet.aspx?CompanyId=32341616" TargetMode="External"/><Relationship Id="rId4" Type="http://schemas.openxmlformats.org/officeDocument/2006/relationships/hyperlink" Target="https://www.capitaliq.com/CIQDotNet/RatingsDirect/GCPTearsheet.aspx?CompanyId=31090264" TargetMode="External"/><Relationship Id="rId9" Type="http://schemas.openxmlformats.org/officeDocument/2006/relationships/hyperlink" Target="https://www.capitaliq.com/CIQDotNet/RatingsDirect/GCPTearsheet.aspx?CompanyId=34052850" TargetMode="External"/><Relationship Id="rId26" Type="http://schemas.openxmlformats.org/officeDocument/2006/relationships/hyperlink" Target="https://www.capitaliq.com/CIQDotNet/RatingsDirect/GCPTearsheet.aspx?CompanyId=5034169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A29" sqref="A29"/>
    </sheetView>
  </sheetViews>
  <sheetFormatPr baseColWidth="10" defaultRowHeight="12"/>
  <cols>
    <col min="1" max="1" width="24.6640625" customWidth="1"/>
  </cols>
  <sheetData>
    <row r="1" spans="1:4" s="49" customFormat="1" ht="16">
      <c r="A1" s="37" t="s">
        <v>152</v>
      </c>
    </row>
    <row r="2" spans="1:4" s="49" customFormat="1" ht="16">
      <c r="A2" s="49" t="s">
        <v>153</v>
      </c>
    </row>
    <row r="3" spans="1:4" s="49" customFormat="1" ht="16">
      <c r="A3" s="49" t="s">
        <v>277</v>
      </c>
    </row>
    <row r="4" spans="1:4" s="49" customFormat="1" ht="16"/>
    <row r="5" spans="1:4" s="77" customFormat="1" ht="16">
      <c r="A5" s="89" t="s">
        <v>154</v>
      </c>
    </row>
    <row r="6" spans="1:4" s="49" customFormat="1" ht="16">
      <c r="A6" s="49" t="s">
        <v>155</v>
      </c>
    </row>
    <row r="7" spans="1:4" s="49" customFormat="1" ht="16">
      <c r="A7" s="49" t="s">
        <v>157</v>
      </c>
      <c r="B7" s="90" t="s">
        <v>156</v>
      </c>
    </row>
    <row r="8" spans="1:4" s="49" customFormat="1" ht="16">
      <c r="A8" s="49" t="s">
        <v>158</v>
      </c>
      <c r="B8" s="90" t="s">
        <v>159</v>
      </c>
    </row>
    <row r="9" spans="1:4" s="49" customFormat="1" ht="16"/>
    <row r="10" spans="1:4" s="77" customFormat="1" ht="16">
      <c r="A10" s="89" t="s">
        <v>160</v>
      </c>
    </row>
    <row r="11" spans="1:4" s="49" customFormat="1" ht="16">
      <c r="A11" s="49" t="s">
        <v>161</v>
      </c>
      <c r="B11" s="90" t="s">
        <v>165</v>
      </c>
      <c r="D11" s="49" t="s">
        <v>166</v>
      </c>
    </row>
    <row r="12" spans="1:4" s="49" customFormat="1" ht="16">
      <c r="A12" s="49" t="s">
        <v>162</v>
      </c>
      <c r="B12" s="49" t="s">
        <v>167</v>
      </c>
    </row>
    <row r="13" spans="1:4" s="49" customFormat="1" ht="16">
      <c r="A13" s="49" t="s">
        <v>163</v>
      </c>
      <c r="B13" s="49" t="s">
        <v>164</v>
      </c>
    </row>
    <row r="14" spans="1:4" s="49" customFormat="1" ht="16">
      <c r="A14" s="92" t="s">
        <v>351</v>
      </c>
    </row>
    <row r="15" spans="1:4" s="49" customFormat="1" ht="16">
      <c r="A15" s="1"/>
    </row>
    <row r="16" spans="1:4" s="77" customFormat="1" ht="16">
      <c r="A16" s="89" t="s">
        <v>168</v>
      </c>
    </row>
    <row r="17" spans="1:9" s="77" customFormat="1" ht="16">
      <c r="A17" s="77" t="s">
        <v>200</v>
      </c>
    </row>
    <row r="18" spans="1:9" s="49" customFormat="1" ht="16">
      <c r="A18" s="49" t="s">
        <v>313</v>
      </c>
    </row>
    <row r="19" spans="1:9" s="49" customFormat="1" ht="16">
      <c r="A19" s="122" t="s">
        <v>400</v>
      </c>
    </row>
    <row r="20" spans="1:9" s="49" customFormat="1" ht="16">
      <c r="A20" s="49" t="s">
        <v>399</v>
      </c>
    </row>
    <row r="21" spans="1:9" s="77" customFormat="1" ht="16">
      <c r="A21" s="77" t="s">
        <v>201</v>
      </c>
    </row>
    <row r="22" spans="1:9" s="49" customFormat="1" ht="16">
      <c r="A22" s="49" t="s">
        <v>314</v>
      </c>
    </row>
    <row r="23" spans="1:9" s="49" customFormat="1" ht="16">
      <c r="A23" s="49" t="s">
        <v>202</v>
      </c>
    </row>
    <row r="24" spans="1:9" s="49" customFormat="1" ht="16">
      <c r="A24" s="122" t="s">
        <v>404</v>
      </c>
    </row>
    <row r="25" spans="1:9" s="49" customFormat="1" ht="16">
      <c r="A25" s="49" t="s">
        <v>258</v>
      </c>
    </row>
    <row r="26" spans="1:9" s="49" customFormat="1" ht="16"/>
    <row r="27" spans="1:9" s="77" customFormat="1" ht="16">
      <c r="A27" s="89" t="s">
        <v>254</v>
      </c>
    </row>
    <row r="28" spans="1:9" s="49" customFormat="1" ht="16">
      <c r="A28" s="49" t="s">
        <v>169</v>
      </c>
    </row>
    <row r="29" spans="1:9" s="49" customFormat="1" ht="16"/>
    <row r="30" spans="1:9" s="89" customFormat="1" ht="16">
      <c r="A30" s="89" t="s">
        <v>255</v>
      </c>
    </row>
    <row r="31" spans="1:9" s="49" customFormat="1" ht="16">
      <c r="A31" s="49" t="s">
        <v>256</v>
      </c>
    </row>
    <row r="32" spans="1:9" s="49" customFormat="1" ht="16">
      <c r="A32" s="49" t="s">
        <v>257</v>
      </c>
      <c r="I32" s="90" t="s">
        <v>405</v>
      </c>
    </row>
    <row r="33" spans="1:12" s="49" customFormat="1" ht="16"/>
    <row r="34" spans="1:12" s="49" customFormat="1" ht="16">
      <c r="A34" s="49" t="s">
        <v>170</v>
      </c>
    </row>
    <row r="35" spans="1:12" s="49" customFormat="1" ht="22" customHeight="1">
      <c r="A35" s="77" t="s">
        <v>171</v>
      </c>
      <c r="E35" s="220" t="s">
        <v>582</v>
      </c>
      <c r="F35" s="221"/>
      <c r="G35" s="221"/>
      <c r="H35" s="221"/>
      <c r="I35" s="221"/>
      <c r="J35" s="221"/>
      <c r="K35" s="221"/>
      <c r="L35" s="221"/>
    </row>
    <row r="36" spans="1:12" s="49" customFormat="1" ht="16">
      <c r="A36" s="77" t="s">
        <v>172</v>
      </c>
      <c r="E36" s="90" t="s">
        <v>173</v>
      </c>
    </row>
    <row r="37" spans="1:12" s="49" customFormat="1" ht="16">
      <c r="A37" s="77" t="s">
        <v>174</v>
      </c>
      <c r="E37" s="90" t="s">
        <v>175</v>
      </c>
    </row>
    <row r="38" spans="1:12" s="49" customFormat="1" ht="16">
      <c r="E38" s="90" t="s">
        <v>176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E36" r:id="rId4" xr:uid="{00000000-0004-0000-0000-000003000000}"/>
    <hyperlink ref="E37" r:id="rId5" xr:uid="{00000000-0004-0000-0000-000004000000}"/>
    <hyperlink ref="E38" r:id="rId6" xr:uid="{00000000-0004-0000-0000-000005000000}"/>
    <hyperlink ref="I32" r:id="rId7" xr:uid="{00000000-0004-0000-0000-000006000000}"/>
    <hyperlink ref="E35" r:id="rId8" xr:uid="{00000000-0004-0000-0000-000007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2"/>
  <sheetViews>
    <sheetView workbookViewId="0">
      <selection sqref="A1:C21"/>
    </sheetView>
  </sheetViews>
  <sheetFormatPr baseColWidth="10" defaultRowHeight="12"/>
  <cols>
    <col min="1" max="1" width="11.83203125" bestFit="1" customWidth="1"/>
    <col min="2" max="2" width="16.33203125" bestFit="1" customWidth="1"/>
    <col min="3" max="3" width="19" bestFit="1" customWidth="1"/>
    <col min="5" max="5" width="19.6640625" customWidth="1"/>
    <col min="8" max="8" width="10.83203125" style="194"/>
  </cols>
  <sheetData>
    <row r="1" spans="1:12" ht="34">
      <c r="A1" s="20" t="s">
        <v>40</v>
      </c>
      <c r="B1" s="17" t="s">
        <v>588</v>
      </c>
      <c r="C1" s="17" t="s">
        <v>587</v>
      </c>
      <c r="E1" s="85" t="s">
        <v>77</v>
      </c>
      <c r="F1" s="86" t="s">
        <v>279</v>
      </c>
      <c r="G1" s="191" t="s">
        <v>502</v>
      </c>
      <c r="H1" s="216" t="s">
        <v>586</v>
      </c>
      <c r="I1" s="86" t="s">
        <v>499</v>
      </c>
      <c r="K1" s="85" t="s">
        <v>77</v>
      </c>
      <c r="L1" s="214">
        <v>41820</v>
      </c>
    </row>
    <row r="2" spans="1:12" ht="16">
      <c r="A2" s="5" t="s">
        <v>42</v>
      </c>
      <c r="B2" s="104">
        <v>72.151867346079939</v>
      </c>
      <c r="C2" s="104">
        <f t="shared" ref="C2:C21" si="0">B2*(1+$I$71)</f>
        <v>81.371484537625221</v>
      </c>
      <c r="E2" s="57" t="s">
        <v>280</v>
      </c>
      <c r="F2" s="72" t="s">
        <v>46</v>
      </c>
      <c r="G2" s="192">
        <v>1.12E-2</v>
      </c>
      <c r="H2" s="27">
        <v>1.03E-2</v>
      </c>
      <c r="I2" s="91">
        <f t="shared" ref="I2:I36" si="1">IF(H2="NA","NA",H2/G2-1)</f>
        <v>-8.0357142857142794E-2</v>
      </c>
      <c r="K2" s="57" t="s">
        <v>280</v>
      </c>
      <c r="L2" s="27">
        <v>1.03E-2</v>
      </c>
    </row>
    <row r="3" spans="1:12" ht="16">
      <c r="A3" s="5" t="s">
        <v>43</v>
      </c>
      <c r="B3" s="104">
        <v>86.952250391429672</v>
      </c>
      <c r="C3" s="104">
        <f t="shared" si="0"/>
        <v>98.063071109445772</v>
      </c>
      <c r="E3" s="57" t="s">
        <v>86</v>
      </c>
      <c r="F3" s="72" t="s">
        <v>80</v>
      </c>
      <c r="G3" s="192">
        <v>3.6600000000000001E-2</v>
      </c>
      <c r="H3" s="27">
        <v>5.4199999999999998E-2</v>
      </c>
      <c r="I3" s="91">
        <f t="shared" si="1"/>
        <v>0.48087431693989058</v>
      </c>
      <c r="K3" s="57" t="s">
        <v>86</v>
      </c>
      <c r="L3" s="27">
        <v>5.4199999999999998E-2</v>
      </c>
    </row>
    <row r="4" spans="1:12" ht="16">
      <c r="A4" s="5" t="s">
        <v>44</v>
      </c>
      <c r="B4" s="104">
        <v>123.02818406446964</v>
      </c>
      <c r="C4" s="104">
        <f t="shared" si="0"/>
        <v>138.74881337825838</v>
      </c>
      <c r="E4" s="57" t="s">
        <v>87</v>
      </c>
      <c r="F4" s="72" t="s">
        <v>48</v>
      </c>
      <c r="G4" s="192">
        <v>3.5999999999999999E-3</v>
      </c>
      <c r="H4" s="27">
        <v>4.1999999999999997E-3</v>
      </c>
      <c r="I4" s="91">
        <f t="shared" si="1"/>
        <v>0.16666666666666652</v>
      </c>
      <c r="K4" s="57" t="s">
        <v>87</v>
      </c>
      <c r="L4" s="27">
        <v>4.1999999999999997E-3</v>
      </c>
    </row>
    <row r="5" spans="1:12" ht="16">
      <c r="A5" s="5" t="s">
        <v>45</v>
      </c>
      <c r="B5" s="104">
        <v>40.701053374711755</v>
      </c>
      <c r="C5" s="104">
        <f t="shared" si="0"/>
        <v>45.901863072506522</v>
      </c>
      <c r="E5" s="57" t="s">
        <v>182</v>
      </c>
      <c r="F5" s="72" t="s">
        <v>45</v>
      </c>
      <c r="G5" s="192">
        <v>3.3999999999999998E-3</v>
      </c>
      <c r="H5" s="27">
        <v>2.8E-3</v>
      </c>
      <c r="I5" s="91">
        <f t="shared" si="1"/>
        <v>-0.17647058823529405</v>
      </c>
      <c r="K5" s="57" t="s">
        <v>182</v>
      </c>
      <c r="L5" s="27">
        <v>2.8E-3</v>
      </c>
    </row>
    <row r="6" spans="1:12" ht="16">
      <c r="A6" s="5" t="s">
        <v>46</v>
      </c>
      <c r="B6" s="104">
        <v>50.876316718389695</v>
      </c>
      <c r="C6" s="104">
        <f t="shared" si="0"/>
        <v>57.377328840633162</v>
      </c>
      <c r="E6" s="57" t="s">
        <v>89</v>
      </c>
      <c r="F6" s="72" t="s">
        <v>82</v>
      </c>
      <c r="G6" s="192">
        <v>3.3700000000000001E-2</v>
      </c>
      <c r="H6" s="27">
        <v>4.02E-2</v>
      </c>
      <c r="I6" s="91">
        <f t="shared" si="1"/>
        <v>0.19287833827893164</v>
      </c>
      <c r="K6" s="57" t="s">
        <v>89</v>
      </c>
      <c r="L6" s="27">
        <v>4.02E-2</v>
      </c>
    </row>
    <row r="7" spans="1:12" ht="16">
      <c r="A7" s="5" t="s">
        <v>47</v>
      </c>
      <c r="B7" s="104">
        <v>61.976604002401992</v>
      </c>
      <c r="C7" s="104">
        <f t="shared" si="0"/>
        <v>69.896018769498568</v>
      </c>
      <c r="E7" s="57" t="s">
        <v>183</v>
      </c>
      <c r="F7" s="72" t="s">
        <v>47</v>
      </c>
      <c r="G7" s="192">
        <v>3.8E-3</v>
      </c>
      <c r="H7" s="27">
        <v>4.0000000000000001E-3</v>
      </c>
      <c r="I7" s="91">
        <f t="shared" si="1"/>
        <v>5.2631578947368363E-2</v>
      </c>
      <c r="K7" s="57" t="s">
        <v>183</v>
      </c>
      <c r="L7" s="27">
        <v>4.0000000000000001E-3</v>
      </c>
    </row>
    <row r="8" spans="1:12" ht="16">
      <c r="A8" s="5" t="s">
        <v>48</v>
      </c>
      <c r="B8" s="104">
        <v>0</v>
      </c>
      <c r="C8" s="104">
        <f t="shared" si="0"/>
        <v>0</v>
      </c>
      <c r="E8" s="57" t="s">
        <v>94</v>
      </c>
      <c r="F8" s="72" t="s">
        <v>82</v>
      </c>
      <c r="G8" s="192">
        <v>2.6499999999999999E-2</v>
      </c>
      <c r="H8" s="27">
        <v>3.4599999999999999E-2</v>
      </c>
      <c r="I8" s="91">
        <f t="shared" si="1"/>
        <v>0.3056603773584905</v>
      </c>
      <c r="K8" s="57" t="s">
        <v>94</v>
      </c>
      <c r="L8" s="27">
        <v>3.4599999999999999E-2</v>
      </c>
    </row>
    <row r="9" spans="1:12" ht="16">
      <c r="A9" s="5" t="s">
        <v>49</v>
      </c>
      <c r="B9" s="104">
        <v>461.58694622684476</v>
      </c>
      <c r="C9" s="104">
        <f t="shared" si="0"/>
        <v>520.56885620865364</v>
      </c>
      <c r="E9" s="57" t="s">
        <v>96</v>
      </c>
      <c r="F9" s="72" t="s">
        <v>85</v>
      </c>
      <c r="G9" s="192">
        <v>1.47E-2</v>
      </c>
      <c r="H9" s="27">
        <v>1.2200000000000001E-2</v>
      </c>
      <c r="I9" s="91">
        <f t="shared" si="1"/>
        <v>-0.17006802721088432</v>
      </c>
      <c r="K9" s="57" t="s">
        <v>96</v>
      </c>
      <c r="L9" s="27">
        <v>1.2200000000000001E-2</v>
      </c>
    </row>
    <row r="10" spans="1:12" ht="16">
      <c r="A10" s="5" t="s">
        <v>50</v>
      </c>
      <c r="B10" s="104">
        <v>564.26460360395845</v>
      </c>
      <c r="C10" s="104">
        <f t="shared" si="0"/>
        <v>636.36673805065868</v>
      </c>
      <c r="E10" s="57" t="s">
        <v>98</v>
      </c>
      <c r="F10" s="72" t="s">
        <v>47</v>
      </c>
      <c r="G10" s="192">
        <v>1.0200000000000001E-2</v>
      </c>
      <c r="H10" s="27">
        <v>1.01E-2</v>
      </c>
      <c r="I10" s="91">
        <f t="shared" si="1"/>
        <v>-9.8039215686275272E-3</v>
      </c>
      <c r="K10" s="57" t="s">
        <v>98</v>
      </c>
      <c r="L10" s="27">
        <v>1.01E-2</v>
      </c>
    </row>
    <row r="11" spans="1:12" ht="16">
      <c r="A11" s="5" t="s">
        <v>80</v>
      </c>
      <c r="B11" s="104">
        <v>666.9422609810722</v>
      </c>
      <c r="C11" s="104">
        <f t="shared" si="0"/>
        <v>752.16461989266384</v>
      </c>
      <c r="E11" s="57" t="s">
        <v>99</v>
      </c>
      <c r="F11" s="72" t="s">
        <v>42</v>
      </c>
      <c r="G11" s="192">
        <v>9.7000000000000003E-3</v>
      </c>
      <c r="H11" s="27">
        <v>1.11E-2</v>
      </c>
      <c r="I11" s="91">
        <f t="shared" si="1"/>
        <v>0.14432989690721643</v>
      </c>
      <c r="K11" s="57" t="s">
        <v>99</v>
      </c>
      <c r="L11" s="27">
        <v>1.11E-2</v>
      </c>
    </row>
    <row r="12" spans="1:12" ht="16">
      <c r="A12" s="5" t="s">
        <v>81</v>
      </c>
      <c r="B12" s="104">
        <v>256.23163147261721</v>
      </c>
      <c r="C12" s="104">
        <f t="shared" si="0"/>
        <v>288.97309252464339</v>
      </c>
      <c r="E12" s="57" t="s">
        <v>51</v>
      </c>
      <c r="F12" s="72" t="s">
        <v>85</v>
      </c>
      <c r="G12" s="192">
        <v>0.02</v>
      </c>
      <c r="H12" s="27">
        <v>1.9300000000000001E-2</v>
      </c>
      <c r="I12" s="91">
        <f t="shared" si="1"/>
        <v>-3.499999999999992E-2</v>
      </c>
      <c r="K12" s="57" t="s">
        <v>51</v>
      </c>
      <c r="L12" s="27">
        <v>1.9300000000000001E-2</v>
      </c>
    </row>
    <row r="13" spans="1:12" ht="16">
      <c r="A13" s="5" t="s">
        <v>82</v>
      </c>
      <c r="B13" s="104">
        <v>308.03297213134124</v>
      </c>
      <c r="C13" s="104">
        <f t="shared" si="0"/>
        <v>347.39364552601529</v>
      </c>
      <c r="E13" s="57" t="s">
        <v>57</v>
      </c>
      <c r="F13" s="72" t="s">
        <v>82</v>
      </c>
      <c r="G13" s="192">
        <v>2.2599999999999999E-2</v>
      </c>
      <c r="H13" s="27">
        <v>2.4799999999999999E-2</v>
      </c>
      <c r="I13" s="91">
        <f t="shared" si="1"/>
        <v>9.7345132743362761E-2</v>
      </c>
      <c r="K13" s="57" t="s">
        <v>57</v>
      </c>
      <c r="L13" s="27">
        <v>2.4799999999999999E-2</v>
      </c>
    </row>
    <row r="14" spans="1:12" ht="16">
      <c r="A14" s="5" t="s">
        <v>83</v>
      </c>
      <c r="B14" s="104">
        <v>369.08455219340891</v>
      </c>
      <c r="C14" s="104">
        <f t="shared" si="0"/>
        <v>416.24644013477513</v>
      </c>
      <c r="E14" s="57" t="s">
        <v>100</v>
      </c>
      <c r="F14" s="72" t="s">
        <v>82</v>
      </c>
      <c r="G14" s="192">
        <v>1.61E-2</v>
      </c>
      <c r="H14" s="27">
        <v>1.5599999999999999E-2</v>
      </c>
      <c r="I14" s="91">
        <f t="shared" si="1"/>
        <v>-3.1055900621118071E-2</v>
      </c>
      <c r="K14" s="57" t="s">
        <v>100</v>
      </c>
      <c r="L14" s="27">
        <v>1.5599999999999999E-2</v>
      </c>
    </row>
    <row r="15" spans="1:12" ht="16">
      <c r="A15" s="5" t="s">
        <v>84</v>
      </c>
      <c r="B15" s="104">
        <v>163.72923743918139</v>
      </c>
      <c r="C15" s="104">
        <f t="shared" si="0"/>
        <v>184.65067645076491</v>
      </c>
      <c r="E15" s="57" t="s">
        <v>184</v>
      </c>
      <c r="F15" s="72" t="s">
        <v>49</v>
      </c>
      <c r="G15" s="192">
        <v>1.7500000000000002E-2</v>
      </c>
      <c r="H15" s="27">
        <v>1.7399999999999999E-2</v>
      </c>
      <c r="I15" s="91">
        <f t="shared" si="1"/>
        <v>-5.7142857142858938E-3</v>
      </c>
      <c r="K15" s="57" t="s">
        <v>184</v>
      </c>
      <c r="L15" s="27">
        <v>1.7399999999999999E-2</v>
      </c>
    </row>
    <row r="16" spans="1:12" ht="16">
      <c r="A16" s="5" t="s">
        <v>85</v>
      </c>
      <c r="B16" s="104">
        <v>195.18005141054957</v>
      </c>
      <c r="C16" s="104">
        <f t="shared" si="0"/>
        <v>220.12029791588358</v>
      </c>
      <c r="E16" s="57" t="s">
        <v>103</v>
      </c>
      <c r="F16" s="72" t="s">
        <v>42</v>
      </c>
      <c r="G16" s="192">
        <v>7.1000000000000004E-3</v>
      </c>
      <c r="H16" s="27">
        <v>7.1000000000000004E-3</v>
      </c>
      <c r="I16" s="91">
        <f t="shared" si="1"/>
        <v>0</v>
      </c>
      <c r="K16" s="57" t="s">
        <v>103</v>
      </c>
      <c r="L16" s="27">
        <v>7.1000000000000004E-3</v>
      </c>
    </row>
    <row r="17" spans="1:12" ht="16">
      <c r="A17" s="5" t="s">
        <v>126</v>
      </c>
      <c r="B17" s="104">
        <v>225.70584144158337</v>
      </c>
      <c r="C17" s="104">
        <f t="shared" si="0"/>
        <v>254.54669522026347</v>
      </c>
      <c r="E17" s="57" t="s">
        <v>104</v>
      </c>
      <c r="F17" s="72" t="s">
        <v>48</v>
      </c>
      <c r="G17" s="192">
        <v>3.2000000000000002E-3</v>
      </c>
      <c r="H17" s="27">
        <v>2.5999999999999999E-3</v>
      </c>
      <c r="I17" s="91">
        <f t="shared" si="1"/>
        <v>-0.18750000000000011</v>
      </c>
      <c r="K17" s="57" t="s">
        <v>104</v>
      </c>
      <c r="L17" s="27">
        <v>2.5999999999999999E-3</v>
      </c>
    </row>
    <row r="18" spans="1:12" ht="16">
      <c r="A18" s="8" t="s">
        <v>356</v>
      </c>
      <c r="B18" s="104">
        <v>1230.2818406446963</v>
      </c>
      <c r="C18" s="104">
        <f t="shared" si="0"/>
        <v>1387.4881337825836</v>
      </c>
      <c r="E18" s="57" t="s">
        <v>569</v>
      </c>
      <c r="F18" s="72"/>
      <c r="G18" s="192">
        <v>0.02</v>
      </c>
      <c r="H18" s="27">
        <v>1.6899999999999998E-2</v>
      </c>
      <c r="I18" s="91">
        <f t="shared" si="1"/>
        <v>-0.15500000000000014</v>
      </c>
      <c r="K18" s="57" t="s">
        <v>569</v>
      </c>
      <c r="L18" s="27">
        <v>1.6899999999999998E-2</v>
      </c>
    </row>
    <row r="19" spans="1:12" ht="16">
      <c r="A19" s="5" t="s">
        <v>102</v>
      </c>
      <c r="B19" s="104">
        <v>768.69489441785163</v>
      </c>
      <c r="C19" s="104">
        <f t="shared" si="0"/>
        <v>866.91927757393012</v>
      </c>
      <c r="E19" s="57" t="s">
        <v>107</v>
      </c>
      <c r="F19" s="72" t="s">
        <v>80</v>
      </c>
      <c r="G19" s="192">
        <v>3.8999999999999998E-3</v>
      </c>
      <c r="H19" s="27">
        <v>4.1399999999999999E-2</v>
      </c>
      <c r="I19" s="91">
        <f t="shared" si="1"/>
        <v>9.615384615384615</v>
      </c>
      <c r="K19" s="57" t="s">
        <v>107</v>
      </c>
      <c r="L19" s="27">
        <v>4.1399999999999999E-2</v>
      </c>
    </row>
    <row r="20" spans="1:12" ht="16">
      <c r="A20" s="8" t="s">
        <v>59</v>
      </c>
      <c r="B20" s="104">
        <v>923.17389245368952</v>
      </c>
      <c r="C20" s="104">
        <f t="shared" si="0"/>
        <v>1041.1377124173073</v>
      </c>
      <c r="E20" s="57" t="s">
        <v>108</v>
      </c>
      <c r="F20" s="72" t="s">
        <v>42</v>
      </c>
      <c r="G20" s="192">
        <v>7.6E-3</v>
      </c>
      <c r="H20" s="27">
        <v>9.4000000000000004E-3</v>
      </c>
      <c r="I20" s="91">
        <f t="shared" si="1"/>
        <v>0.23684210526315796</v>
      </c>
      <c r="K20" s="57" t="s">
        <v>108</v>
      </c>
      <c r="L20" s="27">
        <v>9.4000000000000004E-3</v>
      </c>
    </row>
    <row r="21" spans="1:12" ht="16">
      <c r="A21" s="8" t="s">
        <v>63</v>
      </c>
      <c r="B21" s="104">
        <v>1024.9265258904688</v>
      </c>
      <c r="C21" s="104">
        <f t="shared" si="0"/>
        <v>1155.8923700985736</v>
      </c>
      <c r="E21" s="57" t="s">
        <v>185</v>
      </c>
      <c r="F21" s="72" t="s">
        <v>45</v>
      </c>
      <c r="G21" s="192">
        <v>3.7000000000000002E-3</v>
      </c>
      <c r="H21" s="27">
        <v>2.7000000000000001E-3</v>
      </c>
      <c r="I21" s="91">
        <f t="shared" si="1"/>
        <v>-0.27027027027027029</v>
      </c>
      <c r="K21" s="57" t="s">
        <v>185</v>
      </c>
      <c r="L21" s="27">
        <v>2.7000000000000001E-3</v>
      </c>
    </row>
    <row r="22" spans="1:12" ht="16">
      <c r="A22" s="189" t="s">
        <v>285</v>
      </c>
      <c r="B22" s="190" t="s">
        <v>145</v>
      </c>
      <c r="C22" s="190" t="s">
        <v>145</v>
      </c>
      <c r="E22" s="57" t="s">
        <v>186</v>
      </c>
      <c r="F22" s="72" t="s">
        <v>46</v>
      </c>
      <c r="G22" s="192">
        <v>4.1999999999999997E-3</v>
      </c>
      <c r="H22" s="27">
        <v>5.0000000000000001E-3</v>
      </c>
      <c r="I22" s="91">
        <f t="shared" si="1"/>
        <v>0.19047619047619047</v>
      </c>
      <c r="K22" s="57" t="s">
        <v>186</v>
      </c>
      <c r="L22" s="27">
        <v>5.0000000000000001E-3</v>
      </c>
    </row>
    <row r="23" spans="1:12" ht="16">
      <c r="E23" s="57" t="s">
        <v>187</v>
      </c>
      <c r="F23" s="72" t="s">
        <v>48</v>
      </c>
      <c r="G23" s="192">
        <v>2.5999999999999999E-3</v>
      </c>
      <c r="H23" s="27">
        <v>2.3E-3</v>
      </c>
      <c r="I23" s="91">
        <f t="shared" si="1"/>
        <v>-0.11538461538461531</v>
      </c>
      <c r="K23" s="57" t="s">
        <v>187</v>
      </c>
      <c r="L23" s="27">
        <v>2.3E-3</v>
      </c>
    </row>
    <row r="24" spans="1:12" ht="16">
      <c r="E24" s="57" t="s">
        <v>188</v>
      </c>
      <c r="F24" s="72"/>
      <c r="G24" s="192">
        <v>4.8300000000000003E-2</v>
      </c>
      <c r="H24" s="27">
        <v>4.1399999999999999E-2</v>
      </c>
      <c r="I24" s="91">
        <f t="shared" si="1"/>
        <v>-0.1428571428571429</v>
      </c>
      <c r="K24" s="57" t="s">
        <v>188</v>
      </c>
      <c r="L24" s="27">
        <v>4.1399999999999999E-2</v>
      </c>
    </row>
    <row r="25" spans="1:12" ht="16">
      <c r="E25" s="57" t="s">
        <v>60</v>
      </c>
      <c r="F25" s="72" t="s">
        <v>46</v>
      </c>
      <c r="G25" s="192">
        <v>6.7999999999999996E-3</v>
      </c>
      <c r="H25" s="27">
        <v>6.0000000000000001E-3</v>
      </c>
      <c r="I25" s="91">
        <f t="shared" si="1"/>
        <v>-0.11764705882352933</v>
      </c>
      <c r="K25" s="57" t="s">
        <v>60</v>
      </c>
      <c r="L25" s="27">
        <v>6.0000000000000001E-3</v>
      </c>
    </row>
    <row r="26" spans="1:12" ht="16">
      <c r="E26" s="57" t="s">
        <v>111</v>
      </c>
      <c r="F26" s="72" t="s">
        <v>126</v>
      </c>
      <c r="G26" s="192">
        <v>1.3599999999999999E-2</v>
      </c>
      <c r="H26" s="27">
        <v>1.24E-2</v>
      </c>
      <c r="I26" s="91">
        <f t="shared" si="1"/>
        <v>-8.8235294117647078E-2</v>
      </c>
      <c r="K26" s="57" t="s">
        <v>111</v>
      </c>
      <c r="L26" s="27">
        <v>1.24E-2</v>
      </c>
    </row>
    <row r="27" spans="1:12" ht="16">
      <c r="E27" s="57" t="s">
        <v>112</v>
      </c>
      <c r="F27" s="72" t="s">
        <v>44</v>
      </c>
      <c r="G27" s="192">
        <v>9.4999999999999998E-3</v>
      </c>
      <c r="H27" s="27">
        <v>8.6999999999999994E-3</v>
      </c>
      <c r="I27" s="91">
        <f t="shared" si="1"/>
        <v>-8.4210526315789513E-2</v>
      </c>
      <c r="K27" s="57" t="s">
        <v>112</v>
      </c>
      <c r="L27" s="27">
        <v>8.6999999999999994E-3</v>
      </c>
    </row>
    <row r="28" spans="1:12" ht="16">
      <c r="E28" s="57" t="s">
        <v>113</v>
      </c>
      <c r="F28" s="72" t="s">
        <v>126</v>
      </c>
      <c r="G28" s="192">
        <v>1.26E-2</v>
      </c>
      <c r="H28" s="27">
        <v>1.4800000000000001E-2</v>
      </c>
      <c r="I28" s="91">
        <f t="shared" si="1"/>
        <v>0.17460317460317465</v>
      </c>
      <c r="K28" s="57" t="s">
        <v>113</v>
      </c>
      <c r="L28" s="27">
        <v>1.4800000000000001E-2</v>
      </c>
    </row>
    <row r="29" spans="1:12" ht="16">
      <c r="E29" s="57" t="s">
        <v>114</v>
      </c>
      <c r="F29" s="72" t="s">
        <v>126</v>
      </c>
      <c r="G29" s="192">
        <v>1.55E-2</v>
      </c>
      <c r="H29" s="27">
        <v>1.9400000000000001E-2</v>
      </c>
      <c r="I29" s="91">
        <f t="shared" si="1"/>
        <v>0.25161290322580654</v>
      </c>
      <c r="K29" s="57" t="s">
        <v>114</v>
      </c>
      <c r="L29" s="27">
        <v>1.9400000000000001E-2</v>
      </c>
    </row>
    <row r="30" spans="1:12" ht="16">
      <c r="E30" s="57" t="s">
        <v>189</v>
      </c>
      <c r="F30" s="72" t="s">
        <v>44</v>
      </c>
      <c r="G30" s="192">
        <v>5.7999999999999996E-3</v>
      </c>
      <c r="H30" s="27">
        <v>5.1999999999999998E-3</v>
      </c>
      <c r="I30" s="91">
        <f t="shared" si="1"/>
        <v>-0.10344827586206895</v>
      </c>
      <c r="K30" s="57" t="s">
        <v>189</v>
      </c>
      <c r="L30" s="27">
        <v>5.1999999999999998E-3</v>
      </c>
    </row>
    <row r="31" spans="1:12" ht="16">
      <c r="E31" s="57" t="s">
        <v>116</v>
      </c>
      <c r="F31" s="72" t="s">
        <v>42</v>
      </c>
      <c r="G31" s="192">
        <v>1.0200000000000001E-2</v>
      </c>
      <c r="H31" s="27">
        <v>1.0800000000000001E-2</v>
      </c>
      <c r="I31" s="91">
        <f t="shared" si="1"/>
        <v>5.8823529411764719E-2</v>
      </c>
      <c r="K31" s="57" t="s">
        <v>116</v>
      </c>
      <c r="L31" s="27">
        <v>1.0800000000000001E-2</v>
      </c>
    </row>
    <row r="32" spans="1:12" ht="16">
      <c r="E32" s="57" t="s">
        <v>147</v>
      </c>
      <c r="F32" s="72" t="s">
        <v>85</v>
      </c>
      <c r="G32" s="192">
        <v>1.8100000000000002E-2</v>
      </c>
      <c r="H32" s="27">
        <v>2.3400000000000001E-2</v>
      </c>
      <c r="I32" s="91">
        <f t="shared" si="1"/>
        <v>0.29281767955801108</v>
      </c>
      <c r="K32" s="57" t="s">
        <v>147</v>
      </c>
      <c r="L32" s="27">
        <v>2.3400000000000001E-2</v>
      </c>
    </row>
    <row r="33" spans="5:12" ht="16">
      <c r="E33" s="57" t="s">
        <v>118</v>
      </c>
      <c r="F33" s="72" t="s">
        <v>42</v>
      </c>
      <c r="G33" s="192">
        <v>4.7999999999999996E-3</v>
      </c>
      <c r="H33" s="27">
        <v>4.7000000000000002E-3</v>
      </c>
      <c r="I33" s="91">
        <f t="shared" si="1"/>
        <v>-2.0833333333333259E-2</v>
      </c>
      <c r="K33" s="57" t="s">
        <v>118</v>
      </c>
      <c r="L33" s="27">
        <v>4.7000000000000002E-3</v>
      </c>
    </row>
    <row r="34" spans="5:12" ht="16">
      <c r="E34" s="57" t="s">
        <v>120</v>
      </c>
      <c r="F34" s="72" t="s">
        <v>126</v>
      </c>
      <c r="G34" s="192">
        <v>1.8800000000000001E-2</v>
      </c>
      <c r="H34" s="27">
        <v>1.2800000000000001E-2</v>
      </c>
      <c r="I34" s="91">
        <f t="shared" si="1"/>
        <v>-0.31914893617021278</v>
      </c>
      <c r="K34" s="57" t="s">
        <v>120</v>
      </c>
      <c r="L34" s="27">
        <v>1.2800000000000001E-2</v>
      </c>
    </row>
    <row r="35" spans="5:12" ht="16">
      <c r="E35" s="57" t="s">
        <v>121</v>
      </c>
      <c r="F35" s="72" t="s">
        <v>46</v>
      </c>
      <c r="G35" s="192">
        <v>7.9000000000000008E-3</v>
      </c>
      <c r="H35" s="27">
        <v>6.4999999999999997E-3</v>
      </c>
      <c r="I35" s="91">
        <f t="shared" si="1"/>
        <v>-0.17721518987341789</v>
      </c>
      <c r="K35" s="57" t="s">
        <v>121</v>
      </c>
      <c r="L35" s="27">
        <v>6.4999999999999997E-3</v>
      </c>
    </row>
    <row r="36" spans="5:12" ht="16">
      <c r="E36" s="57" t="s">
        <v>122</v>
      </c>
      <c r="F36" s="72"/>
      <c r="G36" s="192">
        <v>1.2800000000000001E-2</v>
      </c>
      <c r="H36" s="27">
        <v>1.11E-2</v>
      </c>
      <c r="I36" s="91">
        <f t="shared" si="1"/>
        <v>-0.1328125</v>
      </c>
      <c r="K36" s="57" t="s">
        <v>122</v>
      </c>
      <c r="L36" s="27">
        <v>1.11E-2</v>
      </c>
    </row>
    <row r="37" spans="5:12" ht="16">
      <c r="E37" s="57" t="s">
        <v>123</v>
      </c>
      <c r="F37" s="72" t="s">
        <v>44</v>
      </c>
      <c r="G37" s="192">
        <v>0.01</v>
      </c>
      <c r="H37" s="27">
        <v>1.04E-2</v>
      </c>
      <c r="I37" s="91">
        <f t="shared" ref="I37:I68" si="2">IF(H37="NA","NA",H37/G37-1)</f>
        <v>4.0000000000000036E-2</v>
      </c>
      <c r="K37" s="57" t="s">
        <v>123</v>
      </c>
      <c r="L37" s="27">
        <v>1.04E-2</v>
      </c>
    </row>
    <row r="38" spans="5:12" ht="16">
      <c r="E38" s="57" t="s">
        <v>124</v>
      </c>
      <c r="F38" s="72" t="s">
        <v>50</v>
      </c>
      <c r="G38" s="192">
        <v>5.3999999999999999E-2</v>
      </c>
      <c r="H38" s="27">
        <v>6.3500000000000001E-2</v>
      </c>
      <c r="I38" s="91">
        <f t="shared" si="2"/>
        <v>0.17592592592592604</v>
      </c>
      <c r="K38" s="57" t="s">
        <v>124</v>
      </c>
      <c r="L38" s="27">
        <v>6.3500000000000001E-2</v>
      </c>
    </row>
    <row r="39" spans="5:12" ht="16">
      <c r="E39" s="57" t="s">
        <v>13</v>
      </c>
      <c r="F39" s="72" t="s">
        <v>44</v>
      </c>
      <c r="G39" s="192">
        <v>9.4999999999999998E-3</v>
      </c>
      <c r="H39" s="27">
        <v>1.0200000000000001E-2</v>
      </c>
      <c r="I39" s="91">
        <f t="shared" si="2"/>
        <v>7.3684210526315796E-2</v>
      </c>
      <c r="K39" s="57" t="s">
        <v>13</v>
      </c>
      <c r="L39" s="27">
        <v>1.0200000000000001E-2</v>
      </c>
    </row>
    <row r="40" spans="5:12" ht="16">
      <c r="E40" s="57" t="s">
        <v>14</v>
      </c>
      <c r="F40" s="72" t="s">
        <v>44</v>
      </c>
      <c r="G40" s="192">
        <v>1.0800000000000001E-2</v>
      </c>
      <c r="H40" s="27">
        <v>1.54E-2</v>
      </c>
      <c r="I40" s="91">
        <f t="shared" si="2"/>
        <v>0.42592592592592582</v>
      </c>
      <c r="K40" s="57" t="s">
        <v>14</v>
      </c>
      <c r="L40" s="27">
        <v>1.54E-2</v>
      </c>
    </row>
    <row r="41" spans="5:12" ht="16">
      <c r="E41" s="57" t="s">
        <v>16</v>
      </c>
      <c r="F41" s="72" t="s">
        <v>44</v>
      </c>
      <c r="G41" s="192">
        <v>1.8499999999999999E-2</v>
      </c>
      <c r="H41" s="27">
        <v>1.9599999999999999E-2</v>
      </c>
      <c r="I41" s="91">
        <f t="shared" si="2"/>
        <v>5.9459459459459518E-2</v>
      </c>
      <c r="K41" s="57" t="s">
        <v>16</v>
      </c>
      <c r="L41" s="27">
        <v>1.9599999999999999E-2</v>
      </c>
    </row>
    <row r="42" spans="5:12" ht="16">
      <c r="E42" s="57" t="s">
        <v>18</v>
      </c>
      <c r="F42" s="72" t="s">
        <v>81</v>
      </c>
      <c r="G42" s="192">
        <v>1.95E-2</v>
      </c>
      <c r="H42" s="27">
        <v>1.35E-2</v>
      </c>
      <c r="I42" s="91">
        <f t="shared" si="2"/>
        <v>-0.30769230769230771</v>
      </c>
      <c r="K42" s="57" t="s">
        <v>18</v>
      </c>
      <c r="L42" s="27">
        <v>1.35E-2</v>
      </c>
    </row>
    <row r="43" spans="5:12" ht="16">
      <c r="E43" s="57" t="s">
        <v>193</v>
      </c>
      <c r="F43" s="72" t="s">
        <v>48</v>
      </c>
      <c r="G43" s="192">
        <v>3.5000000000000001E-3</v>
      </c>
      <c r="H43" s="27">
        <v>2.3E-3</v>
      </c>
      <c r="I43" s="91">
        <f t="shared" si="2"/>
        <v>-0.34285714285714286</v>
      </c>
      <c r="K43" s="57" t="s">
        <v>193</v>
      </c>
      <c r="L43" s="27">
        <v>2.3E-3</v>
      </c>
    </row>
    <row r="44" spans="5:12" ht="16">
      <c r="E44" s="57" t="s">
        <v>21</v>
      </c>
      <c r="F44" s="72" t="s">
        <v>48</v>
      </c>
      <c r="G44" s="192">
        <v>4.1999999999999997E-3</v>
      </c>
      <c r="H44" s="27">
        <v>3.5999999999999999E-3</v>
      </c>
      <c r="I44" s="91">
        <f t="shared" si="2"/>
        <v>-0.14285714285714279</v>
      </c>
      <c r="K44" s="57" t="s">
        <v>21</v>
      </c>
      <c r="L44" s="27">
        <v>3.5999999999999999E-3</v>
      </c>
    </row>
    <row r="45" spans="5:12" ht="16">
      <c r="E45" s="57" t="s">
        <v>194</v>
      </c>
      <c r="F45" s="72" t="s">
        <v>49</v>
      </c>
      <c r="G45" s="192">
        <v>4.5499999999999999E-2</v>
      </c>
      <c r="H45" s="27">
        <v>3.4799999999999998E-2</v>
      </c>
      <c r="I45" s="91">
        <f t="shared" si="2"/>
        <v>-0.23516483516483522</v>
      </c>
      <c r="K45" s="57" t="s">
        <v>194</v>
      </c>
      <c r="L45" s="27">
        <v>3.4799999999999998E-2</v>
      </c>
    </row>
    <row r="46" spans="5:12" ht="16">
      <c r="E46" s="57" t="s">
        <v>23</v>
      </c>
      <c r="F46" s="72" t="s">
        <v>48</v>
      </c>
      <c r="G46" s="192">
        <v>3.2000000000000002E-3</v>
      </c>
      <c r="H46" s="27">
        <v>2.5000000000000001E-3</v>
      </c>
      <c r="I46" s="91">
        <f t="shared" si="2"/>
        <v>-0.21875</v>
      </c>
      <c r="K46" s="57" t="s">
        <v>23</v>
      </c>
      <c r="L46" s="27">
        <v>2.5000000000000001E-3</v>
      </c>
    </row>
    <row r="47" spans="5:12" ht="16">
      <c r="E47" s="57" t="s">
        <v>25</v>
      </c>
      <c r="F47" s="72" t="s">
        <v>80</v>
      </c>
      <c r="G47" s="192">
        <v>3.7600000000000001E-2</v>
      </c>
      <c r="H47" s="27">
        <v>4.9700000000000001E-2</v>
      </c>
      <c r="I47" s="91">
        <f t="shared" si="2"/>
        <v>0.32180851063829774</v>
      </c>
      <c r="K47" s="57" t="s">
        <v>25</v>
      </c>
      <c r="L47" s="27">
        <v>4.9700000000000001E-2</v>
      </c>
    </row>
    <row r="48" spans="5:12" ht="16">
      <c r="E48" s="57" t="s">
        <v>26</v>
      </c>
      <c r="F48" s="72" t="s">
        <v>85</v>
      </c>
      <c r="G48" s="192">
        <v>1.41E-2</v>
      </c>
      <c r="H48" s="27">
        <v>1.1599999999999999E-2</v>
      </c>
      <c r="I48" s="91">
        <f t="shared" si="2"/>
        <v>-0.17730496453900713</v>
      </c>
      <c r="K48" s="57" t="s">
        <v>26</v>
      </c>
      <c r="L48" s="27">
        <v>1.1599999999999999E-2</v>
      </c>
    </row>
    <row r="49" spans="5:12" ht="16">
      <c r="E49" s="57" t="s">
        <v>28</v>
      </c>
      <c r="F49" s="72" t="s">
        <v>44</v>
      </c>
      <c r="G49" s="192">
        <v>1.47E-2</v>
      </c>
      <c r="H49" s="27">
        <v>1.49E-2</v>
      </c>
      <c r="I49" s="91">
        <f t="shared" si="2"/>
        <v>1.3605442176870763E-2</v>
      </c>
      <c r="K49" s="57" t="s">
        <v>28</v>
      </c>
      <c r="L49" s="27">
        <v>1.49E-2</v>
      </c>
    </row>
    <row r="50" spans="5:12" ht="16">
      <c r="E50" s="57" t="s">
        <v>29</v>
      </c>
      <c r="F50" s="72" t="s">
        <v>85</v>
      </c>
      <c r="G50" s="192">
        <v>1.0999999999999999E-2</v>
      </c>
      <c r="H50" s="27">
        <v>1.2999999999999999E-2</v>
      </c>
      <c r="I50" s="91">
        <f t="shared" si="2"/>
        <v>0.18181818181818188</v>
      </c>
      <c r="K50" s="57" t="s">
        <v>29</v>
      </c>
      <c r="L50" s="27">
        <v>1.2999999999999999E-2</v>
      </c>
    </row>
    <row r="51" spans="5:12" ht="16">
      <c r="E51" s="57" t="s">
        <v>30</v>
      </c>
      <c r="F51" s="72" t="s">
        <v>43</v>
      </c>
      <c r="G51" s="192">
        <v>8.9999999999999993E-3</v>
      </c>
      <c r="H51" s="27">
        <v>1.03E-2</v>
      </c>
      <c r="I51" s="91">
        <f t="shared" si="2"/>
        <v>0.1444444444444446</v>
      </c>
      <c r="K51" s="57" t="s">
        <v>30</v>
      </c>
      <c r="L51" s="27">
        <v>1.03E-2</v>
      </c>
    </row>
    <row r="52" spans="5:12" ht="16">
      <c r="E52" s="57" t="s">
        <v>195</v>
      </c>
      <c r="F52" s="72" t="s">
        <v>81</v>
      </c>
      <c r="G52" s="192">
        <v>1.6799999999999999E-2</v>
      </c>
      <c r="H52" s="27">
        <v>1.41E-2</v>
      </c>
      <c r="I52" s="91">
        <f t="shared" si="2"/>
        <v>-0.1607142857142857</v>
      </c>
      <c r="K52" s="57" t="s">
        <v>195</v>
      </c>
      <c r="L52" s="27">
        <v>1.41E-2</v>
      </c>
    </row>
    <row r="53" spans="5:12" ht="16">
      <c r="E53" s="57" t="s">
        <v>76</v>
      </c>
      <c r="F53" s="72" t="s">
        <v>47</v>
      </c>
      <c r="G53" s="192">
        <v>1.5800000000000002E-2</v>
      </c>
      <c r="H53" s="27">
        <v>1.43E-2</v>
      </c>
      <c r="I53" s="91">
        <f t="shared" si="2"/>
        <v>-9.4936708860759556E-2</v>
      </c>
      <c r="K53" s="57" t="s">
        <v>76</v>
      </c>
      <c r="L53" s="27">
        <v>1.43E-2</v>
      </c>
    </row>
    <row r="54" spans="5:12" ht="16">
      <c r="E54" s="57" t="s">
        <v>0</v>
      </c>
      <c r="F54" s="72" t="s">
        <v>126</v>
      </c>
      <c r="G54" s="192">
        <v>1.4999999999999999E-2</v>
      </c>
      <c r="H54" s="27">
        <v>1.4200000000000001E-2</v>
      </c>
      <c r="I54" s="91">
        <f t="shared" si="2"/>
        <v>-5.3333333333333233E-2</v>
      </c>
      <c r="K54" s="57" t="s">
        <v>0</v>
      </c>
      <c r="L54" s="27">
        <v>1.4200000000000001E-2</v>
      </c>
    </row>
    <row r="55" spans="5:12" ht="16">
      <c r="E55" s="57" t="s">
        <v>1</v>
      </c>
      <c r="F55" s="72" t="s">
        <v>81</v>
      </c>
      <c r="G55" s="192">
        <v>2.0299999999999999E-2</v>
      </c>
      <c r="H55" s="27">
        <v>2.0199999999999999E-2</v>
      </c>
      <c r="I55" s="91">
        <f t="shared" si="2"/>
        <v>-4.9261083743842304E-3</v>
      </c>
      <c r="K55" s="57" t="s">
        <v>1</v>
      </c>
      <c r="L55" s="27">
        <v>2.0199999999999999E-2</v>
      </c>
    </row>
    <row r="56" spans="5:12" ht="16">
      <c r="E56" s="57" t="s">
        <v>2</v>
      </c>
      <c r="F56" s="72" t="s">
        <v>42</v>
      </c>
      <c r="G56" s="192">
        <v>1.5299999999999999E-2</v>
      </c>
      <c r="H56" s="27">
        <v>1.4200000000000001E-2</v>
      </c>
      <c r="I56" s="91">
        <f t="shared" si="2"/>
        <v>-7.1895424836601163E-2</v>
      </c>
      <c r="K56" s="57" t="s">
        <v>2</v>
      </c>
      <c r="L56" s="27">
        <v>1.4200000000000001E-2</v>
      </c>
    </row>
    <row r="57" spans="5:12" ht="16">
      <c r="E57" s="57" t="s">
        <v>62</v>
      </c>
      <c r="F57" s="72" t="s">
        <v>43</v>
      </c>
      <c r="G57" s="192">
        <v>8.3999999999999995E-3</v>
      </c>
      <c r="H57" s="27">
        <v>8.0999999999999996E-3</v>
      </c>
      <c r="I57" s="91">
        <f t="shared" si="2"/>
        <v>-3.5714285714285698E-2</v>
      </c>
      <c r="K57" s="57" t="s">
        <v>62</v>
      </c>
      <c r="L57" s="27">
        <v>8.0999999999999996E-3</v>
      </c>
    </row>
    <row r="58" spans="5:12" ht="16">
      <c r="E58" s="57" t="s">
        <v>196</v>
      </c>
      <c r="F58" s="72" t="s">
        <v>126</v>
      </c>
      <c r="G58" s="192">
        <v>1.18E-2</v>
      </c>
      <c r="H58" s="27">
        <v>1.18E-2</v>
      </c>
      <c r="I58" s="91">
        <f t="shared" si="2"/>
        <v>0</v>
      </c>
      <c r="K58" s="57" t="s">
        <v>196</v>
      </c>
      <c r="L58" s="27">
        <v>1.18E-2</v>
      </c>
    </row>
    <row r="59" spans="5:12" ht="16">
      <c r="E59" s="57" t="s">
        <v>78</v>
      </c>
      <c r="F59" s="72" t="s">
        <v>126</v>
      </c>
      <c r="G59" s="192">
        <v>2.64E-2</v>
      </c>
      <c r="H59" s="27">
        <v>2.6700000000000002E-2</v>
      </c>
      <c r="I59" s="91">
        <f t="shared" si="2"/>
        <v>1.1363636363636465E-2</v>
      </c>
      <c r="K59" s="57" t="s">
        <v>78</v>
      </c>
      <c r="L59" s="27">
        <v>2.6700000000000002E-2</v>
      </c>
    </row>
    <row r="60" spans="5:12" ht="16">
      <c r="E60" s="57" t="s">
        <v>140</v>
      </c>
      <c r="F60" s="72" t="s">
        <v>85</v>
      </c>
      <c r="G60" s="192">
        <v>0.01</v>
      </c>
      <c r="H60" s="27">
        <v>9.7999999999999997E-3</v>
      </c>
      <c r="I60" s="91">
        <f t="shared" si="2"/>
        <v>-2.0000000000000018E-2</v>
      </c>
      <c r="K60" s="57" t="s">
        <v>140</v>
      </c>
      <c r="L60" s="27">
        <v>9.7999999999999997E-3</v>
      </c>
    </row>
    <row r="61" spans="5:12" ht="16">
      <c r="E61" s="57" t="s">
        <v>34</v>
      </c>
      <c r="F61" s="72" t="s">
        <v>48</v>
      </c>
      <c r="G61" s="192">
        <v>3.0000000000000001E-3</v>
      </c>
      <c r="H61" s="27">
        <v>2.0999999999999999E-3</v>
      </c>
      <c r="I61" s="91">
        <f t="shared" si="2"/>
        <v>-0.30000000000000004</v>
      </c>
      <c r="K61" s="57" t="s">
        <v>34</v>
      </c>
      <c r="L61" s="27">
        <v>2.0999999999999999E-3</v>
      </c>
    </row>
    <row r="62" spans="5:12" ht="16">
      <c r="E62" s="57" t="s">
        <v>35</v>
      </c>
      <c r="F62" s="72" t="s">
        <v>48</v>
      </c>
      <c r="G62" s="192">
        <v>4.0000000000000001E-3</v>
      </c>
      <c r="H62" s="27">
        <v>2.0999999999999999E-3</v>
      </c>
      <c r="I62" s="91">
        <f t="shared" si="2"/>
        <v>-0.47500000000000009</v>
      </c>
      <c r="K62" s="57" t="s">
        <v>35</v>
      </c>
      <c r="L62" s="27">
        <v>2.0999999999999999E-3</v>
      </c>
    </row>
    <row r="63" spans="5:12" ht="16">
      <c r="E63" s="57" t="s">
        <v>66</v>
      </c>
      <c r="F63" s="72" t="s">
        <v>84</v>
      </c>
      <c r="G63" s="192">
        <v>8.6999999999999994E-3</v>
      </c>
      <c r="H63" s="27">
        <v>8.3000000000000001E-3</v>
      </c>
      <c r="I63" s="91">
        <f t="shared" si="2"/>
        <v>-4.5977011494252817E-2</v>
      </c>
      <c r="K63" s="57" t="s">
        <v>66</v>
      </c>
      <c r="L63" s="27">
        <v>8.3000000000000001E-3</v>
      </c>
    </row>
    <row r="64" spans="5:12" ht="16">
      <c r="E64" s="57" t="s">
        <v>79</v>
      </c>
      <c r="F64" s="72" t="s">
        <v>83</v>
      </c>
      <c r="G64" s="192">
        <v>3.9699999999999999E-2</v>
      </c>
      <c r="H64" s="27">
        <v>3.5000000000000003E-2</v>
      </c>
      <c r="I64" s="91">
        <f t="shared" si="2"/>
        <v>-0.11838790931989918</v>
      </c>
      <c r="K64" s="57" t="s">
        <v>79</v>
      </c>
      <c r="L64" s="27">
        <v>3.5000000000000003E-2</v>
      </c>
    </row>
    <row r="65" spans="5:12" ht="16">
      <c r="E65" s="57" t="s">
        <v>67</v>
      </c>
      <c r="F65" s="72" t="s">
        <v>81</v>
      </c>
      <c r="G65" s="192">
        <v>2.7E-2</v>
      </c>
      <c r="H65" s="27">
        <v>3.8399999999999997E-2</v>
      </c>
      <c r="I65" s="91">
        <f t="shared" si="2"/>
        <v>0.42222222222222205</v>
      </c>
      <c r="K65" s="57" t="s">
        <v>67</v>
      </c>
      <c r="L65" s="27">
        <v>3.8399999999999997E-2</v>
      </c>
    </row>
    <row r="66" spans="5:12" ht="16">
      <c r="E66" s="57" t="s">
        <v>69</v>
      </c>
      <c r="F66" s="72" t="s">
        <v>63</v>
      </c>
      <c r="G66" s="192">
        <v>5.8999999999999997E-2</v>
      </c>
      <c r="H66" s="27">
        <v>5.4699999999999999E-2</v>
      </c>
      <c r="I66" s="91">
        <f t="shared" si="2"/>
        <v>-7.2881355932203351E-2</v>
      </c>
      <c r="K66" s="57" t="s">
        <v>69</v>
      </c>
      <c r="L66" s="27">
        <v>5.4699999999999999E-2</v>
      </c>
    </row>
    <row r="67" spans="5:12" ht="16">
      <c r="E67" s="57" t="s">
        <v>58</v>
      </c>
      <c r="F67" s="72" t="s">
        <v>45</v>
      </c>
      <c r="G67" s="192">
        <v>4.4000000000000003E-3</v>
      </c>
      <c r="H67" s="27">
        <v>4.4000000000000003E-3</v>
      </c>
      <c r="I67" s="91">
        <f t="shared" si="2"/>
        <v>0</v>
      </c>
      <c r="K67" s="57" t="s">
        <v>58</v>
      </c>
      <c r="L67" s="27">
        <v>4.4000000000000003E-3</v>
      </c>
    </row>
    <row r="68" spans="5:12" ht="16">
      <c r="E68" s="57" t="s">
        <v>366</v>
      </c>
      <c r="F68" s="72" t="s">
        <v>48</v>
      </c>
      <c r="G68" s="192">
        <v>3.8999999999999998E-3</v>
      </c>
      <c r="H68" s="27">
        <v>2.8E-3</v>
      </c>
      <c r="I68" s="91">
        <f t="shared" si="2"/>
        <v>-0.28205128205128205</v>
      </c>
      <c r="K68" s="57" t="s">
        <v>366</v>
      </c>
      <c r="L68" s="27">
        <v>2.8E-3</v>
      </c>
    </row>
    <row r="69" spans="5:12" ht="16">
      <c r="E69" s="57" t="s">
        <v>71</v>
      </c>
      <c r="F69" s="72" t="s">
        <v>63</v>
      </c>
      <c r="G69" s="192" t="s">
        <v>145</v>
      </c>
      <c r="H69" s="27" t="s">
        <v>145</v>
      </c>
      <c r="I69" s="91" t="str">
        <f>IF(H69="NA","NA",H69/G69-1)</f>
        <v>NA</v>
      </c>
      <c r="K69" s="57" t="s">
        <v>71</v>
      </c>
      <c r="L69" s="27" t="s">
        <v>145</v>
      </c>
    </row>
    <row r="70" spans="5:12" ht="16">
      <c r="E70" s="57" t="s">
        <v>72</v>
      </c>
      <c r="F70" s="72" t="s">
        <v>49</v>
      </c>
      <c r="G70" s="192">
        <v>1.9099999999999999E-2</v>
      </c>
      <c r="H70" s="27">
        <v>2.18E-2</v>
      </c>
      <c r="I70" s="91">
        <f>IF(H70="NA","NA",H70/G70-1)</f>
        <v>0.1413612565445026</v>
      </c>
      <c r="K70" s="57" t="s">
        <v>72</v>
      </c>
      <c r="L70" s="27">
        <v>2.18E-2</v>
      </c>
    </row>
    <row r="71" spans="5:12" ht="16">
      <c r="E71" s="184" t="s">
        <v>150</v>
      </c>
      <c r="F71" s="184"/>
      <c r="G71" s="184"/>
      <c r="H71" s="193"/>
      <c r="I71" s="185">
        <f>AVERAGE(I2:I70)</f>
        <v>0.12778071490960771</v>
      </c>
    </row>
    <row r="72" spans="5:12" ht="16">
      <c r="E72" s="184" t="s">
        <v>151</v>
      </c>
      <c r="F72" s="184"/>
      <c r="G72" s="184"/>
      <c r="H72" s="193"/>
      <c r="I72" s="185">
        <f>MEDIAN(I2:I70)</f>
        <v>-2.5944616977225665E-2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2"/>
  <sheetViews>
    <sheetView workbookViewId="0">
      <selection activeCell="H23" sqref="H23:J105"/>
    </sheetView>
  </sheetViews>
  <sheetFormatPr baseColWidth="10" defaultRowHeight="14"/>
  <cols>
    <col min="1" max="1" width="24.83203125" style="36" bestFit="1" customWidth="1"/>
    <col min="2" max="2" width="19" style="36" customWidth="1"/>
    <col min="3" max="3" width="19.33203125" style="195" customWidth="1"/>
    <col min="4" max="4" width="28.1640625" style="36" customWidth="1"/>
    <col min="8" max="8" width="19.6640625" customWidth="1"/>
    <col min="10" max="10" width="10.83203125" style="32"/>
  </cols>
  <sheetData>
    <row r="1" spans="1:5" ht="17">
      <c r="A1" s="85" t="s">
        <v>77</v>
      </c>
      <c r="B1" s="86" t="s">
        <v>279</v>
      </c>
      <c r="C1" s="191" t="s">
        <v>502</v>
      </c>
      <c r="D1" s="86" t="s">
        <v>312</v>
      </c>
      <c r="E1" s="93" t="s">
        <v>498</v>
      </c>
    </row>
    <row r="2" spans="1:5" ht="16">
      <c r="A2" s="57" t="str">
        <f>'Sovereign Ratings (Moody''s,S&amp;P)'!A2</f>
        <v>Abu Dhabi</v>
      </c>
      <c r="B2" s="72" t="str">
        <f>'Sovereign Ratings (Moody''s,S&amp;P)'!C2</f>
        <v>Aa2</v>
      </c>
      <c r="C2" s="192">
        <f>I24</f>
        <v>1.03E-2</v>
      </c>
      <c r="D2" s="75">
        <f t="shared" ref="D2:D33" si="0">IF(C2="NA","NA",IF(C2&gt;$C$148,C2-$C$148,0))</f>
        <v>7.4999999999999997E-3</v>
      </c>
    </row>
    <row r="3" spans="1:5" ht="16">
      <c r="A3" s="57" t="str">
        <f>'Sovereign Ratings (Moody''s,S&amp;P)'!A3</f>
        <v>Albania</v>
      </c>
      <c r="B3" s="72" t="str">
        <f>'Sovereign Ratings (Moody''s,S&amp;P)'!C3</f>
        <v>B1</v>
      </c>
      <c r="C3" s="192" t="s">
        <v>145</v>
      </c>
      <c r="D3" s="75" t="str">
        <f t="shared" si="0"/>
        <v>NA</v>
      </c>
    </row>
    <row r="4" spans="1:5" ht="16">
      <c r="A4" s="57" t="str">
        <f>'Sovereign Ratings (Moody''s,S&amp;P)'!A4</f>
        <v>Andorra (Principality of)</v>
      </c>
      <c r="B4" s="72" t="str">
        <f>'Sovereign Ratings (Moody''s,S&amp;P)'!C4</f>
        <v>Baa2</v>
      </c>
      <c r="C4" s="192" t="s">
        <v>145</v>
      </c>
      <c r="D4" s="75" t="str">
        <f t="shared" si="0"/>
        <v>NA</v>
      </c>
    </row>
    <row r="5" spans="1:5" ht="16">
      <c r="A5" s="57" t="str">
        <f>'Sovereign Ratings (Moody''s,S&amp;P)'!A5</f>
        <v>Angola</v>
      </c>
      <c r="B5" s="72" t="str">
        <f>'Sovereign Ratings (Moody''s,S&amp;P)'!C5</f>
        <v>B3</v>
      </c>
      <c r="C5" s="215">
        <v>5.04E-2</v>
      </c>
      <c r="D5" s="75">
        <f t="shared" si="0"/>
        <v>4.7600000000000003E-2</v>
      </c>
    </row>
    <row r="6" spans="1:5" ht="16">
      <c r="A6" s="57" t="str">
        <f>'Sovereign Ratings (Moody''s,S&amp;P)'!A6</f>
        <v>Argentina</v>
      </c>
      <c r="B6" s="72" t="str">
        <f>'Sovereign Ratings (Moody''s,S&amp;P)'!C6</f>
        <v>B2</v>
      </c>
      <c r="C6" s="192">
        <v>5.4199999999999998E-2</v>
      </c>
      <c r="D6" s="75">
        <f t="shared" si="0"/>
        <v>5.1400000000000001E-2</v>
      </c>
    </row>
    <row r="7" spans="1:5" ht="16">
      <c r="A7" s="57" t="str">
        <f>'Sovereign Ratings (Moody''s,S&amp;P)'!A7</f>
        <v>Armenia</v>
      </c>
      <c r="B7" s="72" t="str">
        <f>'Sovereign Ratings (Moody''s,S&amp;P)'!C7</f>
        <v>B1</v>
      </c>
      <c r="C7" s="192" t="s">
        <v>145</v>
      </c>
      <c r="D7" s="75" t="str">
        <f t="shared" si="0"/>
        <v>NA</v>
      </c>
    </row>
    <row r="8" spans="1:5" ht="16">
      <c r="A8" s="57" t="str">
        <f>'Sovereign Ratings (Moody''s,S&amp;P)'!A8</f>
        <v>Aruba</v>
      </c>
      <c r="B8" s="72" t="str">
        <f>'Sovereign Ratings (Moody''s,S&amp;P)'!C8</f>
        <v>Baa1</v>
      </c>
      <c r="C8" s="192" t="s">
        <v>145</v>
      </c>
      <c r="D8" s="75" t="str">
        <f t="shared" si="0"/>
        <v>NA</v>
      </c>
    </row>
    <row r="9" spans="1:5" ht="16">
      <c r="A9" s="57" t="str">
        <f>'Sovereign Ratings (Moody''s,S&amp;P)'!A9</f>
        <v>Australia</v>
      </c>
      <c r="B9" s="72" t="str">
        <f>'Sovereign Ratings (Moody''s,S&amp;P)'!C9</f>
        <v>Aaa</v>
      </c>
      <c r="C9" s="192">
        <v>4.1999999999999997E-3</v>
      </c>
      <c r="D9" s="75">
        <f t="shared" si="0"/>
        <v>1.3999999999999998E-3</v>
      </c>
    </row>
    <row r="10" spans="1:5" ht="16">
      <c r="A10" s="57" t="str">
        <f>'Sovereign Ratings (Moody''s,S&amp;P)'!A10</f>
        <v>Austria</v>
      </c>
      <c r="B10" s="72" t="str">
        <f>'Sovereign Ratings (Moody''s,S&amp;P)'!C10</f>
        <v>Aa1</v>
      </c>
      <c r="C10" s="192">
        <v>2.8E-3</v>
      </c>
      <c r="D10" s="75">
        <f t="shared" si="0"/>
        <v>0</v>
      </c>
    </row>
    <row r="11" spans="1:5" ht="16">
      <c r="A11" s="57" t="str">
        <f>'Sovereign Ratings (Moody''s,S&amp;P)'!A11</f>
        <v>Azerbaijan</v>
      </c>
      <c r="B11" s="72" t="str">
        <f>'Sovereign Ratings (Moody''s,S&amp;P)'!C11</f>
        <v>Ba2</v>
      </c>
      <c r="C11" s="192" t="s">
        <v>145</v>
      </c>
      <c r="D11" s="75" t="str">
        <f t="shared" si="0"/>
        <v>NA</v>
      </c>
    </row>
    <row r="12" spans="1:5" ht="16">
      <c r="A12" s="57" t="str">
        <f>'Sovereign Ratings (Moody''s,S&amp;P)'!A12</f>
        <v>Bahamas</v>
      </c>
      <c r="B12" s="72" t="str">
        <f>'Sovereign Ratings (Moody''s,S&amp;P)'!C12</f>
        <v>Baa3</v>
      </c>
      <c r="C12" s="192" t="s">
        <v>145</v>
      </c>
      <c r="D12" s="75" t="str">
        <f t="shared" si="0"/>
        <v>NA</v>
      </c>
    </row>
    <row r="13" spans="1:5" ht="16">
      <c r="A13" s="57" t="str">
        <f>'Sovereign Ratings (Moody''s,S&amp;P)'!A13</f>
        <v>Bahrain</v>
      </c>
      <c r="B13" s="72" t="str">
        <f>'Sovereign Ratings (Moody''s,S&amp;P)'!C13</f>
        <v>B1</v>
      </c>
      <c r="C13" s="192">
        <v>4.02E-2</v>
      </c>
      <c r="D13" s="75">
        <f t="shared" si="0"/>
        <v>3.7400000000000003E-2</v>
      </c>
    </row>
    <row r="14" spans="1:5" ht="16">
      <c r="A14" s="57" t="str">
        <f>'Sovereign Ratings (Moody''s,S&amp;P)'!A14</f>
        <v>Bangladesh</v>
      </c>
      <c r="B14" s="72" t="str">
        <f>'Sovereign Ratings (Moody''s,S&amp;P)'!C14</f>
        <v>Ba3</v>
      </c>
      <c r="C14" s="192" t="s">
        <v>145</v>
      </c>
      <c r="D14" s="75" t="str">
        <f t="shared" si="0"/>
        <v>NA</v>
      </c>
    </row>
    <row r="15" spans="1:5" ht="16">
      <c r="A15" s="57" t="str">
        <f>'Sovereign Ratings (Moody''s,S&amp;P)'!A15</f>
        <v>Barbados</v>
      </c>
      <c r="B15" s="72" t="str">
        <f>'Sovereign Ratings (Moody''s,S&amp;P)'!C15</f>
        <v>Caa3</v>
      </c>
      <c r="C15" s="192" t="s">
        <v>145</v>
      </c>
      <c r="D15" s="75" t="str">
        <f t="shared" si="0"/>
        <v>NA</v>
      </c>
    </row>
    <row r="16" spans="1:5" ht="16">
      <c r="A16" s="57" t="str">
        <f>'Sovereign Ratings (Moody''s,S&amp;P)'!A16</f>
        <v>Belarus</v>
      </c>
      <c r="B16" s="72" t="str">
        <f>'Sovereign Ratings (Moody''s,S&amp;P)'!C16</f>
        <v>B3</v>
      </c>
      <c r="C16" s="192" t="s">
        <v>145</v>
      </c>
      <c r="D16" s="75" t="str">
        <f t="shared" si="0"/>
        <v>NA</v>
      </c>
    </row>
    <row r="17" spans="1:10" ht="16">
      <c r="A17" s="57" t="str">
        <f>'Sovereign Ratings (Moody''s,S&amp;P)'!A17</f>
        <v>Belgium</v>
      </c>
      <c r="B17" s="72" t="str">
        <f>'Sovereign Ratings (Moody''s,S&amp;P)'!C17</f>
        <v>Aa3</v>
      </c>
      <c r="C17" s="192">
        <v>4.0000000000000001E-3</v>
      </c>
      <c r="D17" s="75">
        <f t="shared" si="0"/>
        <v>1.2000000000000001E-3</v>
      </c>
    </row>
    <row r="18" spans="1:10" ht="16">
      <c r="A18" s="57" t="str">
        <f>'Sovereign Ratings (Moody''s,S&amp;P)'!A18</f>
        <v>Belize</v>
      </c>
      <c r="B18" s="72" t="str">
        <f>'Sovereign Ratings (Moody''s,S&amp;P)'!C18</f>
        <v>B3</v>
      </c>
      <c r="C18" s="192" t="s">
        <v>145</v>
      </c>
      <c r="D18" s="75" t="str">
        <f t="shared" si="0"/>
        <v>NA</v>
      </c>
    </row>
    <row r="19" spans="1:10" ht="16">
      <c r="A19" s="57" t="str">
        <f>'Sovereign Ratings (Moody''s,S&amp;P)'!A19</f>
        <v>Bermuda</v>
      </c>
      <c r="B19" s="72" t="str">
        <f>'Sovereign Ratings (Moody''s,S&amp;P)'!C19</f>
        <v>A2</v>
      </c>
      <c r="C19" s="192" t="s">
        <v>145</v>
      </c>
      <c r="D19" s="75" t="str">
        <f t="shared" si="0"/>
        <v>NA</v>
      </c>
    </row>
    <row r="20" spans="1:10" ht="16">
      <c r="A20" s="57" t="str">
        <f>'Sovereign Ratings (Moody''s,S&amp;P)'!A20</f>
        <v>Bolivia</v>
      </c>
      <c r="B20" s="72" t="str">
        <f>'Sovereign Ratings (Moody''s,S&amp;P)'!C20</f>
        <v>Ba3</v>
      </c>
      <c r="C20" s="192" t="s">
        <v>145</v>
      </c>
      <c r="D20" s="75" t="str">
        <f t="shared" si="0"/>
        <v>NA</v>
      </c>
    </row>
    <row r="21" spans="1:10" ht="16">
      <c r="A21" s="57" t="str">
        <f>'Sovereign Ratings (Moody''s,S&amp;P)'!A21</f>
        <v>Bosnia and Herzegovina</v>
      </c>
      <c r="B21" s="72" t="str">
        <f>'Sovereign Ratings (Moody''s,S&amp;P)'!C21</f>
        <v>B3</v>
      </c>
      <c r="C21" s="192" t="s">
        <v>145</v>
      </c>
      <c r="D21" s="75" t="str">
        <f t="shared" si="0"/>
        <v>NA</v>
      </c>
    </row>
    <row r="22" spans="1:10" ht="16">
      <c r="A22" s="57" t="str">
        <f>'Sovereign Ratings (Moody''s,S&amp;P)'!A22</f>
        <v>Botswana</v>
      </c>
      <c r="B22" s="72" t="str">
        <f>'Sovereign Ratings (Moody''s,S&amp;P)'!C22</f>
        <v>A2</v>
      </c>
      <c r="C22" s="192" t="s">
        <v>145</v>
      </c>
      <c r="D22" s="75" t="str">
        <f t="shared" si="0"/>
        <v>NA</v>
      </c>
    </row>
    <row r="23" spans="1:10" ht="34">
      <c r="A23" s="57" t="str">
        <f>'Sovereign Ratings (Moody''s,S&amp;P)'!A23</f>
        <v>Brazil</v>
      </c>
      <c r="B23" s="72" t="str">
        <f>'Sovereign Ratings (Moody''s,S&amp;P)'!C23</f>
        <v>Ba2</v>
      </c>
      <c r="C23" s="192">
        <v>3.4599999999999999E-2</v>
      </c>
      <c r="D23" s="75">
        <f t="shared" si="0"/>
        <v>3.1800000000000002E-2</v>
      </c>
      <c r="H23" s="85" t="s">
        <v>77</v>
      </c>
      <c r="I23" s="214">
        <v>41820</v>
      </c>
      <c r="J23" s="196" t="s">
        <v>570</v>
      </c>
    </row>
    <row r="24" spans="1:10" ht="16">
      <c r="A24" s="57" t="str">
        <f>'Sovereign Ratings (Moody''s,S&amp;P)'!A24</f>
        <v>Bulgaria</v>
      </c>
      <c r="B24" s="72" t="str">
        <f>'Sovereign Ratings (Moody''s,S&amp;P)'!C24</f>
        <v>Baa2</v>
      </c>
      <c r="C24" s="192">
        <v>1.2200000000000001E-2</v>
      </c>
      <c r="D24" s="75">
        <f t="shared" si="0"/>
        <v>9.4000000000000004E-3</v>
      </c>
      <c r="H24" s="57" t="s">
        <v>280</v>
      </c>
      <c r="I24" s="27">
        <v>1.03E-2</v>
      </c>
      <c r="J24" s="27">
        <f t="shared" ref="J24:J55" si="1">I24-$I$102</f>
        <v>7.4999999999999997E-3</v>
      </c>
    </row>
    <row r="25" spans="1:10" ht="16">
      <c r="A25" s="57" t="str">
        <f>'Sovereign Ratings (Moody''s,S&amp;P)'!A25</f>
        <v>Burkina Faso</v>
      </c>
      <c r="B25" s="72" t="str">
        <f>'Sovereign Ratings (Moody''s,S&amp;P)'!C25</f>
        <v>B2</v>
      </c>
      <c r="C25" s="192" t="s">
        <v>145</v>
      </c>
      <c r="D25" s="75" t="str">
        <f t="shared" si="0"/>
        <v>NA</v>
      </c>
      <c r="H25" s="206" t="s">
        <v>347</v>
      </c>
      <c r="I25" s="27">
        <v>1.23E-2</v>
      </c>
      <c r="J25" s="27">
        <f t="shared" si="1"/>
        <v>9.4999999999999998E-3</v>
      </c>
    </row>
    <row r="26" spans="1:10" ht="16">
      <c r="A26" s="57" t="str">
        <f>'Sovereign Ratings (Moody''s,S&amp;P)'!A26</f>
        <v>Cambodia</v>
      </c>
      <c r="B26" s="72" t="str">
        <f>'Sovereign Ratings (Moody''s,S&amp;P)'!C26</f>
        <v>B2</v>
      </c>
      <c r="C26" s="192" t="s">
        <v>145</v>
      </c>
      <c r="D26" s="75" t="str">
        <f t="shared" si="0"/>
        <v>NA</v>
      </c>
      <c r="H26" s="206" t="s">
        <v>133</v>
      </c>
      <c r="I26" s="27">
        <v>5.04E-2</v>
      </c>
      <c r="J26" s="27">
        <f t="shared" si="1"/>
        <v>4.7600000000000003E-2</v>
      </c>
    </row>
    <row r="27" spans="1:10" ht="16">
      <c r="A27" s="57" t="str">
        <f>'Sovereign Ratings (Moody''s,S&amp;P)'!A27</f>
        <v>Cameroon</v>
      </c>
      <c r="B27" s="72" t="str">
        <f>'Sovereign Ratings (Moody''s,S&amp;P)'!C27</f>
        <v>B2</v>
      </c>
      <c r="C27" s="192">
        <v>4.6300000000000001E-2</v>
      </c>
      <c r="D27" s="75">
        <f t="shared" si="0"/>
        <v>4.3500000000000004E-2</v>
      </c>
      <c r="H27" s="57" t="s">
        <v>86</v>
      </c>
      <c r="I27" s="27">
        <v>5.4199999999999998E-2</v>
      </c>
      <c r="J27" s="27">
        <f t="shared" si="1"/>
        <v>5.1400000000000001E-2</v>
      </c>
    </row>
    <row r="28" spans="1:10" ht="16">
      <c r="A28" s="57" t="str">
        <f>'Sovereign Ratings (Moody''s,S&amp;P)'!A28</f>
        <v>Canada</v>
      </c>
      <c r="B28" s="72" t="str">
        <f>'Sovereign Ratings (Moody''s,S&amp;P)'!C28</f>
        <v>Aaa</v>
      </c>
      <c r="C28" s="192">
        <v>4.1999999999999997E-3</v>
      </c>
      <c r="D28" s="75">
        <f t="shared" si="0"/>
        <v>1.3999999999999998E-3</v>
      </c>
      <c r="H28" s="57" t="s">
        <v>87</v>
      </c>
      <c r="I28" s="27">
        <v>4.1999999999999997E-3</v>
      </c>
      <c r="J28" s="27">
        <f t="shared" si="1"/>
        <v>1.3999999999999998E-3</v>
      </c>
    </row>
    <row r="29" spans="1:10" ht="16">
      <c r="A29" s="57" t="str">
        <f>'Sovereign Ratings (Moody''s,S&amp;P)'!A29</f>
        <v>Cape Verde</v>
      </c>
      <c r="B29" s="72" t="str">
        <f>'Sovereign Ratings (Moody''s,S&amp;P)'!C29</f>
        <v>B2</v>
      </c>
      <c r="C29" s="192" t="s">
        <v>145</v>
      </c>
      <c r="D29" s="75" t="str">
        <f t="shared" si="0"/>
        <v>NA</v>
      </c>
      <c r="H29" s="57" t="s">
        <v>182</v>
      </c>
      <c r="I29" s="27">
        <v>2.8E-3</v>
      </c>
      <c r="J29" s="27">
        <f t="shared" si="1"/>
        <v>0</v>
      </c>
    </row>
    <row r="30" spans="1:10" ht="16">
      <c r="A30" s="57" t="str">
        <f>'Sovereign Ratings (Moody''s,S&amp;P)'!A30</f>
        <v>Cayman Islands</v>
      </c>
      <c r="B30" s="72" t="str">
        <f>'Sovereign Ratings (Moody''s,S&amp;P)'!C30</f>
        <v>Aa3</v>
      </c>
      <c r="C30" s="192" t="s">
        <v>145</v>
      </c>
      <c r="D30" s="75" t="str">
        <f t="shared" si="0"/>
        <v>NA</v>
      </c>
      <c r="H30" s="57" t="s">
        <v>89</v>
      </c>
      <c r="I30" s="27">
        <v>4.02E-2</v>
      </c>
      <c r="J30" s="27">
        <f t="shared" si="1"/>
        <v>3.7400000000000003E-2</v>
      </c>
    </row>
    <row r="31" spans="1:10" ht="16">
      <c r="A31" s="57" t="str">
        <f>'Sovereign Ratings (Moody''s,S&amp;P)'!A31</f>
        <v>Chile</v>
      </c>
      <c r="B31" s="72" t="str">
        <f>'Sovereign Ratings (Moody''s,S&amp;P)'!C31</f>
        <v>Aa3</v>
      </c>
      <c r="C31" s="192">
        <v>1.01E-2</v>
      </c>
      <c r="D31" s="75">
        <f t="shared" si="0"/>
        <v>7.2999999999999992E-3</v>
      </c>
      <c r="H31" s="57" t="s">
        <v>183</v>
      </c>
      <c r="I31" s="27">
        <v>4.0000000000000001E-3</v>
      </c>
      <c r="J31" s="27">
        <f t="shared" si="1"/>
        <v>1.2000000000000001E-3</v>
      </c>
    </row>
    <row r="32" spans="1:10" ht="16">
      <c r="A32" s="57" t="str">
        <f>'Sovereign Ratings (Moody''s,S&amp;P)'!A32</f>
        <v>China</v>
      </c>
      <c r="B32" s="72" t="str">
        <f>'Sovereign Ratings (Moody''s,S&amp;P)'!C32</f>
        <v>A1</v>
      </c>
      <c r="C32" s="192">
        <v>1.11E-2</v>
      </c>
      <c r="D32" s="75">
        <f t="shared" si="0"/>
        <v>8.3000000000000001E-3</v>
      </c>
      <c r="H32" s="57" t="s">
        <v>94</v>
      </c>
      <c r="I32" s="27">
        <v>3.4599999999999999E-2</v>
      </c>
      <c r="J32" s="27">
        <f t="shared" si="1"/>
        <v>3.1800000000000002E-2</v>
      </c>
    </row>
    <row r="33" spans="1:10" ht="16">
      <c r="A33" s="57" t="str">
        <f>'Sovereign Ratings (Moody''s,S&amp;P)'!A33</f>
        <v>Colombia</v>
      </c>
      <c r="B33" s="72" t="str">
        <f>'Sovereign Ratings (Moody''s,S&amp;P)'!C33</f>
        <v>Baa2</v>
      </c>
      <c r="C33" s="192">
        <v>1.9300000000000001E-2</v>
      </c>
      <c r="D33" s="75">
        <f t="shared" si="0"/>
        <v>1.6500000000000001E-2</v>
      </c>
      <c r="H33" s="57" t="s">
        <v>96</v>
      </c>
      <c r="I33" s="27">
        <v>1.2200000000000001E-2</v>
      </c>
      <c r="J33" s="27">
        <f t="shared" si="1"/>
        <v>9.4000000000000004E-3</v>
      </c>
    </row>
    <row r="34" spans="1:10" ht="16">
      <c r="A34" s="57" t="str">
        <f>'Sovereign Ratings (Moody''s,S&amp;P)'!A34</f>
        <v>Congo (Democratic Republic of)</v>
      </c>
      <c r="B34" s="72" t="str">
        <f>'Sovereign Ratings (Moody''s,S&amp;P)'!C34</f>
        <v>B3</v>
      </c>
      <c r="C34" s="192" t="s">
        <v>145</v>
      </c>
      <c r="D34" s="75" t="str">
        <f t="shared" ref="D34:D65" si="2">IF(C34="NA","NA",IF(C34&gt;$C$148,C34-$C$148,0))</f>
        <v>NA</v>
      </c>
      <c r="H34" s="206" t="s">
        <v>219</v>
      </c>
      <c r="I34" s="27">
        <v>4.6300000000000001E-2</v>
      </c>
      <c r="J34" s="27">
        <f t="shared" si="1"/>
        <v>4.3500000000000004E-2</v>
      </c>
    </row>
    <row r="35" spans="1:10" ht="16">
      <c r="A35" s="57" t="str">
        <f>'Sovereign Ratings (Moody''s,S&amp;P)'!A35</f>
        <v>Congo (Republic of)</v>
      </c>
      <c r="B35" s="72" t="str">
        <f>'Sovereign Ratings (Moody''s,S&amp;P)'!C35</f>
        <v>Caa2</v>
      </c>
      <c r="C35" s="192" t="s">
        <v>145</v>
      </c>
      <c r="D35" s="75" t="str">
        <f t="shared" si="2"/>
        <v>NA</v>
      </c>
      <c r="H35" s="206" t="s">
        <v>97</v>
      </c>
      <c r="I35" s="27">
        <v>4.1999999999999997E-3</v>
      </c>
      <c r="J35" s="27">
        <f t="shared" si="1"/>
        <v>1.3999999999999998E-3</v>
      </c>
    </row>
    <row r="36" spans="1:10" ht="16">
      <c r="A36" s="57" t="str">
        <f>'Sovereign Ratings (Moody''s,S&amp;P)'!A36</f>
        <v>Cook Islands</v>
      </c>
      <c r="B36" s="72" t="str">
        <f>'Sovereign Ratings (Moody''s,S&amp;P)'!C36</f>
        <v>B1</v>
      </c>
      <c r="C36" s="192" t="s">
        <v>145</v>
      </c>
      <c r="D36" s="75" t="str">
        <f t="shared" si="2"/>
        <v>NA</v>
      </c>
      <c r="H36" s="57" t="s">
        <v>98</v>
      </c>
      <c r="I36" s="27">
        <v>1.01E-2</v>
      </c>
      <c r="J36" s="27">
        <f t="shared" si="1"/>
        <v>7.2999999999999992E-3</v>
      </c>
    </row>
    <row r="37" spans="1:10" ht="16">
      <c r="A37" s="57" t="str">
        <f>'Sovereign Ratings (Moody''s,S&amp;P)'!A37</f>
        <v>Costa Rica</v>
      </c>
      <c r="B37" s="72" t="str">
        <f>'Sovereign Ratings (Moody''s,S&amp;P)'!C37</f>
        <v>Ba2</v>
      </c>
      <c r="C37" s="192">
        <v>2.4799999999999999E-2</v>
      </c>
      <c r="D37" s="75">
        <f t="shared" si="2"/>
        <v>2.1999999999999999E-2</v>
      </c>
      <c r="H37" s="57" t="s">
        <v>99</v>
      </c>
      <c r="I37" s="27">
        <v>1.11E-2</v>
      </c>
      <c r="J37" s="27">
        <f t="shared" si="1"/>
        <v>8.3000000000000001E-3</v>
      </c>
    </row>
    <row r="38" spans="1:10" ht="16">
      <c r="A38" s="57" t="str">
        <f>'Sovereign Ratings (Moody''s,S&amp;P)'!A38</f>
        <v>Côte d'Ivoire</v>
      </c>
      <c r="B38" s="72" t="str">
        <f>'Sovereign Ratings (Moody''s,S&amp;P)'!C38</f>
        <v>Ba3</v>
      </c>
      <c r="C38" s="192" t="s">
        <v>145</v>
      </c>
      <c r="D38" s="75" t="str">
        <f t="shared" si="2"/>
        <v>NA</v>
      </c>
      <c r="H38" s="57" t="s">
        <v>51</v>
      </c>
      <c r="I38" s="27">
        <v>1.9300000000000001E-2</v>
      </c>
      <c r="J38" s="27">
        <f t="shared" si="1"/>
        <v>1.6500000000000001E-2</v>
      </c>
    </row>
    <row r="39" spans="1:10" ht="16">
      <c r="A39" s="57" t="str">
        <f>'Sovereign Ratings (Moody''s,S&amp;P)'!A39</f>
        <v>Croatia</v>
      </c>
      <c r="B39" s="72" t="str">
        <f>'Sovereign Ratings (Moody''s,S&amp;P)'!C39</f>
        <v>Ba2</v>
      </c>
      <c r="C39" s="192">
        <v>1.5599999999999999E-2</v>
      </c>
      <c r="D39" s="75">
        <f t="shared" si="2"/>
        <v>1.2799999999999999E-2</v>
      </c>
      <c r="H39" s="57" t="s">
        <v>57</v>
      </c>
      <c r="I39" s="27">
        <v>2.4799999999999999E-2</v>
      </c>
      <c r="J39" s="27">
        <f t="shared" si="1"/>
        <v>2.1999999999999999E-2</v>
      </c>
    </row>
    <row r="40" spans="1:10" ht="16">
      <c r="A40" s="57" t="str">
        <f>'Sovereign Ratings (Moody''s,S&amp;P)'!A40</f>
        <v>Cuba</v>
      </c>
      <c r="B40" s="72" t="str">
        <f>'Sovereign Ratings (Moody''s,S&amp;P)'!C40</f>
        <v>Caa2</v>
      </c>
      <c r="C40" s="192" t="s">
        <v>145</v>
      </c>
      <c r="D40" s="75" t="str">
        <f t="shared" si="2"/>
        <v>NA</v>
      </c>
      <c r="H40" s="57" t="s">
        <v>100</v>
      </c>
      <c r="I40" s="27">
        <v>1.5599999999999999E-2</v>
      </c>
      <c r="J40" s="27">
        <f t="shared" si="1"/>
        <v>1.2799999999999999E-2</v>
      </c>
    </row>
    <row r="41" spans="1:10" ht="16">
      <c r="A41" s="57" t="str">
        <f>'Sovereign Ratings (Moody''s,S&amp;P)'!A41</f>
        <v>Curacao</v>
      </c>
      <c r="B41" s="72" t="str">
        <f>'Sovereign Ratings (Moody''s,S&amp;P)'!C41</f>
        <v>A3</v>
      </c>
      <c r="C41" s="192" t="s">
        <v>145</v>
      </c>
      <c r="D41" s="75" t="str">
        <f t="shared" si="2"/>
        <v>NA</v>
      </c>
      <c r="H41" s="57" t="s">
        <v>184</v>
      </c>
      <c r="I41" s="27">
        <v>1.7399999999999999E-2</v>
      </c>
      <c r="J41" s="27">
        <f t="shared" si="1"/>
        <v>1.4599999999999998E-2</v>
      </c>
    </row>
    <row r="42" spans="1:10" ht="16">
      <c r="A42" s="57" t="str">
        <f>'Sovereign Ratings (Moody''s,S&amp;P)'!A42</f>
        <v>Cyprus</v>
      </c>
      <c r="B42" s="72" t="str">
        <f>'Sovereign Ratings (Moody''s,S&amp;P)'!C42</f>
        <v>Ba3</v>
      </c>
      <c r="C42" s="192">
        <v>1.7399999999999999E-2</v>
      </c>
      <c r="D42" s="75">
        <f t="shared" si="2"/>
        <v>1.4599999999999998E-2</v>
      </c>
      <c r="H42" s="57" t="s">
        <v>103</v>
      </c>
      <c r="I42" s="27">
        <v>7.1000000000000004E-3</v>
      </c>
      <c r="J42" s="27">
        <f t="shared" si="1"/>
        <v>4.3E-3</v>
      </c>
    </row>
    <row r="43" spans="1:10" ht="16">
      <c r="A43" s="57" t="str">
        <f>'Sovereign Ratings (Moody''s,S&amp;P)'!A43</f>
        <v>Czech Republic</v>
      </c>
      <c r="B43" s="72" t="str">
        <f>'Sovereign Ratings (Moody''s,S&amp;P)'!C43</f>
        <v>A1</v>
      </c>
      <c r="C43" s="192">
        <v>7.1000000000000004E-3</v>
      </c>
      <c r="D43" s="75">
        <f t="shared" si="2"/>
        <v>4.3E-3</v>
      </c>
      <c r="H43" s="57" t="s">
        <v>104</v>
      </c>
      <c r="I43" s="27">
        <v>2.5999999999999999E-3</v>
      </c>
      <c r="J43" s="27">
        <f t="shared" si="1"/>
        <v>-2.0000000000000009E-4</v>
      </c>
    </row>
    <row r="44" spans="1:10" ht="16">
      <c r="A44" s="57" t="str">
        <f>'Sovereign Ratings (Moody''s,S&amp;P)'!A44</f>
        <v>Denmark</v>
      </c>
      <c r="B44" s="72" t="str">
        <f>'Sovereign Ratings (Moody''s,S&amp;P)'!C44</f>
        <v>Aaa</v>
      </c>
      <c r="C44" s="192">
        <v>2.5999999999999999E-3</v>
      </c>
      <c r="D44" s="75">
        <f t="shared" si="2"/>
        <v>0</v>
      </c>
      <c r="H44" s="57" t="s">
        <v>569</v>
      </c>
      <c r="I44" s="27">
        <v>1.6899999999999998E-2</v>
      </c>
      <c r="J44" s="27">
        <f t="shared" si="1"/>
        <v>1.4099999999999998E-2</v>
      </c>
    </row>
    <row r="45" spans="1:10" ht="16">
      <c r="A45" s="57" t="str">
        <f>'Sovereign Ratings (Moody''s,S&amp;P)'!A45</f>
        <v>Dominican Republic</v>
      </c>
      <c r="B45" s="72" t="str">
        <f>'Sovereign Ratings (Moody''s,S&amp;P)'!C45</f>
        <v>Ba3</v>
      </c>
      <c r="C45" s="192" t="s">
        <v>145</v>
      </c>
      <c r="D45" s="75" t="str">
        <f t="shared" si="2"/>
        <v>NA</v>
      </c>
      <c r="H45" s="57" t="s">
        <v>107</v>
      </c>
      <c r="I45" s="27">
        <v>4.1399999999999999E-2</v>
      </c>
      <c r="J45" s="27">
        <f t="shared" si="1"/>
        <v>3.8600000000000002E-2</v>
      </c>
    </row>
    <row r="46" spans="1:10" ht="16">
      <c r="A46" s="57" t="str">
        <f>'Sovereign Ratings (Moody''s,S&amp;P)'!A46</f>
        <v>Ecuador</v>
      </c>
      <c r="B46" s="72" t="str">
        <f>'Sovereign Ratings (Moody''s,S&amp;P)'!C46</f>
        <v>B3</v>
      </c>
      <c r="C46" s="192" t="s">
        <v>145</v>
      </c>
      <c r="D46" s="75" t="str">
        <f t="shared" si="2"/>
        <v>NA</v>
      </c>
      <c r="H46" s="206" t="s">
        <v>31</v>
      </c>
      <c r="I46" s="27">
        <v>4.07E-2</v>
      </c>
      <c r="J46" s="27">
        <f t="shared" si="1"/>
        <v>3.7900000000000003E-2</v>
      </c>
    </row>
    <row r="47" spans="1:10" ht="16">
      <c r="A47" s="57" t="str">
        <f>'Sovereign Ratings (Moody''s,S&amp;P)'!A47</f>
        <v>Egypt</v>
      </c>
      <c r="B47" s="72" t="str">
        <f>'Sovereign Ratings (Moody''s,S&amp;P)'!C47</f>
        <v>B3</v>
      </c>
      <c r="C47" s="192">
        <v>4.1399999999999999E-2</v>
      </c>
      <c r="D47" s="75">
        <f t="shared" si="2"/>
        <v>3.8600000000000002E-2</v>
      </c>
      <c r="H47" s="57" t="s">
        <v>108</v>
      </c>
      <c r="I47" s="27">
        <v>9.4000000000000004E-3</v>
      </c>
      <c r="J47" s="27">
        <f t="shared" si="1"/>
        <v>6.6E-3</v>
      </c>
    </row>
    <row r="48" spans="1:10" ht="16">
      <c r="A48" s="57" t="str">
        <f>'Sovereign Ratings (Moody''s,S&amp;P)'!A48</f>
        <v>El Salvador</v>
      </c>
      <c r="B48" s="72" t="str">
        <f>'Sovereign Ratings (Moody''s,S&amp;P)'!C48</f>
        <v>Caa1</v>
      </c>
      <c r="C48" s="192" t="s">
        <v>145</v>
      </c>
      <c r="D48" s="75" t="str">
        <f t="shared" si="2"/>
        <v>NA</v>
      </c>
      <c r="H48" s="57" t="s">
        <v>185</v>
      </c>
      <c r="I48" s="27">
        <v>2.7000000000000001E-3</v>
      </c>
      <c r="J48" s="27">
        <f t="shared" si="1"/>
        <v>-9.9999999999999829E-5</v>
      </c>
    </row>
    <row r="49" spans="1:10" ht="16">
      <c r="A49" s="57" t="str">
        <f>'Sovereign Ratings (Moody''s,S&amp;P)'!A49</f>
        <v>Estonia</v>
      </c>
      <c r="B49" s="72" t="str">
        <f>'Sovereign Ratings (Moody''s,S&amp;P)'!C49</f>
        <v>A1</v>
      </c>
      <c r="C49" s="192">
        <v>9.4000000000000004E-3</v>
      </c>
      <c r="D49" s="75">
        <f t="shared" si="2"/>
        <v>6.6E-3</v>
      </c>
      <c r="H49" s="57" t="s">
        <v>186</v>
      </c>
      <c r="I49" s="27">
        <v>5.0000000000000001E-3</v>
      </c>
      <c r="J49" s="27">
        <f t="shared" si="1"/>
        <v>2.2000000000000001E-3</v>
      </c>
    </row>
    <row r="50" spans="1:10" ht="16">
      <c r="A50" s="57" t="str">
        <f>'Sovereign Ratings (Moody''s,S&amp;P)'!A50</f>
        <v>Ethiopia</v>
      </c>
      <c r="B50" s="72" t="str">
        <f>'Sovereign Ratings (Moody''s,S&amp;P)'!C50</f>
        <v>B1</v>
      </c>
      <c r="C50" s="192" t="s">
        <v>145</v>
      </c>
      <c r="D50" s="75" t="str">
        <f t="shared" si="2"/>
        <v>NA</v>
      </c>
      <c r="H50" s="57" t="s">
        <v>187</v>
      </c>
      <c r="I50" s="27">
        <v>2.3E-3</v>
      </c>
      <c r="J50" s="27">
        <f t="shared" si="1"/>
        <v>-5.0000000000000001E-4</v>
      </c>
    </row>
    <row r="51" spans="1:10" ht="16">
      <c r="A51" s="57" t="str">
        <f>'Sovereign Ratings (Moody''s,S&amp;P)'!A51</f>
        <v>Fiji</v>
      </c>
      <c r="B51" s="72" t="str">
        <f>'Sovereign Ratings (Moody''s,S&amp;P)'!C51</f>
        <v>Ba3</v>
      </c>
      <c r="C51" s="192" t="s">
        <v>145</v>
      </c>
      <c r="D51" s="75" t="str">
        <f t="shared" si="2"/>
        <v>NA</v>
      </c>
      <c r="H51" s="57" t="s">
        <v>188</v>
      </c>
      <c r="I51" s="27">
        <v>4.1399999999999999E-2</v>
      </c>
      <c r="J51" s="27">
        <f t="shared" si="1"/>
        <v>3.8600000000000002E-2</v>
      </c>
    </row>
    <row r="52" spans="1:10" ht="16">
      <c r="A52" s="57" t="str">
        <f>'Sovereign Ratings (Moody''s,S&amp;P)'!A52</f>
        <v>Finland</v>
      </c>
      <c r="B52" s="72" t="str">
        <f>'Sovereign Ratings (Moody''s,S&amp;P)'!C52</f>
        <v>Aa1</v>
      </c>
      <c r="C52" s="192">
        <v>2.7000000000000001E-3</v>
      </c>
      <c r="D52" s="75">
        <f t="shared" si="2"/>
        <v>0</v>
      </c>
      <c r="H52" s="206" t="s">
        <v>585</v>
      </c>
      <c r="I52" s="27">
        <v>2.6100000000000002E-2</v>
      </c>
      <c r="J52" s="27">
        <f t="shared" si="1"/>
        <v>2.3300000000000001E-2</v>
      </c>
    </row>
    <row r="53" spans="1:10" ht="16">
      <c r="A53" s="57" t="str">
        <f>'Sovereign Ratings (Moody''s,S&amp;P)'!A53</f>
        <v>France</v>
      </c>
      <c r="B53" s="72" t="str">
        <f>'Sovereign Ratings (Moody''s,S&amp;P)'!C53</f>
        <v>Aa2</v>
      </c>
      <c r="C53" s="192">
        <v>5.0000000000000001E-3</v>
      </c>
      <c r="D53" s="75">
        <f t="shared" si="2"/>
        <v>2.2000000000000001E-3</v>
      </c>
      <c r="H53" s="57" t="s">
        <v>60</v>
      </c>
      <c r="I53" s="27">
        <v>6.0000000000000001E-3</v>
      </c>
      <c r="J53" s="27">
        <f t="shared" si="1"/>
        <v>3.2000000000000002E-3</v>
      </c>
    </row>
    <row r="54" spans="1:10" ht="16">
      <c r="A54" s="57" t="str">
        <f>'Sovereign Ratings (Moody''s,S&amp;P)'!A54</f>
        <v>Gabon</v>
      </c>
      <c r="B54" s="72" t="str">
        <f>'Sovereign Ratings (Moody''s,S&amp;P)'!C54</f>
        <v>Caa1</v>
      </c>
      <c r="C54" s="192" t="s">
        <v>145</v>
      </c>
      <c r="D54" s="75" t="str">
        <f t="shared" si="2"/>
        <v>NA</v>
      </c>
      <c r="H54" s="57" t="s">
        <v>111</v>
      </c>
      <c r="I54" s="27">
        <v>1.24E-2</v>
      </c>
      <c r="J54" s="27">
        <f t="shared" si="1"/>
        <v>9.5999999999999992E-3</v>
      </c>
    </row>
    <row r="55" spans="1:10" ht="16">
      <c r="A55" s="57" t="str">
        <f>'Sovereign Ratings (Moody''s,S&amp;P)'!A55</f>
        <v>Georgia</v>
      </c>
      <c r="B55" s="72" t="str">
        <f>'Sovereign Ratings (Moody''s,S&amp;P)'!C55</f>
        <v>Ba2</v>
      </c>
      <c r="C55" s="192" t="s">
        <v>145</v>
      </c>
      <c r="D55" s="75" t="str">
        <f t="shared" si="2"/>
        <v>NA</v>
      </c>
      <c r="H55" s="57" t="s">
        <v>112</v>
      </c>
      <c r="I55" s="27">
        <v>8.6999999999999994E-3</v>
      </c>
      <c r="J55" s="27">
        <f t="shared" si="1"/>
        <v>5.899999999999999E-3</v>
      </c>
    </row>
    <row r="56" spans="1:10" ht="16">
      <c r="A56" s="57" t="str">
        <f>'Sovereign Ratings (Moody''s,S&amp;P)'!A56</f>
        <v>Germany</v>
      </c>
      <c r="B56" s="72" t="str">
        <f>'Sovereign Ratings (Moody''s,S&amp;P)'!C56</f>
        <v>Aaa</v>
      </c>
      <c r="C56" s="192">
        <v>2.3E-3</v>
      </c>
      <c r="D56" s="75">
        <f t="shared" si="2"/>
        <v>0</v>
      </c>
      <c r="H56" s="57" t="s">
        <v>113</v>
      </c>
      <c r="I56" s="27">
        <v>1.4800000000000001E-2</v>
      </c>
      <c r="J56" s="27">
        <f t="shared" ref="J56:J87" si="3">I56-$I$102</f>
        <v>1.2E-2</v>
      </c>
    </row>
    <row r="57" spans="1:10" ht="16">
      <c r="A57" s="57" t="str">
        <f>'Sovereign Ratings (Moody''s,S&amp;P)'!A57</f>
        <v>Ghana</v>
      </c>
      <c r="B57" s="72" t="str">
        <f>'Sovereign Ratings (Moody''s,S&amp;P)'!C57</f>
        <v>B3</v>
      </c>
      <c r="C57" s="192" t="s">
        <v>145</v>
      </c>
      <c r="D57" s="75" t="str">
        <f t="shared" si="2"/>
        <v>NA</v>
      </c>
      <c r="H57" s="57" t="s">
        <v>114</v>
      </c>
      <c r="I57" s="27">
        <v>1.9400000000000001E-2</v>
      </c>
      <c r="J57" s="27">
        <f t="shared" si="3"/>
        <v>1.66E-2</v>
      </c>
    </row>
    <row r="58" spans="1:10" ht="16">
      <c r="A58" s="57" t="str">
        <f>'Sovereign Ratings (Moody''s,S&amp;P)'!A58</f>
        <v>Greece</v>
      </c>
      <c r="B58" s="72" t="str">
        <f>'Sovereign Ratings (Moody''s,S&amp;P)'!C58</f>
        <v>B3</v>
      </c>
      <c r="C58" s="192">
        <v>4.1399999999999999E-2</v>
      </c>
      <c r="D58" s="75">
        <f t="shared" si="2"/>
        <v>3.8600000000000002E-2</v>
      </c>
      <c r="H58" s="206" t="s">
        <v>341</v>
      </c>
      <c r="I58" s="27">
        <v>4.6800000000000001E-2</v>
      </c>
      <c r="J58" s="27">
        <f t="shared" si="3"/>
        <v>4.4000000000000004E-2</v>
      </c>
    </row>
    <row r="59" spans="1:10" ht="16">
      <c r="A59" s="57" t="str">
        <f>'Sovereign Ratings (Moody''s,S&amp;P)'!A59</f>
        <v>Guatemala</v>
      </c>
      <c r="B59" s="72" t="str">
        <f>'Sovereign Ratings (Moody''s,S&amp;P)'!C59</f>
        <v>Ba1</v>
      </c>
      <c r="C59" s="192">
        <v>2.6100000000000002E-2</v>
      </c>
      <c r="D59" s="75">
        <f t="shared" si="2"/>
        <v>2.3300000000000001E-2</v>
      </c>
      <c r="H59" s="57" t="s">
        <v>189</v>
      </c>
      <c r="I59" s="27">
        <v>5.1999999999999998E-3</v>
      </c>
      <c r="J59" s="27">
        <f t="shared" si="3"/>
        <v>2.3999999999999998E-3</v>
      </c>
    </row>
    <row r="60" spans="1:10" ht="16">
      <c r="A60" s="57" t="str">
        <f>'Sovereign Ratings (Moody''s,S&amp;P)'!A60</f>
        <v>Guernsey (States of)</v>
      </c>
      <c r="B60" s="72" t="str">
        <f>'Sovereign Ratings (Moody''s,S&amp;P)'!C60</f>
        <v>Aa3</v>
      </c>
      <c r="C60" s="192" t="s">
        <v>145</v>
      </c>
      <c r="D60" s="75" t="str">
        <f t="shared" si="2"/>
        <v>NA</v>
      </c>
      <c r="H60" s="57" t="s">
        <v>116</v>
      </c>
      <c r="I60" s="27">
        <v>1.0800000000000001E-2</v>
      </c>
      <c r="J60" s="27">
        <f t="shared" si="3"/>
        <v>8.0000000000000002E-3</v>
      </c>
    </row>
    <row r="61" spans="1:10" ht="16">
      <c r="A61" s="57" t="str">
        <f>'Sovereign Ratings (Moody''s,S&amp;P)'!A61</f>
        <v>Honduras</v>
      </c>
      <c r="B61" s="72" t="str">
        <f>'Sovereign Ratings (Moody''s,S&amp;P)'!C61</f>
        <v>B1</v>
      </c>
      <c r="C61" s="192" t="s">
        <v>145</v>
      </c>
      <c r="D61" s="75" t="str">
        <f t="shared" si="2"/>
        <v>NA</v>
      </c>
      <c r="H61" s="57" t="s">
        <v>147</v>
      </c>
      <c r="I61" s="27">
        <v>2.3400000000000001E-2</v>
      </c>
      <c r="J61" s="27">
        <f t="shared" si="3"/>
        <v>2.06E-2</v>
      </c>
    </row>
    <row r="62" spans="1:10" ht="16">
      <c r="A62" s="57" t="str">
        <f>'Sovereign Ratings (Moody''s,S&amp;P)'!A62</f>
        <v>Hong Kong</v>
      </c>
      <c r="B62" s="72" t="str">
        <f>'Sovereign Ratings (Moody''s,S&amp;P)'!C62</f>
        <v>Aa2</v>
      </c>
      <c r="C62" s="192">
        <v>6.0000000000000001E-3</v>
      </c>
      <c r="D62" s="75">
        <f t="shared" si="2"/>
        <v>3.2000000000000002E-3</v>
      </c>
      <c r="H62" s="57" t="s">
        <v>118</v>
      </c>
      <c r="I62" s="27">
        <v>4.7000000000000002E-3</v>
      </c>
      <c r="J62" s="27">
        <f t="shared" si="3"/>
        <v>1.9000000000000002E-3</v>
      </c>
    </row>
    <row r="63" spans="1:10" ht="16">
      <c r="A63" s="57" t="str">
        <f>'Sovereign Ratings (Moody''s,S&amp;P)'!A63</f>
        <v>Hungary</v>
      </c>
      <c r="B63" s="72" t="str">
        <f>'Sovereign Ratings (Moody''s,S&amp;P)'!C63</f>
        <v>Baa3</v>
      </c>
      <c r="C63" s="192">
        <v>1.24E-2</v>
      </c>
      <c r="D63" s="75">
        <f t="shared" si="2"/>
        <v>9.5999999999999992E-3</v>
      </c>
      <c r="H63" s="57" t="s">
        <v>120</v>
      </c>
      <c r="I63" s="27">
        <v>1.2800000000000001E-2</v>
      </c>
      <c r="J63" s="27">
        <f t="shared" si="3"/>
        <v>0.01</v>
      </c>
    </row>
    <row r="64" spans="1:10" ht="16">
      <c r="A64" s="57" t="str">
        <f>'Sovereign Ratings (Moody''s,S&amp;P)'!A64</f>
        <v>Iceland</v>
      </c>
      <c r="B64" s="72" t="str">
        <f>'Sovereign Ratings (Moody''s,S&amp;P)'!C64</f>
        <v>A3</v>
      </c>
      <c r="C64" s="192">
        <v>8.6999999999999994E-3</v>
      </c>
      <c r="D64" s="75">
        <f t="shared" si="2"/>
        <v>5.899999999999999E-3</v>
      </c>
      <c r="H64" s="206" t="s">
        <v>190</v>
      </c>
      <c r="I64" s="27">
        <v>3.9E-2</v>
      </c>
      <c r="J64" s="27">
        <f t="shared" si="3"/>
        <v>3.6200000000000003E-2</v>
      </c>
    </row>
    <row r="65" spans="1:10" ht="16">
      <c r="A65" s="57" t="str">
        <f>'Sovereign Ratings (Moody''s,S&amp;P)'!A65</f>
        <v>India</v>
      </c>
      <c r="B65" s="72" t="str">
        <f>'Sovereign Ratings (Moody''s,S&amp;P)'!C65</f>
        <v>Baa2</v>
      </c>
      <c r="C65" s="192">
        <v>1.4800000000000001E-2</v>
      </c>
      <c r="D65" s="75">
        <f t="shared" si="2"/>
        <v>1.2E-2</v>
      </c>
      <c r="H65" s="57" t="s">
        <v>121</v>
      </c>
      <c r="I65" s="27">
        <v>6.4999999999999997E-3</v>
      </c>
      <c r="J65" s="27">
        <f t="shared" si="3"/>
        <v>3.6999999999999997E-3</v>
      </c>
    </row>
    <row r="66" spans="1:10" ht="16">
      <c r="A66" s="57" t="str">
        <f>'Sovereign Ratings (Moody''s,S&amp;P)'!A66</f>
        <v>Indonesia</v>
      </c>
      <c r="B66" s="72" t="str">
        <f>'Sovereign Ratings (Moody''s,S&amp;P)'!C66</f>
        <v>Baa2</v>
      </c>
      <c r="C66" s="192">
        <v>1.9400000000000001E-2</v>
      </c>
      <c r="D66" s="75">
        <f t="shared" ref="D66:D97" si="4">IF(C66="NA","NA",IF(C66&gt;$C$148,C66-$C$148,0))</f>
        <v>1.66E-2</v>
      </c>
      <c r="H66" s="57" t="s">
        <v>122</v>
      </c>
      <c r="I66" s="27">
        <v>1.11E-2</v>
      </c>
      <c r="J66" s="27">
        <f t="shared" si="3"/>
        <v>8.3000000000000001E-3</v>
      </c>
    </row>
    <row r="67" spans="1:10" ht="16">
      <c r="A67" s="57" t="str">
        <f>'Sovereign Ratings (Moody''s,S&amp;P)'!A67</f>
        <v>Iraq</v>
      </c>
      <c r="B67" s="72" t="str">
        <f>'Sovereign Ratings (Moody''s,S&amp;P)'!C67</f>
        <v>Caa1</v>
      </c>
      <c r="C67" s="192">
        <v>4.6800000000000001E-2</v>
      </c>
      <c r="D67" s="75">
        <f t="shared" si="4"/>
        <v>4.4000000000000004E-2</v>
      </c>
      <c r="H67" s="57" t="s">
        <v>123</v>
      </c>
      <c r="I67" s="27">
        <v>1.04E-2</v>
      </c>
      <c r="J67" s="27">
        <f t="shared" si="3"/>
        <v>7.5999999999999991E-3</v>
      </c>
    </row>
    <row r="68" spans="1:10" ht="16">
      <c r="A68" s="57" t="str">
        <f>'Sovereign Ratings (Moody''s,S&amp;P)'!A68</f>
        <v>Ireland</v>
      </c>
      <c r="B68" s="72" t="str">
        <f>'Sovereign Ratings (Moody''s,S&amp;P)'!C68</f>
        <v>A2</v>
      </c>
      <c r="C68" s="192">
        <v>5.1999999999999998E-3</v>
      </c>
      <c r="D68" s="75">
        <f t="shared" si="4"/>
        <v>2.3999999999999998E-3</v>
      </c>
      <c r="H68" s="57" t="s">
        <v>124</v>
      </c>
      <c r="I68" s="27">
        <v>6.3500000000000001E-2</v>
      </c>
      <c r="J68" s="27">
        <f t="shared" si="3"/>
        <v>6.0700000000000004E-2</v>
      </c>
    </row>
    <row r="69" spans="1:10" ht="16">
      <c r="A69" s="57" t="str">
        <f>'Sovereign Ratings (Moody''s,S&amp;P)'!A69</f>
        <v>Isle of Man</v>
      </c>
      <c r="B69" s="72" t="str">
        <f>'Sovereign Ratings (Moody''s,S&amp;P)'!C69</f>
        <v>Aa2</v>
      </c>
      <c r="C69" s="192" t="s">
        <v>145</v>
      </c>
      <c r="D69" s="75" t="str">
        <f t="shared" si="4"/>
        <v>NA</v>
      </c>
      <c r="H69" s="57" t="s">
        <v>13</v>
      </c>
      <c r="I69" s="27">
        <v>1.0200000000000001E-2</v>
      </c>
      <c r="J69" s="27">
        <f t="shared" si="3"/>
        <v>7.4000000000000003E-3</v>
      </c>
    </row>
    <row r="70" spans="1:10" ht="16">
      <c r="A70" s="57" t="str">
        <f>'Sovereign Ratings (Moody''s,S&amp;P)'!A70</f>
        <v>Israel</v>
      </c>
      <c r="B70" s="72" t="str">
        <f>'Sovereign Ratings (Moody''s,S&amp;P)'!C70</f>
        <v>A1</v>
      </c>
      <c r="C70" s="192">
        <v>1.0800000000000001E-2</v>
      </c>
      <c r="D70" s="75">
        <f t="shared" si="4"/>
        <v>8.0000000000000002E-3</v>
      </c>
      <c r="H70" s="57" t="s">
        <v>14</v>
      </c>
      <c r="I70" s="27">
        <v>1.54E-2</v>
      </c>
      <c r="J70" s="27">
        <f t="shared" si="3"/>
        <v>1.26E-2</v>
      </c>
    </row>
    <row r="71" spans="1:10" ht="16">
      <c r="A71" s="57" t="str">
        <f>'Sovereign Ratings (Moody''s,S&amp;P)'!A71</f>
        <v>Italy</v>
      </c>
      <c r="B71" s="72" t="str">
        <f>'Sovereign Ratings (Moody''s,S&amp;P)'!C71</f>
        <v>Baa2</v>
      </c>
      <c r="C71" s="192">
        <v>2.3400000000000001E-2</v>
      </c>
      <c r="D71" s="75">
        <f t="shared" si="4"/>
        <v>2.06E-2</v>
      </c>
      <c r="H71" s="57" t="s">
        <v>16</v>
      </c>
      <c r="I71" s="27">
        <v>1.9599999999999999E-2</v>
      </c>
      <c r="J71" s="27">
        <f t="shared" si="3"/>
        <v>1.6799999999999999E-2</v>
      </c>
    </row>
    <row r="72" spans="1:10" ht="16">
      <c r="A72" s="57" t="str">
        <f>'Sovereign Ratings (Moody''s,S&amp;P)'!A72</f>
        <v>Jamaica</v>
      </c>
      <c r="B72" s="72" t="str">
        <f>'Sovereign Ratings (Moody''s,S&amp;P)'!C72</f>
        <v>B3</v>
      </c>
      <c r="C72" s="192" t="s">
        <v>145</v>
      </c>
      <c r="D72" s="75" t="str">
        <f t="shared" si="4"/>
        <v>NA</v>
      </c>
      <c r="H72" s="57" t="s">
        <v>18</v>
      </c>
      <c r="I72" s="27">
        <v>1.35E-2</v>
      </c>
      <c r="J72" s="27">
        <f t="shared" si="3"/>
        <v>1.0699999999999999E-2</v>
      </c>
    </row>
    <row r="73" spans="1:10" ht="16">
      <c r="A73" s="57" t="str">
        <f>'Sovereign Ratings (Moody''s,S&amp;P)'!A73</f>
        <v>Japan</v>
      </c>
      <c r="B73" s="72" t="str">
        <f>'Sovereign Ratings (Moody''s,S&amp;P)'!C73</f>
        <v>A1</v>
      </c>
      <c r="C73" s="192">
        <v>4.7000000000000002E-3</v>
      </c>
      <c r="D73" s="75">
        <f t="shared" si="4"/>
        <v>1.9000000000000002E-3</v>
      </c>
      <c r="H73" s="57" t="s">
        <v>193</v>
      </c>
      <c r="I73" s="27">
        <v>2.3E-3</v>
      </c>
      <c r="J73" s="27">
        <f t="shared" si="3"/>
        <v>-5.0000000000000001E-4</v>
      </c>
    </row>
    <row r="74" spans="1:10" ht="16">
      <c r="A74" s="57" t="str">
        <f>'Sovereign Ratings (Moody''s,S&amp;P)'!A74</f>
        <v>Jersey (States of)</v>
      </c>
      <c r="B74" s="72" t="str">
        <f>'Sovereign Ratings (Moody''s,S&amp;P)'!C74</f>
        <v>Aa3</v>
      </c>
      <c r="C74" s="192" t="s">
        <v>145</v>
      </c>
      <c r="D74" s="75" t="str">
        <f t="shared" si="4"/>
        <v>NA</v>
      </c>
      <c r="H74" s="57" t="s">
        <v>21</v>
      </c>
      <c r="I74" s="27">
        <v>3.5999999999999999E-3</v>
      </c>
      <c r="J74" s="27">
        <f t="shared" si="3"/>
        <v>7.9999999999999993E-4</v>
      </c>
    </row>
    <row r="75" spans="1:10" ht="16">
      <c r="A75" s="57" t="str">
        <f>'Sovereign Ratings (Moody''s,S&amp;P)'!A75</f>
        <v>Jordan</v>
      </c>
      <c r="B75" s="72" t="str">
        <f>'Sovereign Ratings (Moody''s,S&amp;P)'!C75</f>
        <v>B1</v>
      </c>
      <c r="C75" s="192" t="s">
        <v>145</v>
      </c>
      <c r="D75" s="75" t="str">
        <f t="shared" si="4"/>
        <v>NA</v>
      </c>
      <c r="H75" s="57" t="s">
        <v>194</v>
      </c>
      <c r="I75" s="27">
        <v>3.4799999999999998E-2</v>
      </c>
      <c r="J75" s="27">
        <f t="shared" si="3"/>
        <v>3.2000000000000001E-2</v>
      </c>
    </row>
    <row r="76" spans="1:10" ht="16">
      <c r="A76" s="57" t="str">
        <f>'Sovereign Ratings (Moody''s,S&amp;P)'!A76</f>
        <v>Kazakhstan</v>
      </c>
      <c r="B76" s="72" t="str">
        <f>'Sovereign Ratings (Moody''s,S&amp;P)'!C76</f>
        <v>Baa3</v>
      </c>
      <c r="C76" s="192">
        <v>1.2800000000000001E-2</v>
      </c>
      <c r="D76" s="75">
        <f t="shared" si="4"/>
        <v>0.01</v>
      </c>
      <c r="H76" s="57" t="s">
        <v>23</v>
      </c>
      <c r="I76" s="27">
        <v>2.5000000000000001E-3</v>
      </c>
      <c r="J76" s="27">
        <f t="shared" si="3"/>
        <v>-2.9999999999999992E-4</v>
      </c>
    </row>
    <row r="77" spans="1:10" ht="16">
      <c r="A77" s="57" t="str">
        <f>'Sovereign Ratings (Moody''s,S&amp;P)'!A77</f>
        <v>Kenya</v>
      </c>
      <c r="B77" s="72" t="str">
        <f>'Sovereign Ratings (Moody''s,S&amp;P)'!C77</f>
        <v>B2</v>
      </c>
      <c r="C77" s="192">
        <v>3.9E-2</v>
      </c>
      <c r="D77" s="75">
        <f t="shared" si="4"/>
        <v>3.6200000000000003E-2</v>
      </c>
      <c r="H77" s="206" t="s">
        <v>24</v>
      </c>
      <c r="I77" s="27">
        <v>3.4500000000000003E-2</v>
      </c>
      <c r="J77" s="27">
        <f t="shared" si="3"/>
        <v>3.1700000000000006E-2</v>
      </c>
    </row>
    <row r="78" spans="1:10" ht="16">
      <c r="A78" s="57" t="str">
        <f>'Sovereign Ratings (Moody''s,S&amp;P)'!A78</f>
        <v>Korea</v>
      </c>
      <c r="B78" s="72" t="str">
        <f>'Sovereign Ratings (Moody''s,S&amp;P)'!C78</f>
        <v>Aa2</v>
      </c>
      <c r="C78" s="192">
        <v>6.4999999999999997E-3</v>
      </c>
      <c r="D78" s="75">
        <f t="shared" si="4"/>
        <v>3.6999999999999997E-3</v>
      </c>
      <c r="H78" s="57" t="s">
        <v>25</v>
      </c>
      <c r="I78" s="27">
        <v>4.9700000000000001E-2</v>
      </c>
      <c r="J78" s="27">
        <f t="shared" si="3"/>
        <v>4.6900000000000004E-2</v>
      </c>
    </row>
    <row r="79" spans="1:10" ht="16">
      <c r="A79" s="57" t="str">
        <f>'Sovereign Ratings (Moody''s,S&amp;P)'!A79</f>
        <v>Kuwait</v>
      </c>
      <c r="B79" s="72" t="str">
        <f>'Sovereign Ratings (Moody''s,S&amp;P)'!C79</f>
        <v>Aa2</v>
      </c>
      <c r="C79" s="192">
        <v>1.11E-2</v>
      </c>
      <c r="D79" s="75">
        <f t="shared" si="4"/>
        <v>8.3000000000000001E-3</v>
      </c>
      <c r="H79" s="57" t="s">
        <v>26</v>
      </c>
      <c r="I79" s="27">
        <v>1.1599999999999999E-2</v>
      </c>
      <c r="J79" s="27">
        <f t="shared" si="3"/>
        <v>8.7999999999999988E-3</v>
      </c>
    </row>
    <row r="80" spans="1:10" ht="16">
      <c r="A80" s="57" t="str">
        <f>'Sovereign Ratings (Moody''s,S&amp;P)'!A80</f>
        <v>Kyrgyzstan</v>
      </c>
      <c r="B80" s="72" t="str">
        <f>'Sovereign Ratings (Moody''s,S&amp;P)'!C80</f>
        <v>B2</v>
      </c>
      <c r="C80" s="192" t="s">
        <v>145</v>
      </c>
      <c r="D80" s="75" t="str">
        <f t="shared" si="4"/>
        <v>NA</v>
      </c>
      <c r="H80" s="57" t="s">
        <v>28</v>
      </c>
      <c r="I80" s="27">
        <v>1.49E-2</v>
      </c>
      <c r="J80" s="27">
        <f t="shared" si="3"/>
        <v>1.21E-2</v>
      </c>
    </row>
    <row r="81" spans="1:10" ht="16">
      <c r="A81" s="57" t="str">
        <f>'Sovereign Ratings (Moody''s,S&amp;P)'!A81</f>
        <v>Latvia</v>
      </c>
      <c r="B81" s="72" t="str">
        <f>'Sovereign Ratings (Moody''s,S&amp;P)'!C81</f>
        <v>A3</v>
      </c>
      <c r="C81" s="192">
        <v>1.04E-2</v>
      </c>
      <c r="D81" s="75">
        <f t="shared" si="4"/>
        <v>7.5999999999999991E-3</v>
      </c>
      <c r="H81" s="57" t="s">
        <v>29</v>
      </c>
      <c r="I81" s="27">
        <v>1.2999999999999999E-2</v>
      </c>
      <c r="J81" s="27">
        <f t="shared" si="3"/>
        <v>1.0199999999999999E-2</v>
      </c>
    </row>
    <row r="82" spans="1:10" ht="16">
      <c r="A82" s="57" t="str">
        <f>'Sovereign Ratings (Moody''s,S&amp;P)'!A82</f>
        <v>Lebanon</v>
      </c>
      <c r="B82" s="72" t="str">
        <f>'Sovereign Ratings (Moody''s,S&amp;P)'!C82</f>
        <v>B3</v>
      </c>
      <c r="C82" s="192">
        <v>6.3500000000000001E-2</v>
      </c>
      <c r="D82" s="75">
        <f t="shared" si="4"/>
        <v>6.0700000000000004E-2</v>
      </c>
      <c r="H82" s="57" t="s">
        <v>30</v>
      </c>
      <c r="I82" s="27">
        <v>1.03E-2</v>
      </c>
      <c r="J82" s="27">
        <f t="shared" si="3"/>
        <v>7.4999999999999997E-3</v>
      </c>
    </row>
    <row r="83" spans="1:10" ht="16">
      <c r="A83" s="57" t="str">
        <f>'Sovereign Ratings (Moody''s,S&amp;P)'!A83</f>
        <v>Liechtenstein</v>
      </c>
      <c r="B83" s="72" t="str">
        <f>'Sovereign Ratings (Moody''s,S&amp;P)'!C83</f>
        <v>Aaa</v>
      </c>
      <c r="C83" s="192" t="s">
        <v>145</v>
      </c>
      <c r="D83" s="75" t="str">
        <f t="shared" si="4"/>
        <v>NA</v>
      </c>
      <c r="H83" s="57" t="s">
        <v>195</v>
      </c>
      <c r="I83" s="27">
        <v>1.41E-2</v>
      </c>
      <c r="J83" s="27">
        <f t="shared" si="3"/>
        <v>1.1299999999999999E-2</v>
      </c>
    </row>
    <row r="84" spans="1:10" ht="16">
      <c r="A84" s="57" t="str">
        <f>'Sovereign Ratings (Moody''s,S&amp;P)'!A84</f>
        <v>Lithuania</v>
      </c>
      <c r="B84" s="72" t="str">
        <f>'Sovereign Ratings (Moody''s,S&amp;P)'!C84</f>
        <v>A3</v>
      </c>
      <c r="C84" s="192">
        <v>1.0200000000000001E-2</v>
      </c>
      <c r="D84" s="75">
        <f t="shared" si="4"/>
        <v>7.4000000000000003E-3</v>
      </c>
      <c r="H84" s="57" t="s">
        <v>76</v>
      </c>
      <c r="I84" s="27">
        <v>1.43E-2</v>
      </c>
      <c r="J84" s="27">
        <f t="shared" si="3"/>
        <v>1.15E-2</v>
      </c>
    </row>
    <row r="85" spans="1:10" ht="16">
      <c r="A85" s="57" t="str">
        <f>'Sovereign Ratings (Moody''s,S&amp;P)'!A85</f>
        <v>Luxembourg</v>
      </c>
      <c r="B85" s="72" t="str">
        <f>'Sovereign Ratings (Moody''s,S&amp;P)'!C85</f>
        <v>Aaa</v>
      </c>
      <c r="C85" s="192" t="s">
        <v>145</v>
      </c>
      <c r="D85" s="75" t="str">
        <f t="shared" si="4"/>
        <v>NA</v>
      </c>
      <c r="H85" s="57" t="s">
        <v>0</v>
      </c>
      <c r="I85" s="27">
        <v>1.4200000000000001E-2</v>
      </c>
      <c r="J85" s="27">
        <f t="shared" si="3"/>
        <v>1.14E-2</v>
      </c>
    </row>
    <row r="86" spans="1:10" ht="16">
      <c r="A86" s="57" t="str">
        <f>'Sovereign Ratings (Moody''s,S&amp;P)'!A86</f>
        <v>Macao</v>
      </c>
      <c r="B86" s="72" t="str">
        <f>'Sovereign Ratings (Moody''s,S&amp;P)'!C86</f>
        <v>Aa3</v>
      </c>
      <c r="C86" s="192" t="s">
        <v>145</v>
      </c>
      <c r="D86" s="75" t="str">
        <f t="shared" si="4"/>
        <v>NA</v>
      </c>
      <c r="H86" s="57" t="s">
        <v>1</v>
      </c>
      <c r="I86" s="27">
        <v>2.0199999999999999E-2</v>
      </c>
      <c r="J86" s="27">
        <f t="shared" si="3"/>
        <v>1.7399999999999999E-2</v>
      </c>
    </row>
    <row r="87" spans="1:10" ht="16">
      <c r="A87" s="57" t="str">
        <f>'Sovereign Ratings (Moody''s,S&amp;P)'!A87</f>
        <v>Macedonia</v>
      </c>
      <c r="B87" s="72" t="str">
        <f>'Sovereign Ratings (Moody''s,S&amp;P)'!C87</f>
        <v>Ba3</v>
      </c>
      <c r="C87" s="192" t="s">
        <v>145</v>
      </c>
      <c r="D87" s="75" t="str">
        <f t="shared" si="4"/>
        <v>NA</v>
      </c>
      <c r="H87" s="206" t="s">
        <v>234</v>
      </c>
      <c r="I87" s="27">
        <v>4.1300000000000003E-2</v>
      </c>
      <c r="J87" s="27">
        <f t="shared" si="3"/>
        <v>3.8500000000000006E-2</v>
      </c>
    </row>
    <row r="88" spans="1:10" ht="16">
      <c r="A88" s="57" t="str">
        <f>'Sovereign Ratings (Moody''s,S&amp;P)'!A88</f>
        <v>Malaysia</v>
      </c>
      <c r="B88" s="72" t="str">
        <f>'Sovereign Ratings (Moody''s,S&amp;P)'!C88</f>
        <v>A3</v>
      </c>
      <c r="C88" s="192">
        <v>1.54E-2</v>
      </c>
      <c r="D88" s="75">
        <f t="shared" si="4"/>
        <v>1.26E-2</v>
      </c>
      <c r="H88" s="57" t="s">
        <v>2</v>
      </c>
      <c r="I88" s="27">
        <v>1.4200000000000001E-2</v>
      </c>
      <c r="J88" s="27">
        <f t="shared" ref="J88:J103" si="5">I88-$I$102</f>
        <v>1.14E-2</v>
      </c>
    </row>
    <row r="89" spans="1:10" ht="16">
      <c r="A89" s="57" t="str">
        <f>'Sovereign Ratings (Moody''s,S&amp;P)'!A89</f>
        <v>Maldives</v>
      </c>
      <c r="B89" s="72" t="str">
        <f>'Sovereign Ratings (Moody''s,S&amp;P)'!C89</f>
        <v>B2</v>
      </c>
      <c r="C89" s="192" t="s">
        <v>145</v>
      </c>
      <c r="D89" s="75" t="str">
        <f t="shared" si="4"/>
        <v>NA</v>
      </c>
      <c r="H89" s="206" t="s">
        <v>137</v>
      </c>
      <c r="I89" s="27">
        <v>3.9699999999999999E-2</v>
      </c>
      <c r="J89" s="27">
        <f t="shared" si="5"/>
        <v>3.6900000000000002E-2</v>
      </c>
    </row>
    <row r="90" spans="1:10" ht="16">
      <c r="A90" s="57" t="str">
        <f>'Sovereign Ratings (Moody''s,S&amp;P)'!A90</f>
        <v>Malta</v>
      </c>
      <c r="B90" s="72" t="str">
        <f>'Sovereign Ratings (Moody''s,S&amp;P)'!C90</f>
        <v>A3</v>
      </c>
      <c r="C90" s="192" t="s">
        <v>145</v>
      </c>
      <c r="D90" s="75" t="str">
        <f t="shared" si="4"/>
        <v>NA</v>
      </c>
      <c r="H90" s="206" t="s">
        <v>149</v>
      </c>
      <c r="I90" s="27">
        <v>1.66E-2</v>
      </c>
      <c r="J90" s="27">
        <f t="shared" si="5"/>
        <v>1.38E-2</v>
      </c>
    </row>
    <row r="91" spans="1:10" ht="16">
      <c r="A91" s="57" t="str">
        <f>'Sovereign Ratings (Moody''s,S&amp;P)'!A91</f>
        <v>Mauritius</v>
      </c>
      <c r="B91" s="72" t="str">
        <f>'Sovereign Ratings (Moody''s,S&amp;P)'!C91</f>
        <v>Baa1</v>
      </c>
      <c r="C91" s="192" t="s">
        <v>145</v>
      </c>
      <c r="D91" s="75" t="str">
        <f t="shared" si="4"/>
        <v>NA</v>
      </c>
      <c r="H91" s="57" t="s">
        <v>62</v>
      </c>
      <c r="I91" s="27">
        <v>8.0999999999999996E-3</v>
      </c>
      <c r="J91" s="27">
        <f t="shared" si="5"/>
        <v>5.2999999999999992E-3</v>
      </c>
    </row>
    <row r="92" spans="1:10" ht="16">
      <c r="A92" s="57" t="str">
        <f>'Sovereign Ratings (Moody''s,S&amp;P)'!A92</f>
        <v>Mexico</v>
      </c>
      <c r="B92" s="72" t="str">
        <f>'Sovereign Ratings (Moody''s,S&amp;P)'!C92</f>
        <v>A3</v>
      </c>
      <c r="C92" s="192">
        <v>1.9599999999999999E-2</v>
      </c>
      <c r="D92" s="75">
        <f t="shared" si="4"/>
        <v>1.6799999999999999E-2</v>
      </c>
      <c r="H92" s="57" t="s">
        <v>196</v>
      </c>
      <c r="I92" s="27">
        <v>1.18E-2</v>
      </c>
      <c r="J92" s="27">
        <f t="shared" si="5"/>
        <v>8.9999999999999993E-3</v>
      </c>
    </row>
    <row r="93" spans="1:10" ht="16">
      <c r="A93" s="57" t="str">
        <f>'Sovereign Ratings (Moody''s,S&amp;P)'!A93</f>
        <v>Moldova</v>
      </c>
      <c r="B93" s="72" t="str">
        <f>'Sovereign Ratings (Moody''s,S&amp;P)'!C93</f>
        <v>B3</v>
      </c>
      <c r="C93" s="192" t="s">
        <v>145</v>
      </c>
      <c r="D93" s="75" t="str">
        <f t="shared" si="4"/>
        <v>NA</v>
      </c>
      <c r="H93" s="57" t="s">
        <v>78</v>
      </c>
      <c r="I93" s="27">
        <v>2.6700000000000002E-2</v>
      </c>
      <c r="J93" s="27">
        <f t="shared" si="5"/>
        <v>2.3900000000000001E-2</v>
      </c>
    </row>
    <row r="94" spans="1:10" ht="16">
      <c r="A94" s="57" t="str">
        <f>'Sovereign Ratings (Moody''s,S&amp;P)'!A94</f>
        <v>Mongolia</v>
      </c>
      <c r="B94" s="72" t="str">
        <f>'Sovereign Ratings (Moody''s,S&amp;P)'!C94</f>
        <v>B3</v>
      </c>
      <c r="C94" s="192" t="s">
        <v>145</v>
      </c>
      <c r="D94" s="75" t="str">
        <f t="shared" si="4"/>
        <v>NA</v>
      </c>
      <c r="H94" s="57" t="s">
        <v>140</v>
      </c>
      <c r="I94" s="27">
        <v>9.7999999999999997E-3</v>
      </c>
      <c r="J94" s="27">
        <f t="shared" si="5"/>
        <v>6.9999999999999993E-3</v>
      </c>
    </row>
    <row r="95" spans="1:10" ht="16">
      <c r="A95" s="57" t="str">
        <f>'Sovereign Ratings (Moody''s,S&amp;P)'!A95</f>
        <v>Montenegro</v>
      </c>
      <c r="B95" s="72" t="str">
        <f>'Sovereign Ratings (Moody''s,S&amp;P)'!C95</f>
        <v>B1</v>
      </c>
      <c r="C95" s="192" t="s">
        <v>145</v>
      </c>
      <c r="D95" s="75" t="str">
        <f t="shared" si="4"/>
        <v>NA</v>
      </c>
      <c r="H95" s="57" t="s">
        <v>34</v>
      </c>
      <c r="I95" s="27">
        <v>2.0999999999999999E-3</v>
      </c>
      <c r="J95" s="27">
        <f t="shared" si="5"/>
        <v>-7.000000000000001E-4</v>
      </c>
    </row>
    <row r="96" spans="1:10" ht="16">
      <c r="A96" s="57" t="str">
        <f>'Sovereign Ratings (Moody''s,S&amp;P)'!A96</f>
        <v>Montserrat</v>
      </c>
      <c r="B96" s="72" t="str">
        <f>'Sovereign Ratings (Moody''s,S&amp;P)'!C96</f>
        <v>Baa3</v>
      </c>
      <c r="C96" s="192" t="s">
        <v>145</v>
      </c>
      <c r="D96" s="75" t="str">
        <f t="shared" si="4"/>
        <v>NA</v>
      </c>
      <c r="H96" s="57" t="s">
        <v>35</v>
      </c>
      <c r="I96" s="27">
        <v>2.0999999999999999E-3</v>
      </c>
      <c r="J96" s="27">
        <f t="shared" si="5"/>
        <v>-7.000000000000001E-4</v>
      </c>
    </row>
    <row r="97" spans="1:10" ht="16">
      <c r="A97" s="57" t="str">
        <f>'Sovereign Ratings (Moody''s,S&amp;P)'!A97</f>
        <v>Morocco</v>
      </c>
      <c r="B97" s="72" t="str">
        <f>'Sovereign Ratings (Moody''s,S&amp;P)'!C97</f>
        <v>Ba1</v>
      </c>
      <c r="C97" s="192">
        <v>1.95E-2</v>
      </c>
      <c r="D97" s="75">
        <f t="shared" si="4"/>
        <v>1.67E-2</v>
      </c>
      <c r="H97" s="57" t="s">
        <v>66</v>
      </c>
      <c r="I97" s="27">
        <v>8.3000000000000001E-3</v>
      </c>
      <c r="J97" s="27">
        <f t="shared" si="5"/>
        <v>5.4999999999999997E-3</v>
      </c>
    </row>
    <row r="98" spans="1:10" ht="16">
      <c r="A98" s="57" t="str">
        <f>'Sovereign Ratings (Moody''s,S&amp;P)'!A98</f>
        <v>Mozambique</v>
      </c>
      <c r="B98" s="72" t="str">
        <f>'Sovereign Ratings (Moody''s,S&amp;P)'!C98</f>
        <v>Caa3</v>
      </c>
      <c r="C98" s="192" t="s">
        <v>145</v>
      </c>
      <c r="D98" s="75" t="str">
        <f t="shared" ref="D98:D129" si="6">IF(C98="NA","NA",IF(C98&gt;$C$148,C98-$C$148,0))</f>
        <v>NA</v>
      </c>
      <c r="H98" s="57" t="s">
        <v>79</v>
      </c>
      <c r="I98" s="27">
        <v>3.5000000000000003E-2</v>
      </c>
      <c r="J98" s="27">
        <f t="shared" si="5"/>
        <v>3.2200000000000006E-2</v>
      </c>
    </row>
    <row r="99" spans="1:10" ht="16">
      <c r="A99" s="57" t="str">
        <f>'Sovereign Ratings (Moody''s,S&amp;P)'!A99</f>
        <v>Namibia</v>
      </c>
      <c r="B99" s="72" t="str">
        <f>'Sovereign Ratings (Moody''s,S&amp;P)'!C99</f>
        <v>Ba1</v>
      </c>
      <c r="C99" s="192" t="s">
        <v>145</v>
      </c>
      <c r="D99" s="75" t="str">
        <f t="shared" si="6"/>
        <v>NA</v>
      </c>
      <c r="H99" s="57" t="s">
        <v>67</v>
      </c>
      <c r="I99" s="27">
        <v>3.8399999999999997E-2</v>
      </c>
      <c r="J99" s="27">
        <f t="shared" si="5"/>
        <v>3.56E-2</v>
      </c>
    </row>
    <row r="100" spans="1:10" ht="16">
      <c r="A100" s="57" t="str">
        <f>'Sovereign Ratings (Moody''s,S&amp;P)'!A100</f>
        <v>Netherlands</v>
      </c>
      <c r="B100" s="72" t="str">
        <f>'Sovereign Ratings (Moody''s,S&amp;P)'!C100</f>
        <v>Aaa</v>
      </c>
      <c r="C100" s="192">
        <v>2.3E-3</v>
      </c>
      <c r="D100" s="75">
        <f t="shared" si="6"/>
        <v>0</v>
      </c>
      <c r="H100" s="57" t="s">
        <v>69</v>
      </c>
      <c r="I100" s="27">
        <v>5.4699999999999999E-2</v>
      </c>
      <c r="J100" s="27">
        <f t="shared" si="5"/>
        <v>5.1900000000000002E-2</v>
      </c>
    </row>
    <row r="101" spans="1:10" ht="16">
      <c r="A101" s="57" t="str">
        <f>'Sovereign Ratings (Moody''s,S&amp;P)'!A101</f>
        <v>New Zealand</v>
      </c>
      <c r="B101" s="72" t="str">
        <f>'Sovereign Ratings (Moody''s,S&amp;P)'!C101</f>
        <v>Aaa</v>
      </c>
      <c r="C101" s="192">
        <v>3.5999999999999999E-3</v>
      </c>
      <c r="D101" s="75">
        <f t="shared" si="6"/>
        <v>7.9999999999999993E-4</v>
      </c>
      <c r="H101" s="57" t="s">
        <v>58</v>
      </c>
      <c r="I101" s="27">
        <v>4.4000000000000003E-3</v>
      </c>
      <c r="J101" s="27">
        <f t="shared" si="5"/>
        <v>1.6000000000000003E-3</v>
      </c>
    </row>
    <row r="102" spans="1:10" ht="16">
      <c r="A102" s="57" t="str">
        <f>'Sovereign Ratings (Moody''s,S&amp;P)'!A102</f>
        <v>Nicaragua</v>
      </c>
      <c r="B102" s="72" t="str">
        <f>'Sovereign Ratings (Moody''s,S&amp;P)'!C102</f>
        <v>B2</v>
      </c>
      <c r="C102" s="192" t="s">
        <v>145</v>
      </c>
      <c r="D102" s="75" t="str">
        <f t="shared" si="6"/>
        <v>NA</v>
      </c>
      <c r="H102" s="57" t="s">
        <v>366</v>
      </c>
      <c r="I102" s="27">
        <v>2.8E-3</v>
      </c>
      <c r="J102" s="27">
        <f t="shared" si="5"/>
        <v>0</v>
      </c>
    </row>
    <row r="103" spans="1:10" ht="16">
      <c r="A103" s="57" t="str">
        <f>'Sovereign Ratings (Moody''s,S&amp;P)'!A103</f>
        <v>Nigeria</v>
      </c>
      <c r="B103" s="72" t="str">
        <f>'Sovereign Ratings (Moody''s,S&amp;P)'!C103</f>
        <v>B2</v>
      </c>
      <c r="C103" s="192">
        <v>3.4799999999999998E-2</v>
      </c>
      <c r="D103" s="75">
        <f t="shared" si="6"/>
        <v>3.2000000000000001E-2</v>
      </c>
      <c r="H103" s="206" t="s">
        <v>70</v>
      </c>
      <c r="I103" s="27">
        <v>1.95E-2</v>
      </c>
      <c r="J103" s="27">
        <f t="shared" si="5"/>
        <v>1.67E-2</v>
      </c>
    </row>
    <row r="104" spans="1:10" ht="16">
      <c r="A104" s="57" t="str">
        <f>'Sovereign Ratings (Moody''s,S&amp;P)'!A104</f>
        <v>Norway</v>
      </c>
      <c r="B104" s="72" t="str">
        <f>'Sovereign Ratings (Moody''s,S&amp;P)'!C104</f>
        <v>Aaa</v>
      </c>
      <c r="C104" s="192">
        <v>2.5000000000000001E-3</v>
      </c>
      <c r="D104" s="75">
        <f t="shared" si="6"/>
        <v>0</v>
      </c>
      <c r="H104" s="57" t="s">
        <v>71</v>
      </c>
      <c r="I104" s="27" t="s">
        <v>145</v>
      </c>
      <c r="J104" s="27" t="s">
        <v>145</v>
      </c>
    </row>
    <row r="105" spans="1:10" ht="16">
      <c r="A105" s="57" t="str">
        <f>'Sovereign Ratings (Moody''s,S&amp;P)'!A105</f>
        <v>Oman</v>
      </c>
      <c r="B105" s="72" t="str">
        <f>'Sovereign Ratings (Moody''s,S&amp;P)'!C105</f>
        <v>Baa3</v>
      </c>
      <c r="C105" s="192">
        <v>3.4500000000000003E-2</v>
      </c>
      <c r="D105" s="75">
        <f t="shared" si="6"/>
        <v>3.1700000000000006E-2</v>
      </c>
      <c r="H105" s="57" t="s">
        <v>72</v>
      </c>
      <c r="I105" s="27">
        <v>2.18E-2</v>
      </c>
      <c r="J105" s="27">
        <f>I105-$I$102</f>
        <v>1.9E-2</v>
      </c>
    </row>
    <row r="106" spans="1:10" ht="16">
      <c r="A106" s="57" t="str">
        <f>'Sovereign Ratings (Moody''s,S&amp;P)'!A106</f>
        <v>Pakistan</v>
      </c>
      <c r="B106" s="72" t="str">
        <f>'Sovereign Ratings (Moody''s,S&amp;P)'!C106</f>
        <v>B3</v>
      </c>
      <c r="C106" s="192">
        <v>4.9700000000000001E-2</v>
      </c>
      <c r="D106" s="75">
        <f t="shared" si="6"/>
        <v>4.6900000000000004E-2</v>
      </c>
    </row>
    <row r="107" spans="1:10" ht="16">
      <c r="A107" s="57" t="str">
        <f>'Sovereign Ratings (Moody''s,S&amp;P)'!A107</f>
        <v>Panama</v>
      </c>
      <c r="B107" s="72" t="str">
        <f>'Sovereign Ratings (Moody''s,S&amp;P)'!C107</f>
        <v>Baa2</v>
      </c>
      <c r="C107" s="192">
        <v>1.1599999999999999E-2</v>
      </c>
      <c r="D107" s="75">
        <f t="shared" si="6"/>
        <v>8.7999999999999988E-3</v>
      </c>
    </row>
    <row r="108" spans="1:10" ht="16">
      <c r="A108" s="57" t="str">
        <f>'Sovereign Ratings (Moody''s,S&amp;P)'!A108</f>
        <v>Papua New Guinea</v>
      </c>
      <c r="B108" s="72" t="str">
        <f>'Sovereign Ratings (Moody''s,S&amp;P)'!C108</f>
        <v>B2</v>
      </c>
      <c r="C108" s="192" t="s">
        <v>145</v>
      </c>
      <c r="D108" s="75" t="str">
        <f t="shared" si="6"/>
        <v>NA</v>
      </c>
    </row>
    <row r="109" spans="1:10" ht="16">
      <c r="A109" s="57" t="str">
        <f>'Sovereign Ratings (Moody''s,S&amp;P)'!A109</f>
        <v>Paraguay</v>
      </c>
      <c r="B109" s="72" t="str">
        <f>'Sovereign Ratings (Moody''s,S&amp;P)'!C109</f>
        <v>Ba1</v>
      </c>
      <c r="C109" s="192" t="s">
        <v>145</v>
      </c>
      <c r="D109" s="75" t="str">
        <f t="shared" si="6"/>
        <v>NA</v>
      </c>
    </row>
    <row r="110" spans="1:10" ht="16">
      <c r="A110" s="57" t="str">
        <f>'Sovereign Ratings (Moody''s,S&amp;P)'!A110</f>
        <v>Peru</v>
      </c>
      <c r="B110" s="72" t="str">
        <f>'Sovereign Ratings (Moody''s,S&amp;P)'!C110</f>
        <v>A3</v>
      </c>
      <c r="C110" s="192">
        <v>1.49E-2</v>
      </c>
      <c r="D110" s="75">
        <f t="shared" si="6"/>
        <v>1.21E-2</v>
      </c>
    </row>
    <row r="111" spans="1:10" ht="16">
      <c r="A111" s="57" t="str">
        <f>'Sovereign Ratings (Moody''s,S&amp;P)'!A111</f>
        <v>Philippines</v>
      </c>
      <c r="B111" s="72" t="str">
        <f>'Sovereign Ratings (Moody''s,S&amp;P)'!C111</f>
        <v>Baa2</v>
      </c>
      <c r="C111" s="192">
        <v>1.2999999999999999E-2</v>
      </c>
      <c r="D111" s="75">
        <f t="shared" si="6"/>
        <v>1.0199999999999999E-2</v>
      </c>
    </row>
    <row r="112" spans="1:10" ht="16">
      <c r="A112" s="57" t="str">
        <f>'Sovereign Ratings (Moody''s,S&amp;P)'!A112</f>
        <v>Poland</v>
      </c>
      <c r="B112" s="72" t="str">
        <f>'Sovereign Ratings (Moody''s,S&amp;P)'!C112</f>
        <v>A2</v>
      </c>
      <c r="C112" s="192">
        <v>1.03E-2</v>
      </c>
      <c r="D112" s="75">
        <f t="shared" si="6"/>
        <v>7.4999999999999997E-3</v>
      </c>
    </row>
    <row r="113" spans="1:4" ht="16">
      <c r="A113" s="57" t="str">
        <f>'Sovereign Ratings (Moody''s,S&amp;P)'!A113</f>
        <v>Portugal</v>
      </c>
      <c r="B113" s="72" t="str">
        <f>'Sovereign Ratings (Moody''s,S&amp;P)'!C113</f>
        <v>Ba1</v>
      </c>
      <c r="C113" s="192">
        <v>1.41E-2</v>
      </c>
      <c r="D113" s="75">
        <f t="shared" si="6"/>
        <v>1.1299999999999999E-2</v>
      </c>
    </row>
    <row r="114" spans="1:4" ht="16">
      <c r="A114" s="57" t="str">
        <f>'Sovereign Ratings (Moody''s,S&amp;P)'!A114</f>
        <v>Qatar</v>
      </c>
      <c r="B114" s="72" t="str">
        <f>'Sovereign Ratings (Moody''s,S&amp;P)'!C114</f>
        <v>Aa3</v>
      </c>
      <c r="C114" s="192">
        <v>1.43E-2</v>
      </c>
      <c r="D114" s="75">
        <f t="shared" si="6"/>
        <v>1.15E-2</v>
      </c>
    </row>
    <row r="115" spans="1:4" ht="16">
      <c r="A115" s="57" t="str">
        <f>'Sovereign Ratings (Moody''s,S&amp;P)'!A115</f>
        <v>Ras Al Khaimah (Emirate of)</v>
      </c>
      <c r="B115" s="72" t="str">
        <f>'Sovereign Ratings (Moody''s,S&amp;P)'!C115</f>
        <v>A2</v>
      </c>
      <c r="C115" s="192" t="s">
        <v>145</v>
      </c>
      <c r="D115" s="75" t="str">
        <f t="shared" si="6"/>
        <v>NA</v>
      </c>
    </row>
    <row r="116" spans="1:4" ht="16">
      <c r="A116" s="57" t="str">
        <f>'Sovereign Ratings (Moody''s,S&amp;P)'!A116</f>
        <v>Romania</v>
      </c>
      <c r="B116" s="72" t="str">
        <f>'Sovereign Ratings (Moody''s,S&amp;P)'!C116</f>
        <v>Baa3</v>
      </c>
      <c r="C116" s="192">
        <v>1.4200000000000001E-2</v>
      </c>
      <c r="D116" s="75">
        <f t="shared" si="6"/>
        <v>1.14E-2</v>
      </c>
    </row>
    <row r="117" spans="1:4" ht="16">
      <c r="A117" s="57" t="str">
        <f>'Sovereign Ratings (Moody''s,S&amp;P)'!A117</f>
        <v>Russia</v>
      </c>
      <c r="B117" s="72" t="str">
        <f>'Sovereign Ratings (Moody''s,S&amp;P)'!C117</f>
        <v>Ba1</v>
      </c>
      <c r="C117" s="192">
        <v>2.0199999999999999E-2</v>
      </c>
      <c r="D117" s="75">
        <f t="shared" si="6"/>
        <v>1.7399999999999999E-2</v>
      </c>
    </row>
    <row r="118" spans="1:4" ht="16">
      <c r="A118" s="57" t="str">
        <f>'Sovereign Ratings (Moody''s,S&amp;P)'!A118</f>
        <v>Rwanda</v>
      </c>
      <c r="B118" s="72" t="str">
        <f>'Sovereign Ratings (Moody''s,S&amp;P)'!C118</f>
        <v>B2</v>
      </c>
      <c r="C118" s="192">
        <v>4.1300000000000003E-2</v>
      </c>
      <c r="D118" s="75">
        <f t="shared" si="6"/>
        <v>3.8500000000000006E-2</v>
      </c>
    </row>
    <row r="119" spans="1:4" ht="16">
      <c r="A119" s="57" t="str">
        <f>'Sovereign Ratings (Moody''s,S&amp;P)'!A119</f>
        <v>Saudi Arabia</v>
      </c>
      <c r="B119" s="72" t="str">
        <f>'Sovereign Ratings (Moody''s,S&amp;P)'!C119</f>
        <v>A1</v>
      </c>
      <c r="C119" s="192">
        <v>1.4200000000000001E-2</v>
      </c>
      <c r="D119" s="75">
        <f t="shared" si="6"/>
        <v>1.14E-2</v>
      </c>
    </row>
    <row r="120" spans="1:4" ht="16">
      <c r="A120" s="57" t="str">
        <f>'Sovereign Ratings (Moody''s,S&amp;P)'!A120</f>
        <v>Senegal</v>
      </c>
      <c r="B120" s="72" t="str">
        <f>'Sovereign Ratings (Moody''s,S&amp;P)'!C120</f>
        <v>Ba3</v>
      </c>
      <c r="C120" s="192">
        <v>3.9699999999999999E-2</v>
      </c>
      <c r="D120" s="75">
        <f t="shared" si="6"/>
        <v>3.6900000000000002E-2</v>
      </c>
    </row>
    <row r="121" spans="1:4" ht="16">
      <c r="A121" s="57" t="str">
        <f>'Sovereign Ratings (Moody''s,S&amp;P)'!A121</f>
        <v>Serbia</v>
      </c>
      <c r="B121" s="72" t="str">
        <f>'Sovereign Ratings (Moody''s,S&amp;P)'!C121</f>
        <v>Ba3</v>
      </c>
      <c r="C121" s="192">
        <v>1.66E-2</v>
      </c>
      <c r="D121" s="75">
        <f t="shared" si="6"/>
        <v>1.38E-2</v>
      </c>
    </row>
    <row r="122" spans="1:4" ht="16">
      <c r="A122" s="57" t="str">
        <f>'Sovereign Ratings (Moody''s,S&amp;P)'!A122</f>
        <v>Sharjah</v>
      </c>
      <c r="B122" s="72" t="str">
        <f>'Sovereign Ratings (Moody''s,S&amp;P)'!C122</f>
        <v>A3</v>
      </c>
      <c r="C122" s="192" t="s">
        <v>145</v>
      </c>
      <c r="D122" s="75" t="str">
        <f t="shared" si="6"/>
        <v>NA</v>
      </c>
    </row>
    <row r="123" spans="1:4" ht="16">
      <c r="A123" s="57" t="str">
        <f>'Sovereign Ratings (Moody''s,S&amp;P)'!A123</f>
        <v>Singapore</v>
      </c>
      <c r="B123" s="72" t="str">
        <f>'Sovereign Ratings (Moody''s,S&amp;P)'!C123</f>
        <v>Aaa</v>
      </c>
      <c r="C123" s="192" t="s">
        <v>145</v>
      </c>
      <c r="D123" s="75" t="str">
        <f t="shared" si="6"/>
        <v>NA</v>
      </c>
    </row>
    <row r="124" spans="1:4" ht="16">
      <c r="A124" s="57" t="str">
        <f>'Sovereign Ratings (Moody''s,S&amp;P)'!A124</f>
        <v>Slovakia</v>
      </c>
      <c r="B124" s="72" t="str">
        <f>'Sovereign Ratings (Moody''s,S&amp;P)'!C124</f>
        <v>A2</v>
      </c>
      <c r="C124" s="192">
        <v>8.0999999999999996E-3</v>
      </c>
      <c r="D124" s="75">
        <f t="shared" si="6"/>
        <v>5.2999999999999992E-3</v>
      </c>
    </row>
    <row r="125" spans="1:4" ht="16">
      <c r="A125" s="57" t="str">
        <f>'Sovereign Ratings (Moody''s,S&amp;P)'!A125</f>
        <v>Slovenia</v>
      </c>
      <c r="B125" s="72" t="str">
        <f>'Sovereign Ratings (Moody''s,S&amp;P)'!C125</f>
        <v>Baa1</v>
      </c>
      <c r="C125" s="192">
        <v>1.18E-2</v>
      </c>
      <c r="D125" s="75">
        <f t="shared" si="6"/>
        <v>8.9999999999999993E-3</v>
      </c>
    </row>
    <row r="126" spans="1:4" ht="16">
      <c r="A126" s="57" t="str">
        <f>'Sovereign Ratings (Moody''s,S&amp;P)'!A126</f>
        <v>Solomon Islands</v>
      </c>
      <c r="B126" s="72" t="str">
        <f>'Sovereign Ratings (Moody''s,S&amp;P)'!C126</f>
        <v>B3</v>
      </c>
      <c r="C126" s="192" t="s">
        <v>145</v>
      </c>
      <c r="D126" s="75" t="str">
        <f t="shared" si="6"/>
        <v>NA</v>
      </c>
    </row>
    <row r="127" spans="1:4" ht="16">
      <c r="A127" s="57" t="str">
        <f>'Sovereign Ratings (Moody''s,S&amp;P)'!A127</f>
        <v>South Africa</v>
      </c>
      <c r="B127" s="72" t="str">
        <f>'Sovereign Ratings (Moody''s,S&amp;P)'!C127</f>
        <v>Baa3</v>
      </c>
      <c r="C127" s="192">
        <v>2.6700000000000002E-2</v>
      </c>
      <c r="D127" s="75">
        <f t="shared" si="6"/>
        <v>2.3900000000000001E-2</v>
      </c>
    </row>
    <row r="128" spans="1:4" ht="16">
      <c r="A128" s="57" t="str">
        <f>'Sovereign Ratings (Moody''s,S&amp;P)'!A128</f>
        <v>Spain</v>
      </c>
      <c r="B128" s="72" t="str">
        <f>'Sovereign Ratings (Moody''s,S&amp;P)'!C128</f>
        <v>Baa1</v>
      </c>
      <c r="C128" s="192">
        <v>9.7999999999999997E-3</v>
      </c>
      <c r="D128" s="75">
        <f t="shared" si="6"/>
        <v>6.9999999999999993E-3</v>
      </c>
    </row>
    <row r="129" spans="1:4" ht="16">
      <c r="A129" s="57" t="str">
        <f>'Sovereign Ratings (Moody''s,S&amp;P)'!A129</f>
        <v>Sri Lanka</v>
      </c>
      <c r="B129" s="72" t="str">
        <f>'Sovereign Ratings (Moody''s,S&amp;P)'!C129</f>
        <v>B1</v>
      </c>
      <c r="C129" s="192" t="s">
        <v>145</v>
      </c>
      <c r="D129" s="75" t="str">
        <f t="shared" si="6"/>
        <v>NA</v>
      </c>
    </row>
    <row r="130" spans="1:4" ht="16">
      <c r="A130" s="57" t="str">
        <f>'Sovereign Ratings (Moody''s,S&amp;P)'!A130</f>
        <v>St. Maarten</v>
      </c>
      <c r="B130" s="72" t="str">
        <f>'Sovereign Ratings (Moody''s,S&amp;P)'!C130</f>
        <v>Baa2</v>
      </c>
      <c r="C130" s="192" t="s">
        <v>145</v>
      </c>
      <c r="D130" s="75" t="str">
        <f t="shared" ref="D130:D152" si="7">IF(C130="NA","NA",IF(C130&gt;$C$148,C130-$C$148,0))</f>
        <v>NA</v>
      </c>
    </row>
    <row r="131" spans="1:4" ht="16">
      <c r="A131" s="57" t="str">
        <f>'Sovereign Ratings (Moody''s,S&amp;P)'!A131</f>
        <v>St. Vincent &amp; the Grenadines</v>
      </c>
      <c r="B131" s="72" t="str">
        <f>'Sovereign Ratings (Moody''s,S&amp;P)'!C131</f>
        <v>B3</v>
      </c>
      <c r="C131" s="192" t="s">
        <v>145</v>
      </c>
      <c r="D131" s="75" t="str">
        <f t="shared" si="7"/>
        <v>NA</v>
      </c>
    </row>
    <row r="132" spans="1:4" ht="16">
      <c r="A132" s="57" t="str">
        <f>'Sovereign Ratings (Moody''s,S&amp;P)'!A132</f>
        <v>Suriname</v>
      </c>
      <c r="B132" s="72" t="str">
        <f>'Sovereign Ratings (Moody''s,S&amp;P)'!C132</f>
        <v>B2</v>
      </c>
      <c r="C132" s="192" t="s">
        <v>145</v>
      </c>
      <c r="D132" s="75" t="str">
        <f t="shared" si="7"/>
        <v>NA</v>
      </c>
    </row>
    <row r="133" spans="1:4" ht="16">
      <c r="A133" s="57" t="str">
        <f>'Sovereign Ratings (Moody''s,S&amp;P)'!A133</f>
        <v>Swaziland</v>
      </c>
      <c r="B133" s="72" t="str">
        <f>'Sovereign Ratings (Moody''s,S&amp;P)'!C133</f>
        <v>B2</v>
      </c>
      <c r="C133" s="192" t="s">
        <v>145</v>
      </c>
      <c r="D133" s="75" t="str">
        <f t="shared" si="7"/>
        <v>NA</v>
      </c>
    </row>
    <row r="134" spans="1:4" ht="16">
      <c r="A134" s="57" t="str">
        <f>'Sovereign Ratings (Moody''s,S&amp;P)'!A134</f>
        <v>Sweden</v>
      </c>
      <c r="B134" s="72" t="str">
        <f>'Sovereign Ratings (Moody''s,S&amp;P)'!C134</f>
        <v>Aaa</v>
      </c>
      <c r="C134" s="192">
        <v>2.0999999999999999E-3</v>
      </c>
      <c r="D134" s="75">
        <f t="shared" si="7"/>
        <v>0</v>
      </c>
    </row>
    <row r="135" spans="1:4" ht="16">
      <c r="A135" s="57" t="str">
        <f>'Sovereign Ratings (Moody''s,S&amp;P)'!A135</f>
        <v>Switzerland</v>
      </c>
      <c r="B135" s="72" t="str">
        <f>'Sovereign Ratings (Moody''s,S&amp;P)'!C135</f>
        <v>Aaa</v>
      </c>
      <c r="C135" s="192">
        <v>2.0999999999999999E-3</v>
      </c>
      <c r="D135" s="75">
        <f t="shared" si="7"/>
        <v>0</v>
      </c>
    </row>
    <row r="136" spans="1:4" ht="16">
      <c r="A136" s="57" t="str">
        <f>'Sovereign Ratings (Moody''s,S&amp;P)'!A136</f>
        <v>Taiwan</v>
      </c>
      <c r="B136" s="72" t="str">
        <f>'Sovereign Ratings (Moody''s,S&amp;P)'!C136</f>
        <v>Aa3</v>
      </c>
      <c r="C136" s="192" t="s">
        <v>145</v>
      </c>
      <c r="D136" s="75" t="str">
        <f t="shared" si="7"/>
        <v>NA</v>
      </c>
    </row>
    <row r="137" spans="1:4" ht="16">
      <c r="A137" s="57" t="str">
        <f>'Sovereign Ratings (Moody''s,S&amp;P)'!A137</f>
        <v>Tajikistan</v>
      </c>
      <c r="B137" s="72" t="str">
        <f>'Sovereign Ratings (Moody''s,S&amp;P)'!C137</f>
        <v>B3</v>
      </c>
      <c r="C137" s="192" t="s">
        <v>145</v>
      </c>
      <c r="D137" s="75" t="str">
        <f t="shared" si="7"/>
        <v>NA</v>
      </c>
    </row>
    <row r="138" spans="1:4" ht="16">
      <c r="A138" s="57" t="str">
        <f>'Sovereign Ratings (Moody''s,S&amp;P)'!A138</f>
        <v>Tanzania</v>
      </c>
      <c r="B138" s="72" t="str">
        <f>'Sovereign Ratings (Moody''s,S&amp;P)'!C138</f>
        <v>B1</v>
      </c>
      <c r="C138" s="192" t="s">
        <v>145</v>
      </c>
      <c r="D138" s="75" t="str">
        <f t="shared" si="7"/>
        <v>NA</v>
      </c>
    </row>
    <row r="139" spans="1:4" ht="16">
      <c r="A139" s="57" t="str">
        <f>'Sovereign Ratings (Moody''s,S&amp;P)'!A139</f>
        <v>Thailand</v>
      </c>
      <c r="B139" s="72" t="str">
        <f>'Sovereign Ratings (Moody''s,S&amp;P)'!C139</f>
        <v>Baa1</v>
      </c>
      <c r="C139" s="192">
        <v>8.3000000000000001E-3</v>
      </c>
      <c r="D139" s="75">
        <f t="shared" si="7"/>
        <v>5.4999999999999997E-3</v>
      </c>
    </row>
    <row r="140" spans="1:4" ht="16">
      <c r="A140" s="57" t="str">
        <f>'Sovereign Ratings (Moody''s,S&amp;P)'!A140</f>
        <v>Trinidad and Tobago</v>
      </c>
      <c r="B140" s="72" t="str">
        <f>'Sovereign Ratings (Moody''s,S&amp;P)'!C140</f>
        <v>Ba1</v>
      </c>
      <c r="C140" s="192" t="s">
        <v>145</v>
      </c>
      <c r="D140" s="75" t="str">
        <f t="shared" si="7"/>
        <v>NA</v>
      </c>
    </row>
    <row r="141" spans="1:4" ht="16">
      <c r="A141" s="57" t="str">
        <f>'Sovereign Ratings (Moody''s,S&amp;P)'!A141</f>
        <v>Tunisia</v>
      </c>
      <c r="B141" s="72" t="str">
        <f>'Sovereign Ratings (Moody''s,S&amp;P)'!C141</f>
        <v>B2</v>
      </c>
      <c r="C141" s="192">
        <v>3.5000000000000003E-2</v>
      </c>
      <c r="D141" s="75">
        <f t="shared" si="7"/>
        <v>3.2200000000000006E-2</v>
      </c>
    </row>
    <row r="142" spans="1:4" ht="16">
      <c r="A142" s="57" t="str">
        <f>'Sovereign Ratings (Moody''s,S&amp;P)'!A142</f>
        <v>Turkey</v>
      </c>
      <c r="B142" s="72" t="str">
        <f>'Sovereign Ratings (Moody''s,S&amp;P)'!C142</f>
        <v>Ba2</v>
      </c>
      <c r="C142" s="192">
        <v>3.8399999999999997E-2</v>
      </c>
      <c r="D142" s="75">
        <f t="shared" si="7"/>
        <v>3.56E-2</v>
      </c>
    </row>
    <row r="143" spans="1:4" ht="16">
      <c r="A143" s="57" t="str">
        <f>'Sovereign Ratings (Moody''s,S&amp;P)'!A143</f>
        <v>Turks and Caicos Islands</v>
      </c>
      <c r="B143" s="72" t="str">
        <f>'Sovereign Ratings (Moody''s,S&amp;P)'!C143</f>
        <v>Baa1</v>
      </c>
      <c r="C143" s="192" t="s">
        <v>145</v>
      </c>
      <c r="D143" s="75" t="str">
        <f t="shared" si="7"/>
        <v>NA</v>
      </c>
    </row>
    <row r="144" spans="1:4" ht="16">
      <c r="A144" s="57" t="str">
        <f>'Sovereign Ratings (Moody''s,S&amp;P)'!A144</f>
        <v>Uganda</v>
      </c>
      <c r="B144" s="72" t="str">
        <f>'Sovereign Ratings (Moody''s,S&amp;P)'!C144</f>
        <v>B2</v>
      </c>
      <c r="C144" s="192" t="s">
        <v>145</v>
      </c>
      <c r="D144" s="75" t="str">
        <f t="shared" si="7"/>
        <v>NA</v>
      </c>
    </row>
    <row r="145" spans="1:4" ht="16">
      <c r="A145" s="57" t="str">
        <f>'Sovereign Ratings (Moody''s,S&amp;P)'!A145</f>
        <v>Ukraine</v>
      </c>
      <c r="B145" s="72" t="str">
        <f>'Sovereign Ratings (Moody''s,S&amp;P)'!C145</f>
        <v>Caa2</v>
      </c>
      <c r="C145" s="192">
        <v>5.4699999999999999E-2</v>
      </c>
      <c r="D145" s="75">
        <f t="shared" si="7"/>
        <v>5.1900000000000002E-2</v>
      </c>
    </row>
    <row r="146" spans="1:4" ht="16">
      <c r="A146" s="57" t="str">
        <f>'Sovereign Ratings (Moody''s,S&amp;P)'!A146</f>
        <v>United Arab Emirates</v>
      </c>
      <c r="B146" s="72" t="str">
        <f>'Sovereign Ratings (Moody''s,S&amp;P)'!C146</f>
        <v>Aa2</v>
      </c>
      <c r="C146" s="192" t="s">
        <v>145</v>
      </c>
      <c r="D146" s="75" t="str">
        <f t="shared" si="7"/>
        <v>NA</v>
      </c>
    </row>
    <row r="147" spans="1:4" ht="16">
      <c r="A147" s="57" t="str">
        <f>'Sovereign Ratings (Moody''s,S&amp;P)'!A147</f>
        <v>United Kingdom</v>
      </c>
      <c r="B147" s="72" t="str">
        <f>'Sovereign Ratings (Moody''s,S&amp;P)'!C147</f>
        <v>Aa2</v>
      </c>
      <c r="C147" s="192">
        <v>4.4000000000000003E-3</v>
      </c>
      <c r="D147" s="75">
        <f t="shared" si="7"/>
        <v>1.6000000000000003E-3</v>
      </c>
    </row>
    <row r="148" spans="1:4" ht="16">
      <c r="A148" s="57" t="str">
        <f>'Sovereign Ratings (Moody''s,S&amp;P)'!A148</f>
        <v>United States</v>
      </c>
      <c r="B148" s="72" t="str">
        <f>'Sovereign Ratings (Moody''s,S&amp;P)'!C148</f>
        <v>Aaa</v>
      </c>
      <c r="C148" s="192">
        <v>2.8E-3</v>
      </c>
      <c r="D148" s="75">
        <f t="shared" si="7"/>
        <v>0</v>
      </c>
    </row>
    <row r="149" spans="1:4" ht="16">
      <c r="A149" s="57" t="str">
        <f>'Sovereign Ratings (Moody''s,S&amp;P)'!A149</f>
        <v>Uruguay</v>
      </c>
      <c r="B149" s="72" t="str">
        <f>'Sovereign Ratings (Moody''s,S&amp;P)'!C149</f>
        <v>Baa2</v>
      </c>
      <c r="C149" s="192">
        <v>1.95E-2</v>
      </c>
      <c r="D149" s="75">
        <f t="shared" si="7"/>
        <v>1.67E-2</v>
      </c>
    </row>
    <row r="150" spans="1:4" ht="16">
      <c r="A150" s="57" t="str">
        <f>'Sovereign Ratings (Moody''s,S&amp;P)'!A150</f>
        <v>Venezuela</v>
      </c>
      <c r="B150" s="72" t="str">
        <f>'Sovereign Ratings (Moody''s,S&amp;P)'!C150</f>
        <v>C</v>
      </c>
      <c r="C150" s="192" t="s">
        <v>145</v>
      </c>
      <c r="D150" s="75" t="str">
        <f t="shared" si="7"/>
        <v>NA</v>
      </c>
    </row>
    <row r="151" spans="1:4" ht="16">
      <c r="A151" s="57" t="str">
        <f>'Sovereign Ratings (Moody''s,S&amp;P)'!A151</f>
        <v>Vietnam</v>
      </c>
      <c r="B151" s="72" t="str">
        <f>'Sovereign Ratings (Moody''s,S&amp;P)'!C151</f>
        <v>B1</v>
      </c>
      <c r="C151" s="192">
        <v>2.18E-2</v>
      </c>
      <c r="D151" s="75">
        <f t="shared" si="7"/>
        <v>1.9E-2</v>
      </c>
    </row>
    <row r="152" spans="1:4" ht="16">
      <c r="A152" s="57" t="str">
        <f>'Sovereign Ratings (Moody''s,S&amp;P)'!A152</f>
        <v>Zambia</v>
      </c>
      <c r="B152" s="72" t="str">
        <f>'Sovereign Ratings (Moody''s,S&amp;P)'!C152</f>
        <v>B3</v>
      </c>
      <c r="C152" s="192" t="s">
        <v>145</v>
      </c>
      <c r="D152" s="75" t="str">
        <f t="shared" si="7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1"/>
  <sheetViews>
    <sheetView workbookViewId="0">
      <selection activeCell="H88" sqref="H88"/>
    </sheetView>
  </sheetViews>
  <sheetFormatPr baseColWidth="10" defaultRowHeight="12"/>
  <cols>
    <col min="1" max="1" width="12.1640625" style="22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ht="17">
      <c r="A1" s="138" t="s">
        <v>77</v>
      </c>
      <c r="B1" s="139" t="s">
        <v>412</v>
      </c>
      <c r="C1" s="140" t="s">
        <v>413</v>
      </c>
      <c r="D1" s="140" t="s">
        <v>414</v>
      </c>
      <c r="E1" s="141" t="s">
        <v>415</v>
      </c>
      <c r="F1" s="142" t="s">
        <v>410</v>
      </c>
      <c r="G1" s="143" t="s">
        <v>416</v>
      </c>
      <c r="H1" s="140" t="s">
        <v>417</v>
      </c>
    </row>
    <row r="2" spans="1:8" ht="13">
      <c r="A2" s="144" t="s">
        <v>86</v>
      </c>
      <c r="B2" s="145">
        <v>0.38109999999999999</v>
      </c>
      <c r="C2" s="146" t="s">
        <v>145</v>
      </c>
      <c r="D2" s="146" t="str">
        <f t="shared" ref="D2:D65" si="0">IF(C2="NA","NA",B2/C2)</f>
        <v>NA</v>
      </c>
      <c r="E2" s="147" t="s">
        <v>145</v>
      </c>
      <c r="F2" s="146" t="s">
        <v>145</v>
      </c>
      <c r="G2" s="148" t="str">
        <f t="shared" ref="G2:G65" si="1">IF(F2="NA","NA",E2/F2)</f>
        <v>NA</v>
      </c>
      <c r="H2" s="149" t="str">
        <f t="shared" ref="H2:H65" si="2">IF(G2="NA","NA",B2/G2)</f>
        <v>NA</v>
      </c>
    </row>
    <row r="3" spans="1:8" ht="13">
      <c r="A3" s="144" t="s">
        <v>134</v>
      </c>
      <c r="B3" s="145">
        <v>0.1348</v>
      </c>
      <c r="C3" s="146" t="s">
        <v>145</v>
      </c>
      <c r="D3" s="149" t="str">
        <f t="shared" si="0"/>
        <v>NA</v>
      </c>
      <c r="E3" s="147" t="s">
        <v>145</v>
      </c>
      <c r="F3" s="146" t="s">
        <v>145</v>
      </c>
      <c r="G3" s="148" t="str">
        <f t="shared" si="1"/>
        <v>NA</v>
      </c>
      <c r="H3" s="149" t="str">
        <f t="shared" si="2"/>
        <v>NA</v>
      </c>
    </row>
    <row r="4" spans="1:8" ht="13">
      <c r="A4" s="144" t="s">
        <v>146</v>
      </c>
      <c r="B4" s="145">
        <v>8.9599999999999999E-2</v>
      </c>
      <c r="C4" s="146" t="s">
        <v>145</v>
      </c>
      <c r="D4" s="149" t="str">
        <f t="shared" si="0"/>
        <v>NA</v>
      </c>
      <c r="E4" s="147" t="s">
        <v>145</v>
      </c>
      <c r="F4" s="146" t="s">
        <v>145</v>
      </c>
      <c r="G4" s="148" t="str">
        <f t="shared" si="1"/>
        <v>NA</v>
      </c>
      <c r="H4" s="149" t="str">
        <f t="shared" si="2"/>
        <v>NA</v>
      </c>
    </row>
    <row r="5" spans="1:8" ht="13">
      <c r="A5" s="144" t="s">
        <v>125</v>
      </c>
      <c r="B5" s="145">
        <v>4.8899999999999999E-2</v>
      </c>
      <c r="C5" s="146" t="s">
        <v>145</v>
      </c>
      <c r="D5" s="149" t="str">
        <f t="shared" si="0"/>
        <v>NA</v>
      </c>
      <c r="E5" s="147" t="s">
        <v>145</v>
      </c>
      <c r="F5" s="146" t="s">
        <v>145</v>
      </c>
      <c r="G5" s="148" t="str">
        <f t="shared" si="1"/>
        <v>NA</v>
      </c>
      <c r="H5" s="149" t="str">
        <f t="shared" si="2"/>
        <v>NA</v>
      </c>
    </row>
    <row r="6" spans="1:8" ht="13">
      <c r="A6" s="144" t="s">
        <v>228</v>
      </c>
      <c r="B6" s="145">
        <v>8.3299999999999999E-2</v>
      </c>
      <c r="C6" s="146" t="s">
        <v>145</v>
      </c>
      <c r="D6" s="149" t="str">
        <f t="shared" si="0"/>
        <v>NA</v>
      </c>
      <c r="E6" s="147" t="s">
        <v>145</v>
      </c>
      <c r="F6" s="146" t="s">
        <v>145</v>
      </c>
      <c r="G6" s="148" t="str">
        <f t="shared" si="1"/>
        <v>NA</v>
      </c>
      <c r="H6" s="149" t="str">
        <f t="shared" si="2"/>
        <v>NA</v>
      </c>
    </row>
    <row r="7" spans="1:8" ht="13">
      <c r="A7" s="144" t="s">
        <v>188</v>
      </c>
      <c r="B7" s="145">
        <v>0.43209999999999998</v>
      </c>
      <c r="C7" s="148">
        <v>0.45540000000000003</v>
      </c>
      <c r="D7" s="149">
        <f t="shared" si="0"/>
        <v>0.94883618796662261</v>
      </c>
      <c r="E7" s="147" t="s">
        <v>145</v>
      </c>
      <c r="F7" s="146" t="s">
        <v>145</v>
      </c>
      <c r="G7" s="148" t="str">
        <f t="shared" si="1"/>
        <v>NA</v>
      </c>
      <c r="H7" s="149" t="str">
        <f t="shared" si="2"/>
        <v>NA</v>
      </c>
    </row>
    <row r="8" spans="1:8" ht="13">
      <c r="A8" s="144" t="s">
        <v>117</v>
      </c>
      <c r="B8" s="145">
        <v>0.16930000000000001</v>
      </c>
      <c r="C8" s="146" t="s">
        <v>145</v>
      </c>
      <c r="D8" s="149" t="str">
        <f t="shared" si="0"/>
        <v>NA</v>
      </c>
      <c r="E8" s="147" t="s">
        <v>145</v>
      </c>
      <c r="F8" s="146" t="s">
        <v>145</v>
      </c>
      <c r="G8" s="148" t="str">
        <f t="shared" si="1"/>
        <v>NA</v>
      </c>
      <c r="H8" s="149" t="str">
        <f t="shared" si="2"/>
        <v>NA</v>
      </c>
    </row>
    <row r="9" spans="1:8" ht="13">
      <c r="A9" s="144" t="s">
        <v>119</v>
      </c>
      <c r="B9" s="145">
        <v>7.1400000000000005E-2</v>
      </c>
      <c r="C9" s="146" t="s">
        <v>145</v>
      </c>
      <c r="D9" s="149" t="str">
        <f t="shared" si="0"/>
        <v>NA</v>
      </c>
      <c r="E9" s="147" t="s">
        <v>145</v>
      </c>
      <c r="F9" s="146" t="s">
        <v>145</v>
      </c>
      <c r="G9" s="148" t="str">
        <f t="shared" si="1"/>
        <v>NA</v>
      </c>
      <c r="H9" s="149" t="str">
        <f t="shared" si="2"/>
        <v>NA</v>
      </c>
    </row>
    <row r="10" spans="1:8" ht="13">
      <c r="A10" s="144" t="s">
        <v>190</v>
      </c>
      <c r="B10" s="145">
        <v>0.109</v>
      </c>
      <c r="C10" s="146" t="s">
        <v>145</v>
      </c>
      <c r="D10" s="149" t="str">
        <f t="shared" si="0"/>
        <v>NA</v>
      </c>
      <c r="E10" s="147" t="s">
        <v>145</v>
      </c>
      <c r="F10" s="146" t="s">
        <v>145</v>
      </c>
      <c r="G10" s="148" t="str">
        <f t="shared" si="1"/>
        <v>NA</v>
      </c>
      <c r="H10" s="149" t="str">
        <f t="shared" si="2"/>
        <v>NA</v>
      </c>
    </row>
    <row r="11" spans="1:8" ht="13">
      <c r="A11" s="144" t="s">
        <v>122</v>
      </c>
      <c r="B11" s="145">
        <v>0.1077</v>
      </c>
      <c r="C11" s="146" t="s">
        <v>145</v>
      </c>
      <c r="D11" s="149" t="str">
        <f t="shared" si="0"/>
        <v>NA</v>
      </c>
      <c r="E11" s="147" t="s">
        <v>145</v>
      </c>
      <c r="F11" s="146" t="s">
        <v>145</v>
      </c>
      <c r="G11" s="148" t="str">
        <f t="shared" si="1"/>
        <v>NA</v>
      </c>
      <c r="H11" s="149" t="str">
        <f t="shared" si="2"/>
        <v>NA</v>
      </c>
    </row>
    <row r="12" spans="1:8" ht="13">
      <c r="A12" s="144" t="s">
        <v>353</v>
      </c>
      <c r="B12" s="145">
        <v>0.16</v>
      </c>
      <c r="C12" s="146" t="s">
        <v>145</v>
      </c>
      <c r="D12" s="149" t="str">
        <f t="shared" si="0"/>
        <v>NA</v>
      </c>
      <c r="E12" s="147" t="s">
        <v>145</v>
      </c>
      <c r="F12" s="146" t="s">
        <v>145</v>
      </c>
      <c r="G12" s="148" t="str">
        <f t="shared" si="1"/>
        <v>NA</v>
      </c>
      <c r="H12" s="149" t="str">
        <f t="shared" si="2"/>
        <v>NA</v>
      </c>
    </row>
    <row r="13" spans="1:8" ht="13">
      <c r="A13" s="144" t="s">
        <v>148</v>
      </c>
      <c r="B13" s="145">
        <v>0.1159</v>
      </c>
      <c r="C13" s="146" t="s">
        <v>145</v>
      </c>
      <c r="D13" s="149" t="str">
        <f t="shared" si="0"/>
        <v>NA</v>
      </c>
      <c r="E13" s="147" t="s">
        <v>145</v>
      </c>
      <c r="F13" s="146" t="s">
        <v>145</v>
      </c>
      <c r="G13" s="148" t="str">
        <f t="shared" si="1"/>
        <v>NA</v>
      </c>
      <c r="H13" s="149" t="str">
        <f t="shared" si="2"/>
        <v>NA</v>
      </c>
    </row>
    <row r="14" spans="1:8" ht="13">
      <c r="A14" s="144" t="s">
        <v>192</v>
      </c>
      <c r="B14" s="145">
        <v>7.7499999999999999E-2</v>
      </c>
      <c r="C14" s="146" t="s">
        <v>145</v>
      </c>
      <c r="D14" s="149" t="str">
        <f t="shared" si="0"/>
        <v>NA</v>
      </c>
      <c r="E14" s="147" t="s">
        <v>145</v>
      </c>
      <c r="F14" s="146" t="s">
        <v>145</v>
      </c>
      <c r="G14" s="148" t="str">
        <f t="shared" si="1"/>
        <v>NA</v>
      </c>
      <c r="H14" s="149" t="str">
        <f t="shared" si="2"/>
        <v>NA</v>
      </c>
    </row>
    <row r="15" spans="1:8" ht="13">
      <c r="A15" s="144" t="s">
        <v>15</v>
      </c>
      <c r="B15" s="145">
        <v>5.3999999999999999E-2</v>
      </c>
      <c r="C15" s="146" t="s">
        <v>145</v>
      </c>
      <c r="D15" s="149" t="str">
        <f t="shared" si="0"/>
        <v>NA</v>
      </c>
      <c r="E15" s="147" t="s">
        <v>145</v>
      </c>
      <c r="F15" s="146" t="s">
        <v>145</v>
      </c>
      <c r="G15" s="148" t="str">
        <f t="shared" si="1"/>
        <v>NA</v>
      </c>
      <c r="H15" s="149" t="str">
        <f t="shared" si="2"/>
        <v>NA</v>
      </c>
    </row>
    <row r="16" spans="1:8" ht="13">
      <c r="A16" s="144" t="s">
        <v>64</v>
      </c>
      <c r="B16" s="145">
        <v>0.1721</v>
      </c>
      <c r="C16" s="146" t="s">
        <v>145</v>
      </c>
      <c r="D16" s="149" t="str">
        <f t="shared" si="0"/>
        <v>NA</v>
      </c>
      <c r="E16" s="147" t="s">
        <v>145</v>
      </c>
      <c r="F16" s="146" t="s">
        <v>145</v>
      </c>
      <c r="G16" s="148" t="str">
        <f t="shared" si="1"/>
        <v>NA</v>
      </c>
      <c r="H16" s="149" t="str">
        <f t="shared" si="2"/>
        <v>NA</v>
      </c>
    </row>
    <row r="17" spans="1:8" ht="13">
      <c r="A17" s="144" t="s">
        <v>8</v>
      </c>
      <c r="B17" s="150">
        <v>0.20080000000000001</v>
      </c>
      <c r="C17" s="146" t="s">
        <v>145</v>
      </c>
      <c r="D17" s="149" t="str">
        <f t="shared" si="0"/>
        <v>NA</v>
      </c>
      <c r="E17" s="147" t="s">
        <v>145</v>
      </c>
      <c r="F17" s="146" t="s">
        <v>145</v>
      </c>
      <c r="G17" s="148" t="str">
        <f t="shared" si="1"/>
        <v>NA</v>
      </c>
      <c r="H17" s="149" t="str">
        <f t="shared" si="2"/>
        <v>NA</v>
      </c>
    </row>
    <row r="18" spans="1:8" ht="13">
      <c r="A18" s="144" t="s">
        <v>138</v>
      </c>
      <c r="B18" s="145">
        <v>0.21829999999999999</v>
      </c>
      <c r="C18" s="146" t="s">
        <v>145</v>
      </c>
      <c r="D18" s="149" t="str">
        <f t="shared" si="0"/>
        <v>NA</v>
      </c>
      <c r="E18" s="147" t="s">
        <v>145</v>
      </c>
      <c r="F18" s="146" t="s">
        <v>145</v>
      </c>
      <c r="G18" s="148" t="str">
        <f t="shared" si="1"/>
        <v>NA</v>
      </c>
      <c r="H18" s="149" t="str">
        <f t="shared" si="2"/>
        <v>NA</v>
      </c>
    </row>
    <row r="19" spans="1:8" ht="13">
      <c r="A19" s="144" t="s">
        <v>194</v>
      </c>
      <c r="B19" s="145">
        <v>0.27079999999999999</v>
      </c>
      <c r="C19" s="146" t="s">
        <v>145</v>
      </c>
      <c r="D19" s="149" t="str">
        <f t="shared" si="0"/>
        <v>NA</v>
      </c>
      <c r="E19" s="147" t="s">
        <v>145</v>
      </c>
      <c r="F19" s="146" t="s">
        <v>145</v>
      </c>
      <c r="G19" s="148" t="str">
        <f t="shared" si="1"/>
        <v>NA</v>
      </c>
      <c r="H19" s="149" t="str">
        <f t="shared" si="2"/>
        <v>NA</v>
      </c>
    </row>
    <row r="20" spans="1:8" ht="13">
      <c r="A20" s="144" t="s">
        <v>24</v>
      </c>
      <c r="B20" s="145">
        <v>0.17560000000000001</v>
      </c>
      <c r="C20" s="146" t="s">
        <v>145</v>
      </c>
      <c r="D20" s="149" t="str">
        <f t="shared" si="0"/>
        <v>NA</v>
      </c>
      <c r="E20" s="147" t="s">
        <v>145</v>
      </c>
      <c r="F20" s="146" t="s">
        <v>145</v>
      </c>
      <c r="G20" s="148" t="str">
        <f t="shared" si="1"/>
        <v>NA</v>
      </c>
      <c r="H20" s="149" t="str">
        <f t="shared" si="2"/>
        <v>NA</v>
      </c>
    </row>
    <row r="21" spans="1:8" ht="13">
      <c r="A21" s="144" t="s">
        <v>354</v>
      </c>
      <c r="B21" s="145">
        <v>9.3299999999999994E-2</v>
      </c>
      <c r="C21" s="146" t="s">
        <v>145</v>
      </c>
      <c r="D21" s="149" t="str">
        <f t="shared" si="0"/>
        <v>NA</v>
      </c>
      <c r="E21" s="147" t="s">
        <v>145</v>
      </c>
      <c r="F21" s="146" t="s">
        <v>145</v>
      </c>
      <c r="G21" s="148" t="str">
        <f t="shared" si="1"/>
        <v>NA</v>
      </c>
      <c r="H21" s="149" t="str">
        <f t="shared" si="2"/>
        <v>NA</v>
      </c>
    </row>
    <row r="22" spans="1:8" ht="13">
      <c r="A22" s="144" t="s">
        <v>149</v>
      </c>
      <c r="B22" s="145">
        <v>0.1018</v>
      </c>
      <c r="C22" s="146" t="s">
        <v>145</v>
      </c>
      <c r="D22" s="149" t="str">
        <f t="shared" si="0"/>
        <v>NA</v>
      </c>
      <c r="E22" s="147" t="s">
        <v>145</v>
      </c>
      <c r="F22" s="146" t="s">
        <v>145</v>
      </c>
      <c r="G22" s="148" t="str">
        <f t="shared" si="1"/>
        <v>NA</v>
      </c>
      <c r="H22" s="149" t="str">
        <f t="shared" si="2"/>
        <v>NA</v>
      </c>
    </row>
    <row r="23" spans="1:8" ht="13">
      <c r="A23" s="144" t="s">
        <v>3</v>
      </c>
      <c r="B23" s="145">
        <v>0.11269999999999999</v>
      </c>
      <c r="C23" s="146" t="s">
        <v>145</v>
      </c>
      <c r="D23" s="149" t="str">
        <f t="shared" si="0"/>
        <v>NA</v>
      </c>
      <c r="E23" s="147" t="s">
        <v>145</v>
      </c>
      <c r="F23" s="146" t="s">
        <v>145</v>
      </c>
      <c r="G23" s="148" t="str">
        <f t="shared" si="1"/>
        <v>NA</v>
      </c>
      <c r="H23" s="149" t="str">
        <f t="shared" si="2"/>
        <v>NA</v>
      </c>
    </row>
    <row r="24" spans="1:8" ht="13">
      <c r="A24" s="144" t="s">
        <v>136</v>
      </c>
      <c r="B24" s="145">
        <v>8.8800000000000004E-2</v>
      </c>
      <c r="C24" s="146" t="s">
        <v>145</v>
      </c>
      <c r="D24" s="149" t="str">
        <f t="shared" si="0"/>
        <v>NA</v>
      </c>
      <c r="E24" s="147" t="s">
        <v>145</v>
      </c>
      <c r="F24" s="146" t="s">
        <v>145</v>
      </c>
      <c r="G24" s="148" t="str">
        <f t="shared" si="1"/>
        <v>NA</v>
      </c>
      <c r="H24" s="149" t="str">
        <f t="shared" si="2"/>
        <v>NA</v>
      </c>
    </row>
    <row r="25" spans="1:8" ht="13">
      <c r="A25" s="144" t="s">
        <v>65</v>
      </c>
      <c r="B25" s="145">
        <v>0.14019999999999999</v>
      </c>
      <c r="C25" s="146" t="s">
        <v>145</v>
      </c>
      <c r="D25" s="149" t="str">
        <f t="shared" si="0"/>
        <v>NA</v>
      </c>
      <c r="E25" s="147" t="s">
        <v>145</v>
      </c>
      <c r="F25" s="146" t="s">
        <v>145</v>
      </c>
      <c r="G25" s="148" t="str">
        <f t="shared" si="1"/>
        <v>NA</v>
      </c>
      <c r="H25" s="149" t="str">
        <f t="shared" si="2"/>
        <v>NA</v>
      </c>
    </row>
    <row r="26" spans="1:8" ht="13">
      <c r="A26" s="144" t="s">
        <v>342</v>
      </c>
      <c r="B26" s="145">
        <v>0.19439999999999999</v>
      </c>
      <c r="C26" s="146" t="s">
        <v>145</v>
      </c>
      <c r="D26" s="149" t="str">
        <f t="shared" si="0"/>
        <v>NA</v>
      </c>
      <c r="E26" s="147" t="s">
        <v>145</v>
      </c>
      <c r="F26" s="146" t="s">
        <v>145</v>
      </c>
      <c r="G26" s="148" t="str">
        <f t="shared" si="1"/>
        <v>NA</v>
      </c>
      <c r="H26" s="149" t="str">
        <f t="shared" si="2"/>
        <v>NA</v>
      </c>
    </row>
    <row r="27" spans="1:8" ht="13">
      <c r="A27" s="144" t="s">
        <v>355</v>
      </c>
      <c r="B27" s="145">
        <v>0.31740000000000002</v>
      </c>
      <c r="C27" s="146" t="s">
        <v>145</v>
      </c>
      <c r="D27" s="149" t="str">
        <f t="shared" si="0"/>
        <v>NA</v>
      </c>
      <c r="E27" s="147" t="s">
        <v>145</v>
      </c>
      <c r="F27" s="146" t="s">
        <v>145</v>
      </c>
      <c r="G27" s="148" t="str">
        <f t="shared" si="1"/>
        <v>NA</v>
      </c>
      <c r="H27" s="149" t="str">
        <f t="shared" si="2"/>
        <v>NA</v>
      </c>
    </row>
    <row r="28" spans="1:8" ht="13">
      <c r="A28" s="144" t="s">
        <v>69</v>
      </c>
      <c r="B28" s="145">
        <v>0.2974</v>
      </c>
      <c r="C28" s="146" t="s">
        <v>145</v>
      </c>
      <c r="D28" s="149" t="str">
        <f t="shared" si="0"/>
        <v>NA</v>
      </c>
      <c r="E28" s="147" t="s">
        <v>145</v>
      </c>
      <c r="F28" s="146" t="s">
        <v>145</v>
      </c>
      <c r="G28" s="148" t="str">
        <f t="shared" si="1"/>
        <v>NA</v>
      </c>
      <c r="H28" s="149" t="str">
        <f t="shared" si="2"/>
        <v>NA</v>
      </c>
    </row>
    <row r="29" spans="1:8" ht="13">
      <c r="A29" s="151" t="s">
        <v>199</v>
      </c>
      <c r="B29" s="152">
        <v>0.12690000000000001</v>
      </c>
      <c r="C29" s="146" t="s">
        <v>145</v>
      </c>
      <c r="D29" s="149" t="str">
        <f t="shared" si="0"/>
        <v>NA</v>
      </c>
      <c r="E29" s="147">
        <v>1.1000000000000001E-3</v>
      </c>
      <c r="F29" s="148" t="s">
        <v>145</v>
      </c>
      <c r="G29" s="148" t="str">
        <f t="shared" si="1"/>
        <v>NA</v>
      </c>
      <c r="H29" s="149" t="str">
        <f t="shared" si="2"/>
        <v>NA</v>
      </c>
    </row>
    <row r="30" spans="1:8" ht="13">
      <c r="A30" s="144" t="s">
        <v>71</v>
      </c>
      <c r="B30" s="145">
        <v>0.51229999999999998</v>
      </c>
      <c r="C30" s="148">
        <v>0.44850000000000001</v>
      </c>
      <c r="D30" s="149">
        <f t="shared" si="0"/>
        <v>1.142251950947603</v>
      </c>
      <c r="E30" s="147">
        <v>1.37E-2</v>
      </c>
      <c r="F30" s="146" t="s">
        <v>145</v>
      </c>
      <c r="G30" s="148" t="str">
        <f t="shared" si="1"/>
        <v>NA</v>
      </c>
      <c r="H30" s="149" t="str">
        <f t="shared" si="2"/>
        <v>NA</v>
      </c>
    </row>
    <row r="31" spans="1:8" ht="13">
      <c r="A31" s="144" t="s">
        <v>25</v>
      </c>
      <c r="B31" s="145">
        <v>0.1421</v>
      </c>
      <c r="C31" s="146" t="s">
        <v>145</v>
      </c>
      <c r="D31" s="149" t="str">
        <f t="shared" si="0"/>
        <v>NA</v>
      </c>
      <c r="E31" s="147">
        <v>3.2190000000000001E-3</v>
      </c>
      <c r="F31" s="148">
        <v>6.5629999999999994E-2</v>
      </c>
      <c r="G31" s="148">
        <f t="shared" si="1"/>
        <v>4.904769160444919E-2</v>
      </c>
      <c r="H31" s="149">
        <f t="shared" si="2"/>
        <v>2.8971801801801802</v>
      </c>
    </row>
    <row r="32" spans="1:8" ht="13">
      <c r="A32" s="144" t="s">
        <v>79</v>
      </c>
      <c r="B32" s="145">
        <v>8.4400000000000003E-2</v>
      </c>
      <c r="C32" s="146" t="s">
        <v>145</v>
      </c>
      <c r="D32" s="149" t="str">
        <f t="shared" si="0"/>
        <v>NA</v>
      </c>
      <c r="E32" s="147">
        <v>4.0390000000000001E-3</v>
      </c>
      <c r="F32" s="148">
        <v>6.3265000000000002E-2</v>
      </c>
      <c r="G32" s="148">
        <f t="shared" si="1"/>
        <v>6.3842566980162802E-2</v>
      </c>
      <c r="H32" s="149">
        <f t="shared" si="2"/>
        <v>1.3220019806882894</v>
      </c>
    </row>
    <row r="33" spans="1:8" ht="13">
      <c r="A33" s="144" t="s">
        <v>107</v>
      </c>
      <c r="B33" s="145">
        <v>0.27710000000000001</v>
      </c>
      <c r="C33" s="146" t="s">
        <v>145</v>
      </c>
      <c r="D33" s="149" t="str">
        <f t="shared" si="0"/>
        <v>NA</v>
      </c>
      <c r="E33" s="147">
        <v>2.9880000000000002E-3</v>
      </c>
      <c r="F33" s="148">
        <v>5.4795000000000003E-2</v>
      </c>
      <c r="G33" s="148">
        <f t="shared" si="1"/>
        <v>5.4530522857924993E-2</v>
      </c>
      <c r="H33" s="149">
        <f t="shared" si="2"/>
        <v>5.081557730923695</v>
      </c>
    </row>
    <row r="34" spans="1:8" ht="13">
      <c r="A34" s="144" t="s">
        <v>94</v>
      </c>
      <c r="B34" s="145">
        <v>0.23519999999999999</v>
      </c>
      <c r="C34" s="148">
        <v>0.1221</v>
      </c>
      <c r="D34" s="149">
        <f t="shared" si="0"/>
        <v>1.9262899262899262</v>
      </c>
      <c r="E34" s="147">
        <v>4.1110000000000001E-3</v>
      </c>
      <c r="F34" s="148">
        <v>5.0929000000000002E-2</v>
      </c>
      <c r="G34" s="148">
        <f t="shared" si="1"/>
        <v>8.0720218343183645E-2</v>
      </c>
      <c r="H34" s="149">
        <f t="shared" si="2"/>
        <v>2.9137681342738992</v>
      </c>
    </row>
    <row r="35" spans="1:8" ht="13">
      <c r="A35" s="144" t="s">
        <v>124</v>
      </c>
      <c r="B35" s="145">
        <v>6.3299999999999995E-2</v>
      </c>
      <c r="C35" s="148">
        <v>3.15E-2</v>
      </c>
      <c r="D35" s="149">
        <f t="shared" si="0"/>
        <v>2.0095238095238095</v>
      </c>
      <c r="E35" s="147">
        <v>3.565E-3</v>
      </c>
      <c r="F35" s="148">
        <v>0.05</v>
      </c>
      <c r="G35" s="148">
        <f t="shared" si="1"/>
        <v>7.1300000000000002E-2</v>
      </c>
      <c r="H35" s="149">
        <f t="shared" si="2"/>
        <v>0.88779803646563804</v>
      </c>
    </row>
    <row r="36" spans="1:8" ht="14">
      <c r="A36" s="144" t="s">
        <v>57</v>
      </c>
      <c r="B36" s="153">
        <v>8.3099999999999993E-2</v>
      </c>
      <c r="C36" s="146" t="s">
        <v>145</v>
      </c>
      <c r="D36" s="149" t="str">
        <f t="shared" si="0"/>
        <v>NA</v>
      </c>
      <c r="E36" s="147">
        <v>3.1359999999999999E-3</v>
      </c>
      <c r="F36" s="148">
        <v>4.8599999999999997E-2</v>
      </c>
      <c r="G36" s="148">
        <f t="shared" si="1"/>
        <v>6.4526748971193412E-2</v>
      </c>
      <c r="H36" s="149">
        <f t="shared" si="2"/>
        <v>1.2878380102040816</v>
      </c>
    </row>
    <row r="37" spans="1:8" ht="13">
      <c r="A37" s="144" t="s">
        <v>89</v>
      </c>
      <c r="B37" s="145">
        <v>7.9299999999999995E-2</v>
      </c>
      <c r="C37" s="146" t="s">
        <v>145</v>
      </c>
      <c r="D37" s="149" t="str">
        <f t="shared" si="0"/>
        <v>NA</v>
      </c>
      <c r="E37" s="147">
        <v>3.2000000000000002E-3</v>
      </c>
      <c r="F37" s="148">
        <v>0.04</v>
      </c>
      <c r="G37" s="148">
        <f t="shared" si="1"/>
        <v>0.08</v>
      </c>
      <c r="H37" s="149">
        <f t="shared" si="2"/>
        <v>0.99124999999999996</v>
      </c>
    </row>
    <row r="38" spans="1:8" ht="13">
      <c r="A38" s="144" t="s">
        <v>78</v>
      </c>
      <c r="B38" s="145">
        <v>0.1479</v>
      </c>
      <c r="C38" s="148">
        <v>0.2021</v>
      </c>
      <c r="D38" s="149">
        <f t="shared" si="0"/>
        <v>0.73181593270658096</v>
      </c>
      <c r="E38" s="147">
        <v>3.8210000000000002E-3</v>
      </c>
      <c r="F38" s="148">
        <v>3.9899999999999998E-2</v>
      </c>
      <c r="G38" s="148">
        <f t="shared" si="1"/>
        <v>9.5764411027568927E-2</v>
      </c>
      <c r="H38" s="149">
        <f t="shared" si="2"/>
        <v>1.5444150745878042</v>
      </c>
    </row>
    <row r="39" spans="1:8" ht="13">
      <c r="A39" s="144" t="s">
        <v>1</v>
      </c>
      <c r="B39" s="145">
        <v>0.22900000000000001</v>
      </c>
      <c r="C39" s="148">
        <v>0.40100000000000002</v>
      </c>
      <c r="D39" s="149">
        <f t="shared" si="0"/>
        <v>0.57107231920199497</v>
      </c>
      <c r="E39" s="147">
        <v>5.5189999999999996E-3</v>
      </c>
      <c r="F39" s="148">
        <v>3.6667999999999999E-2</v>
      </c>
      <c r="G39" s="148">
        <f t="shared" si="1"/>
        <v>0.15051270862877714</v>
      </c>
      <c r="H39" s="149">
        <f t="shared" si="2"/>
        <v>1.5214662076463128</v>
      </c>
    </row>
    <row r="40" spans="1:8" ht="13">
      <c r="A40" s="144" t="s">
        <v>352</v>
      </c>
      <c r="B40" s="145">
        <v>0.32790000000000002</v>
      </c>
      <c r="C40" s="146" t="s">
        <v>145</v>
      </c>
      <c r="D40" s="149" t="str">
        <f t="shared" si="0"/>
        <v>NA</v>
      </c>
      <c r="E40" s="147">
        <v>3.5850000000000001E-3</v>
      </c>
      <c r="F40" s="148">
        <v>3.5499999999999997E-2</v>
      </c>
      <c r="G40" s="148">
        <f t="shared" si="1"/>
        <v>0.10098591549295775</v>
      </c>
      <c r="H40" s="149">
        <f t="shared" si="2"/>
        <v>3.2469874476987446</v>
      </c>
    </row>
    <row r="41" spans="1:8" ht="13">
      <c r="A41" s="144" t="s">
        <v>72</v>
      </c>
      <c r="B41" s="145">
        <v>0.17549999999999999</v>
      </c>
      <c r="C41" s="146" t="s">
        <v>145</v>
      </c>
      <c r="D41" s="149" t="str">
        <f t="shared" si="0"/>
        <v>NA</v>
      </c>
      <c r="E41" s="147">
        <v>2.6099999999999999E-3</v>
      </c>
      <c r="F41" s="148">
        <v>3.5200000000000002E-2</v>
      </c>
      <c r="G41" s="148">
        <f t="shared" si="1"/>
        <v>7.4147727272727268E-2</v>
      </c>
      <c r="H41" s="149">
        <f t="shared" si="2"/>
        <v>2.366896551724138</v>
      </c>
    </row>
    <row r="42" spans="1:8" ht="13">
      <c r="A42" s="144" t="s">
        <v>67</v>
      </c>
      <c r="B42" s="145">
        <v>0.2097</v>
      </c>
      <c r="C42" s="148">
        <v>9.4600000000000004E-2</v>
      </c>
      <c r="D42" s="149">
        <f t="shared" si="0"/>
        <v>2.2167019027484143</v>
      </c>
      <c r="E42" s="147">
        <v>3.261E-3</v>
      </c>
      <c r="F42" s="148">
        <v>3.3938999999999997E-2</v>
      </c>
      <c r="G42" s="148">
        <f t="shared" si="1"/>
        <v>9.6084150976752422E-2</v>
      </c>
      <c r="H42" s="149">
        <f t="shared" si="2"/>
        <v>2.1824619135234586</v>
      </c>
    </row>
    <row r="43" spans="1:8" ht="13">
      <c r="A43" s="144" t="s">
        <v>100</v>
      </c>
      <c r="B43" s="145">
        <v>7.7700000000000005E-2</v>
      </c>
      <c r="C43" s="146" t="s">
        <v>145</v>
      </c>
      <c r="D43" s="149" t="str">
        <f t="shared" si="0"/>
        <v>NA</v>
      </c>
      <c r="E43" s="147">
        <v>2.2399999999999998E-3</v>
      </c>
      <c r="F43" s="148">
        <v>3.2327000000000002E-2</v>
      </c>
      <c r="G43" s="148">
        <f t="shared" si="1"/>
        <v>6.9291923160206631E-2</v>
      </c>
      <c r="H43" s="149">
        <f t="shared" si="2"/>
        <v>1.1213428125000002</v>
      </c>
    </row>
    <row r="44" spans="1:8" ht="13">
      <c r="A44" s="144" t="s">
        <v>51</v>
      </c>
      <c r="B44" s="150">
        <v>0.17480000000000001</v>
      </c>
      <c r="C44" s="148">
        <v>7.0900000000000005E-2</v>
      </c>
      <c r="D44" s="149">
        <f t="shared" si="0"/>
        <v>2.4654442877291962</v>
      </c>
      <c r="E44" s="147">
        <v>4.2469999999999999E-3</v>
      </c>
      <c r="F44" s="148">
        <v>3.2199999999999999E-2</v>
      </c>
      <c r="G44" s="148">
        <f t="shared" si="1"/>
        <v>0.1318944099378882</v>
      </c>
      <c r="H44" s="149">
        <f t="shared" si="2"/>
        <v>1.3253025665175417</v>
      </c>
    </row>
    <row r="45" spans="1:8" ht="13">
      <c r="A45" s="144" t="s">
        <v>195</v>
      </c>
      <c r="B45" s="145">
        <v>0.2296</v>
      </c>
      <c r="C45" s="148">
        <v>7.1400000000000005E-2</v>
      </c>
      <c r="D45" s="149">
        <f t="shared" si="0"/>
        <v>3.2156862745098036</v>
      </c>
      <c r="E45" s="147">
        <v>5.7279999999999996E-3</v>
      </c>
      <c r="F45" s="148">
        <v>3.1766999999999997E-2</v>
      </c>
      <c r="G45" s="148">
        <f t="shared" si="1"/>
        <v>0.18031290332735228</v>
      </c>
      <c r="H45" s="149">
        <f t="shared" si="2"/>
        <v>1.2733420391061452</v>
      </c>
    </row>
    <row r="46" spans="1:8" ht="13">
      <c r="A46" s="144" t="s">
        <v>114</v>
      </c>
      <c r="B46" s="145">
        <v>0.15190000000000001</v>
      </c>
      <c r="C46" s="148">
        <v>0.1</v>
      </c>
      <c r="D46" s="149">
        <f t="shared" si="0"/>
        <v>1.5189999999999999</v>
      </c>
      <c r="E46" s="147">
        <v>3.9220000000000001E-3</v>
      </c>
      <c r="F46" s="148">
        <v>2.955E-2</v>
      </c>
      <c r="G46" s="148">
        <f t="shared" si="1"/>
        <v>0.13272419627749577</v>
      </c>
      <c r="H46" s="149">
        <f t="shared" si="2"/>
        <v>1.1444785823559409</v>
      </c>
    </row>
    <row r="47" spans="1:8" ht="13">
      <c r="A47" s="144" t="s">
        <v>18</v>
      </c>
      <c r="B47" s="145">
        <v>8.1600000000000006E-2</v>
      </c>
      <c r="C47" s="146" t="s">
        <v>145</v>
      </c>
      <c r="D47" s="149" t="str">
        <f t="shared" si="0"/>
        <v>NA</v>
      </c>
      <c r="E47" s="147">
        <v>3.1849999999999999E-3</v>
      </c>
      <c r="F47" s="148">
        <v>2.69E-2</v>
      </c>
      <c r="G47" s="148">
        <f t="shared" si="1"/>
        <v>0.11840148698884757</v>
      </c>
      <c r="H47" s="149">
        <f t="shared" si="2"/>
        <v>0.68918053375196242</v>
      </c>
    </row>
    <row r="48" spans="1:8" ht="13">
      <c r="A48" s="144" t="s">
        <v>184</v>
      </c>
      <c r="B48" s="145">
        <v>0.3296</v>
      </c>
      <c r="C48" s="146" t="s">
        <v>145</v>
      </c>
      <c r="D48" s="149" t="str">
        <f t="shared" si="0"/>
        <v>NA</v>
      </c>
      <c r="E48" s="147">
        <v>5.9160000000000003E-3</v>
      </c>
      <c r="F48" s="148">
        <v>2.6599999999999999E-2</v>
      </c>
      <c r="G48" s="148">
        <f t="shared" si="1"/>
        <v>0.222406015037594</v>
      </c>
      <c r="H48" s="149">
        <f t="shared" si="2"/>
        <v>1.4819743069641649</v>
      </c>
    </row>
    <row r="49" spans="1:8" ht="13">
      <c r="A49" s="144" t="s">
        <v>16</v>
      </c>
      <c r="B49" s="145">
        <v>0.1368</v>
      </c>
      <c r="C49" s="148">
        <v>4.7399999999999998E-2</v>
      </c>
      <c r="D49" s="149">
        <f t="shared" si="0"/>
        <v>2.8860759493670889</v>
      </c>
      <c r="E49" s="147">
        <v>4.0930000000000003E-3</v>
      </c>
      <c r="F49" s="148">
        <v>2.4799999999999999E-2</v>
      </c>
      <c r="G49" s="148">
        <f t="shared" si="1"/>
        <v>0.16504032258064519</v>
      </c>
      <c r="H49" s="149">
        <f t="shared" si="2"/>
        <v>0.82888834595651106</v>
      </c>
    </row>
    <row r="50" spans="1:8" ht="13">
      <c r="A50" s="144" t="s">
        <v>28</v>
      </c>
      <c r="B50" s="145">
        <v>0.15939999999999999</v>
      </c>
      <c r="C50" s="148">
        <v>8.5099999999999995E-2</v>
      </c>
      <c r="D50" s="149">
        <f t="shared" si="0"/>
        <v>1.8730904817861338</v>
      </c>
      <c r="E50" s="147">
        <v>3.3999999999999998E-3</v>
      </c>
      <c r="F50" s="148">
        <v>2.3449999999999999E-2</v>
      </c>
      <c r="G50" s="148">
        <f t="shared" si="1"/>
        <v>0.14498933901918976</v>
      </c>
      <c r="H50" s="149">
        <f t="shared" si="2"/>
        <v>1.0993911764705881</v>
      </c>
    </row>
    <row r="51" spans="1:8" ht="13">
      <c r="A51" s="144" t="s">
        <v>26</v>
      </c>
      <c r="B51" s="145">
        <v>4.6899999999999997E-2</v>
      </c>
      <c r="C51" s="146" t="s">
        <v>145</v>
      </c>
      <c r="D51" s="149" t="str">
        <f t="shared" si="0"/>
        <v>NA</v>
      </c>
      <c r="E51" s="147">
        <v>3.1809999999999998E-3</v>
      </c>
      <c r="F51" s="148">
        <v>2.3219E-2</v>
      </c>
      <c r="G51" s="148">
        <f t="shared" si="1"/>
        <v>0.13699987079546921</v>
      </c>
      <c r="H51" s="149">
        <f t="shared" si="2"/>
        <v>0.34233608928010062</v>
      </c>
    </row>
    <row r="52" spans="1:8" ht="13">
      <c r="A52" s="144" t="s">
        <v>113</v>
      </c>
      <c r="B52" s="145">
        <v>0.14929999999999999</v>
      </c>
      <c r="C52" s="148">
        <v>2.93E-2</v>
      </c>
      <c r="D52" s="149">
        <f t="shared" si="0"/>
        <v>5.0955631399317403</v>
      </c>
      <c r="E52" s="147">
        <v>3.7309999999999999E-3</v>
      </c>
      <c r="F52" s="148">
        <v>2.2495999999999999E-2</v>
      </c>
      <c r="G52" s="148">
        <f t="shared" si="1"/>
        <v>0.16585170697012802</v>
      </c>
      <c r="H52" s="149">
        <f t="shared" si="2"/>
        <v>0.90020176896274451</v>
      </c>
    </row>
    <row r="53" spans="1:8" ht="13">
      <c r="A53" s="144" t="s">
        <v>14</v>
      </c>
      <c r="B53" s="145">
        <v>0.1065</v>
      </c>
      <c r="C53" s="146" t="s">
        <v>145</v>
      </c>
      <c r="D53" s="149" t="str">
        <f t="shared" si="0"/>
        <v>NA</v>
      </c>
      <c r="E53" s="147">
        <v>5.2139999999999999E-3</v>
      </c>
      <c r="F53" s="148">
        <v>2.2100000000000002E-2</v>
      </c>
      <c r="G53" s="148">
        <f t="shared" si="1"/>
        <v>0.23592760180995473</v>
      </c>
      <c r="H53" s="149">
        <f t="shared" si="2"/>
        <v>0.45140966628308404</v>
      </c>
    </row>
    <row r="54" spans="1:8" ht="13">
      <c r="A54" s="144" t="s">
        <v>96</v>
      </c>
      <c r="B54" s="145">
        <v>0.1454</v>
      </c>
      <c r="C54" s="148">
        <v>0.1305</v>
      </c>
      <c r="D54" s="149">
        <f t="shared" si="0"/>
        <v>1.114176245210728</v>
      </c>
      <c r="E54" s="147">
        <v>2.9169999999999999E-3</v>
      </c>
      <c r="F54" s="148">
        <v>2.1299999999999999E-2</v>
      </c>
      <c r="G54" s="148">
        <f t="shared" si="1"/>
        <v>0.13694835680751175</v>
      </c>
      <c r="H54" s="149">
        <f t="shared" si="2"/>
        <v>1.0617140898183064</v>
      </c>
    </row>
    <row r="55" spans="1:8" ht="13">
      <c r="A55" s="144" t="s">
        <v>66</v>
      </c>
      <c r="B55" s="145">
        <v>0.1208</v>
      </c>
      <c r="C55" s="148">
        <v>6.8699999999999997E-2</v>
      </c>
      <c r="D55" s="149">
        <f t="shared" si="0"/>
        <v>1.7583697234352258</v>
      </c>
      <c r="E55" s="147">
        <v>3.8300000000000001E-3</v>
      </c>
      <c r="F55" s="148">
        <v>2.0449999999999999E-2</v>
      </c>
      <c r="G55" s="148">
        <f t="shared" si="1"/>
        <v>0.18728606356968217</v>
      </c>
      <c r="H55" s="149">
        <f t="shared" si="2"/>
        <v>0.64500261096605738</v>
      </c>
    </row>
    <row r="56" spans="1:8" ht="13">
      <c r="A56" s="144" t="s">
        <v>111</v>
      </c>
      <c r="B56" s="145">
        <v>0.17050000000000001</v>
      </c>
      <c r="C56" s="146" t="s">
        <v>145</v>
      </c>
      <c r="D56" s="149" t="str">
        <f t="shared" si="0"/>
        <v>NA</v>
      </c>
      <c r="E56" s="147">
        <v>3.1110000000000001E-3</v>
      </c>
      <c r="F56" s="148">
        <v>2.0299999999999999E-2</v>
      </c>
      <c r="G56" s="148">
        <f t="shared" si="1"/>
        <v>0.15325123152709361</v>
      </c>
      <c r="H56" s="149">
        <f t="shared" si="2"/>
        <v>1.1125522340083573</v>
      </c>
    </row>
    <row r="57" spans="1:8" ht="13">
      <c r="A57" s="144" t="s">
        <v>2</v>
      </c>
      <c r="B57" s="145">
        <v>0.2427</v>
      </c>
      <c r="C57" s="148">
        <v>0.17549999999999999</v>
      </c>
      <c r="D57" s="149">
        <f t="shared" si="0"/>
        <v>1.3829059829059829</v>
      </c>
      <c r="E57" s="147">
        <v>6.8519999999999996E-3</v>
      </c>
      <c r="F57" s="148">
        <v>1.9300000000000001E-2</v>
      </c>
      <c r="G57" s="148">
        <f t="shared" si="1"/>
        <v>0.35502590673575124</v>
      </c>
      <c r="H57" s="149">
        <f t="shared" si="2"/>
        <v>0.68361208406304741</v>
      </c>
    </row>
    <row r="58" spans="1:8" ht="13">
      <c r="A58" s="144" t="s">
        <v>147</v>
      </c>
      <c r="B58" s="145">
        <v>0.20080000000000001</v>
      </c>
      <c r="C58" s="148">
        <v>7.2300000000000003E-2</v>
      </c>
      <c r="D58" s="149">
        <f t="shared" si="0"/>
        <v>2.7773167358229598</v>
      </c>
      <c r="E58" s="147">
        <v>5.215E-3</v>
      </c>
      <c r="F58" s="148">
        <v>1.925E-2</v>
      </c>
      <c r="G58" s="148">
        <f t="shared" si="1"/>
        <v>0.27090909090909093</v>
      </c>
      <c r="H58" s="149">
        <f t="shared" si="2"/>
        <v>0.74120805369127518</v>
      </c>
    </row>
    <row r="59" spans="1:8" ht="13">
      <c r="A59" s="144" t="s">
        <v>99</v>
      </c>
      <c r="B59" s="145">
        <v>0.2913</v>
      </c>
      <c r="C59" s="146" t="s">
        <v>145</v>
      </c>
      <c r="D59" s="149" t="str">
        <f t="shared" si="0"/>
        <v>NA</v>
      </c>
      <c r="E59" s="147">
        <v>3.9360000000000003E-3</v>
      </c>
      <c r="F59" s="148">
        <v>1.7600000000000001E-2</v>
      </c>
      <c r="G59" s="148">
        <f t="shared" si="1"/>
        <v>0.22363636363636363</v>
      </c>
      <c r="H59" s="149">
        <f t="shared" si="2"/>
        <v>1.302560975609756</v>
      </c>
    </row>
    <row r="60" spans="1:8" ht="13">
      <c r="A60" s="144" t="s">
        <v>29</v>
      </c>
      <c r="B60" s="145">
        <v>0.1129</v>
      </c>
      <c r="C60" s="148">
        <v>0.30359999999999998</v>
      </c>
      <c r="D60" s="149">
        <f t="shared" si="0"/>
        <v>0.37187088274044799</v>
      </c>
      <c r="E60" s="147">
        <v>3.8899999999999998E-3</v>
      </c>
      <c r="F60" s="148">
        <v>1.6750000000000001E-2</v>
      </c>
      <c r="G60" s="148">
        <f t="shared" si="1"/>
        <v>0.23223880597014923</v>
      </c>
      <c r="H60" s="149">
        <f t="shared" si="2"/>
        <v>0.48613753213367616</v>
      </c>
    </row>
    <row r="61" spans="1:8" ht="13">
      <c r="A61" s="144" t="s">
        <v>0</v>
      </c>
      <c r="B61" s="145">
        <v>0.12790000000000001</v>
      </c>
      <c r="C61" s="146" t="s">
        <v>145</v>
      </c>
      <c r="D61" s="149" t="str">
        <f t="shared" si="0"/>
        <v>NA</v>
      </c>
      <c r="E61" s="147">
        <v>2.9380000000000001E-3</v>
      </c>
      <c r="F61" s="148">
        <v>1.6583000000000001E-2</v>
      </c>
      <c r="G61" s="148">
        <f t="shared" si="1"/>
        <v>0.17716939033950432</v>
      </c>
      <c r="H61" s="149">
        <f t="shared" si="2"/>
        <v>0.72190799863852961</v>
      </c>
    </row>
    <row r="62" spans="1:8" ht="13">
      <c r="A62" s="144" t="s">
        <v>76</v>
      </c>
      <c r="B62" s="145">
        <v>0.21160000000000001</v>
      </c>
      <c r="C62" s="146" t="s">
        <v>145</v>
      </c>
      <c r="D62" s="149" t="str">
        <f t="shared" si="0"/>
        <v>NA</v>
      </c>
      <c r="E62" s="147">
        <v>4.1380000000000002E-3</v>
      </c>
      <c r="F62" s="148">
        <v>1.6279999999999999E-2</v>
      </c>
      <c r="G62" s="148">
        <f t="shared" si="1"/>
        <v>0.25417690417690419</v>
      </c>
      <c r="H62" s="149">
        <f t="shared" si="2"/>
        <v>0.8324910584823586</v>
      </c>
    </row>
    <row r="63" spans="1:8" ht="13">
      <c r="A63" s="144" t="s">
        <v>196</v>
      </c>
      <c r="B63" s="145">
        <v>0.14169999999999999</v>
      </c>
      <c r="C63" s="148">
        <v>5.7799999999999997E-2</v>
      </c>
      <c r="D63" s="149">
        <f t="shared" si="0"/>
        <v>2.4515570934256057</v>
      </c>
      <c r="E63" s="147">
        <v>2.6649999999999998E-3</v>
      </c>
      <c r="F63" s="148">
        <v>1.618E-2</v>
      </c>
      <c r="G63" s="148">
        <f t="shared" si="1"/>
        <v>0.16470951792336216</v>
      </c>
      <c r="H63" s="149">
        <f t="shared" si="2"/>
        <v>0.8603024390243903</v>
      </c>
    </row>
    <row r="64" spans="1:8" ht="13">
      <c r="A64" s="144" t="s">
        <v>140</v>
      </c>
      <c r="B64" s="145">
        <v>0.22889999999999999</v>
      </c>
      <c r="C64" s="148">
        <v>6.3700000000000007E-2</v>
      </c>
      <c r="D64" s="149">
        <f t="shared" si="0"/>
        <v>3.5934065934065931</v>
      </c>
      <c r="E64" s="147">
        <v>5.2389999999999997E-3</v>
      </c>
      <c r="F64" s="148">
        <v>1.5479E-2</v>
      </c>
      <c r="G64" s="148">
        <f t="shared" si="1"/>
        <v>0.3384585567543123</v>
      </c>
      <c r="H64" s="149">
        <f t="shared" si="2"/>
        <v>0.67630141248329834</v>
      </c>
    </row>
    <row r="65" spans="1:8" ht="13">
      <c r="A65" s="144" t="s">
        <v>98</v>
      </c>
      <c r="B65" s="145">
        <v>0.1229</v>
      </c>
      <c r="C65" s="148">
        <v>8.0399999999999999E-2</v>
      </c>
      <c r="D65" s="149">
        <f t="shared" si="0"/>
        <v>1.5286069651741294</v>
      </c>
      <c r="E65" s="147">
        <v>3.7650000000000001E-3</v>
      </c>
      <c r="F65" s="148">
        <v>1.5369000000000001E-2</v>
      </c>
      <c r="G65" s="148">
        <f t="shared" si="1"/>
        <v>0.24497364825297677</v>
      </c>
      <c r="H65" s="149">
        <f t="shared" si="2"/>
        <v>0.50168661354581667</v>
      </c>
    </row>
    <row r="66" spans="1:8" ht="13">
      <c r="A66" s="144" t="s">
        <v>30</v>
      </c>
      <c r="B66" s="145">
        <v>0.13930000000000001</v>
      </c>
      <c r="C66" s="148">
        <v>0.12130000000000001</v>
      </c>
      <c r="D66" s="149">
        <f t="shared" ref="D66:D75" si="3">IF(C66="NA","NA",B66/C66)</f>
        <v>1.1483924154987635</v>
      </c>
      <c r="E66" s="147">
        <v>2.97E-3</v>
      </c>
      <c r="F66" s="148">
        <v>1.3768000000000001E-2</v>
      </c>
      <c r="G66" s="148">
        <f t="shared" ref="G66:G75" si="4">IF(F66="NA","NA",E66/F66)</f>
        <v>0.21571760604299825</v>
      </c>
      <c r="H66" s="149">
        <f t="shared" ref="H66:H75" si="5">IF(G66="NA","NA",B66/G66)</f>
        <v>0.6457516498316499</v>
      </c>
    </row>
    <row r="67" spans="1:8" ht="13">
      <c r="A67" s="144" t="s">
        <v>123</v>
      </c>
      <c r="B67" s="145">
        <v>0.17530000000000001</v>
      </c>
      <c r="C67" s="146" t="s">
        <v>145</v>
      </c>
      <c r="D67" s="149" t="str">
        <f t="shared" si="3"/>
        <v>NA</v>
      </c>
      <c r="E67" s="147">
        <v>2.699E-3</v>
      </c>
      <c r="F67" s="148">
        <v>1.2999999999999999E-2</v>
      </c>
      <c r="G67" s="148">
        <f t="shared" si="4"/>
        <v>0.20761538461538462</v>
      </c>
      <c r="H67" s="149">
        <f t="shared" si="5"/>
        <v>0.84434975917006305</v>
      </c>
    </row>
    <row r="68" spans="1:8" ht="13">
      <c r="A68" s="144" t="s">
        <v>13</v>
      </c>
      <c r="B68" s="145">
        <v>7.6300000000000007E-2</v>
      </c>
      <c r="C68" s="146" t="s">
        <v>145</v>
      </c>
      <c r="D68" s="149" t="str">
        <f t="shared" si="3"/>
        <v>NA</v>
      </c>
      <c r="E68" s="147">
        <v>2.6120000000000002E-3</v>
      </c>
      <c r="F68" s="148">
        <v>1.26E-2</v>
      </c>
      <c r="G68" s="148">
        <f t="shared" si="4"/>
        <v>0.20730158730158732</v>
      </c>
      <c r="H68" s="149">
        <f t="shared" si="5"/>
        <v>0.36806278713629403</v>
      </c>
    </row>
    <row r="69" spans="1:8" ht="13">
      <c r="A69" s="144" t="s">
        <v>112</v>
      </c>
      <c r="B69" s="145">
        <v>0.10009999999999999</v>
      </c>
      <c r="C69" s="148">
        <v>4.02E-2</v>
      </c>
      <c r="D69" s="149">
        <f t="shared" si="3"/>
        <v>2.4900497512437809</v>
      </c>
      <c r="E69" s="147">
        <v>3.686E-3</v>
      </c>
      <c r="F69" s="148">
        <v>1.2574999999999999E-2</v>
      </c>
      <c r="G69" s="148">
        <f t="shared" si="4"/>
        <v>0.29312127236580521</v>
      </c>
      <c r="H69" s="149">
        <f t="shared" si="5"/>
        <v>0.34149688008681489</v>
      </c>
    </row>
    <row r="70" spans="1:8" ht="13">
      <c r="A70" s="144" t="s">
        <v>116</v>
      </c>
      <c r="B70" s="145">
        <v>0.10299999999999999</v>
      </c>
      <c r="C70" s="148">
        <v>4.8599999999999997E-2</v>
      </c>
      <c r="D70" s="149">
        <f t="shared" si="3"/>
        <v>2.119341563786008</v>
      </c>
      <c r="E70" s="147">
        <v>2.4949999999999998E-3</v>
      </c>
      <c r="F70" s="148">
        <v>1.1900000000000001E-2</v>
      </c>
      <c r="G70" s="148">
        <f t="shared" si="4"/>
        <v>0.20966386554621846</v>
      </c>
      <c r="H70" s="149">
        <f t="shared" si="5"/>
        <v>0.49126252505010021</v>
      </c>
    </row>
    <row r="71" spans="1:8" ht="13">
      <c r="A71" s="144" t="s">
        <v>189</v>
      </c>
      <c r="B71" s="145">
        <v>0.1741</v>
      </c>
      <c r="C71" s="148">
        <v>3.0800000000000001E-2</v>
      </c>
      <c r="D71" s="149">
        <f t="shared" si="3"/>
        <v>5.6525974025974026</v>
      </c>
      <c r="E71" s="147">
        <v>4.1139999999999996E-3</v>
      </c>
      <c r="F71" s="148">
        <v>1.06E-2</v>
      </c>
      <c r="G71" s="148">
        <f t="shared" si="4"/>
        <v>0.38811320754716977</v>
      </c>
      <c r="H71" s="149">
        <f t="shared" si="5"/>
        <v>0.44858045697617899</v>
      </c>
    </row>
    <row r="72" spans="1:8" ht="13">
      <c r="A72" s="144" t="s">
        <v>121</v>
      </c>
      <c r="B72" s="145">
        <v>0.124</v>
      </c>
      <c r="C72" s="148" t="s">
        <v>145</v>
      </c>
      <c r="D72" s="149" t="str">
        <f t="shared" si="3"/>
        <v>NA</v>
      </c>
      <c r="E72" s="147">
        <v>4.744E-3</v>
      </c>
      <c r="F72" s="148">
        <v>8.8500000000000002E-3</v>
      </c>
      <c r="G72" s="148">
        <f t="shared" si="4"/>
        <v>0.53604519774011294</v>
      </c>
      <c r="H72" s="149">
        <f t="shared" si="5"/>
        <v>0.23132377740303545</v>
      </c>
    </row>
    <row r="73" spans="1:8" ht="13">
      <c r="A73" s="144" t="s">
        <v>62</v>
      </c>
      <c r="B73" s="145">
        <v>0.1769</v>
      </c>
      <c r="C73" s="148">
        <v>7.9100000000000004E-2</v>
      </c>
      <c r="D73" s="149">
        <f t="shared" si="3"/>
        <v>2.2364096080910238</v>
      </c>
      <c r="E73" s="147">
        <v>1.457E-3</v>
      </c>
      <c r="F73" s="148">
        <v>8.7600000000000004E-3</v>
      </c>
      <c r="G73" s="148">
        <f t="shared" si="4"/>
        <v>0.16632420091324199</v>
      </c>
      <c r="H73" s="149">
        <f t="shared" si="5"/>
        <v>1.0635854495538779</v>
      </c>
    </row>
    <row r="74" spans="1:8" ht="13">
      <c r="A74" s="144" t="s">
        <v>103</v>
      </c>
      <c r="B74" s="145">
        <v>0.13819999999999999</v>
      </c>
      <c r="C74" s="148">
        <v>4.9299999999999997E-2</v>
      </c>
      <c r="D74" s="149">
        <f t="shared" si="3"/>
        <v>2.8032454361054766</v>
      </c>
      <c r="E74" s="147">
        <v>3.4749999999999998E-3</v>
      </c>
      <c r="F74" s="148">
        <v>8.0999999999999996E-3</v>
      </c>
      <c r="G74" s="148">
        <f t="shared" si="4"/>
        <v>0.42901234567901236</v>
      </c>
      <c r="H74" s="149">
        <f t="shared" si="5"/>
        <v>0.32213525179856112</v>
      </c>
    </row>
    <row r="75" spans="1:8" ht="13">
      <c r="A75" s="144" t="s">
        <v>108</v>
      </c>
      <c r="B75" s="145">
        <v>0.1089</v>
      </c>
      <c r="C75" s="146" t="s">
        <v>145</v>
      </c>
      <c r="D75" s="149" t="str">
        <f t="shared" si="3"/>
        <v>NA</v>
      </c>
      <c r="E75" s="147">
        <v>3.9690000000000003E-3</v>
      </c>
      <c r="F75" s="148">
        <v>7.9850000000000008E-3</v>
      </c>
      <c r="G75" s="148">
        <f t="shared" si="4"/>
        <v>0.49705698184095176</v>
      </c>
      <c r="H75" s="149">
        <f t="shared" si="5"/>
        <v>0.21908956916099773</v>
      </c>
    </row>
    <row r="76" spans="1:8">
      <c r="A76"/>
      <c r="E76" s="154"/>
    </row>
    <row r="77" spans="1:8" ht="13">
      <c r="A77" s="155" t="s">
        <v>150</v>
      </c>
      <c r="B77" s="17"/>
      <c r="C77" s="17"/>
      <c r="D77" s="156">
        <f>AVERAGE(D2:D75)</f>
        <v>2.149244391190853</v>
      </c>
      <c r="E77" s="157"/>
      <c r="F77" s="17"/>
      <c r="G77" s="17"/>
      <c r="H77" s="156">
        <f>AVERAGE(H2:H75)</f>
        <v>1.1445018747710554</v>
      </c>
    </row>
    <row r="78" spans="1:8" ht="13">
      <c r="A78" s="155" t="s">
        <v>151</v>
      </c>
      <c r="B78" s="17"/>
      <c r="C78" s="17"/>
      <c r="D78" s="95">
        <f>MEDIAN(D2:D75)</f>
        <v>2.0095238095238095</v>
      </c>
      <c r="E78" s="157"/>
      <c r="F78" s="17"/>
      <c r="G78" s="17"/>
      <c r="H78" s="95">
        <f>MEDIAN(H2:H75)</f>
        <v>0.88779803646563804</v>
      </c>
    </row>
    <row r="79" spans="1:8">
      <c r="A79"/>
      <c r="E79" s="154"/>
    </row>
    <row r="80" spans="1:8" ht="13">
      <c r="A80" s="155" t="s">
        <v>150</v>
      </c>
      <c r="B80" s="17"/>
      <c r="C80" s="17"/>
      <c r="D80" s="95">
        <f>AVERAGE(D2:D65)</f>
        <v>1.9799791611824087</v>
      </c>
      <c r="E80" s="158"/>
      <c r="F80" s="5"/>
      <c r="G80" s="5"/>
      <c r="H80" s="95">
        <f>AVERAGE(H2:H65)</f>
        <v>1.3293413216722829</v>
      </c>
    </row>
    <row r="81" spans="1:8" ht="13">
      <c r="A81" s="155" t="s">
        <v>151</v>
      </c>
      <c r="B81" s="17"/>
      <c r="C81" s="17"/>
      <c r="D81" s="95">
        <f>MEDIAN(D2:D65)</f>
        <v>1.8730904817861338</v>
      </c>
      <c r="E81" s="158"/>
      <c r="F81" s="5"/>
      <c r="G81" s="5"/>
      <c r="H81" s="95">
        <f>MEDIAN(H2:H65)</f>
        <v>1.0993911764705881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63"/>
  <sheetViews>
    <sheetView topLeftCell="A119" workbookViewId="0">
      <selection activeCell="A139" sqref="A139"/>
    </sheetView>
  </sheetViews>
  <sheetFormatPr baseColWidth="10" defaultRowHeight="16"/>
  <cols>
    <col min="1" max="1" width="26.5" style="23" bestFit="1" customWidth="1"/>
    <col min="2" max="2" width="7.83203125" style="23" bestFit="1" customWidth="1"/>
    <col min="3" max="3" width="7.5" customWidth="1"/>
    <col min="4" max="4" width="11" bestFit="1" customWidth="1"/>
    <col min="7" max="7" width="10.83203125" style="108"/>
  </cols>
  <sheetData>
    <row r="1" spans="1:11" s="1" customFormat="1" ht="17">
      <c r="A1" s="60" t="s">
        <v>77</v>
      </c>
      <c r="B1" s="45" t="s">
        <v>263</v>
      </c>
      <c r="F1" t="s">
        <v>503</v>
      </c>
      <c r="G1" s="108" t="s">
        <v>504</v>
      </c>
      <c r="H1"/>
      <c r="I1"/>
      <c r="J1"/>
      <c r="K1"/>
    </row>
    <row r="2" spans="1:11">
      <c r="A2" s="61" t="s">
        <v>280</v>
      </c>
      <c r="B2" s="64">
        <v>390</v>
      </c>
      <c r="F2" t="s">
        <v>4</v>
      </c>
      <c r="G2" s="108">
        <v>11.863865978094248</v>
      </c>
    </row>
    <row r="3" spans="1:11">
      <c r="A3" s="61" t="s">
        <v>4</v>
      </c>
      <c r="B3" s="46">
        <v>11.86</v>
      </c>
      <c r="C3" s="37" t="s">
        <v>261</v>
      </c>
      <c r="D3" s="159" t="s">
        <v>262</v>
      </c>
      <c r="F3" t="s">
        <v>347</v>
      </c>
      <c r="G3" s="108">
        <v>159.04909674524936</v>
      </c>
    </row>
    <row r="4" spans="1:11">
      <c r="A4" s="61" t="s">
        <v>295</v>
      </c>
      <c r="B4" s="46">
        <v>2.86</v>
      </c>
      <c r="C4" s="37" t="s">
        <v>303</v>
      </c>
      <c r="D4" s="37">
        <v>2016</v>
      </c>
      <c r="F4" t="s">
        <v>506</v>
      </c>
      <c r="G4" s="108">
        <v>0.65800000000000003</v>
      </c>
    </row>
    <row r="5" spans="1:11">
      <c r="A5" s="61" t="s">
        <v>133</v>
      </c>
      <c r="B5" s="46">
        <v>102.6</v>
      </c>
      <c r="F5" t="s">
        <v>204</v>
      </c>
      <c r="G5" s="108">
        <v>2.8585176991150441</v>
      </c>
    </row>
    <row r="6" spans="1:11">
      <c r="A6" s="61" t="s">
        <v>86</v>
      </c>
      <c r="B6" s="46">
        <v>545.48</v>
      </c>
      <c r="F6" t="s">
        <v>456</v>
      </c>
      <c r="G6" s="108">
        <v>1.4601447037037034</v>
      </c>
    </row>
    <row r="7" spans="1:11">
      <c r="A7" s="61" t="s">
        <v>19</v>
      </c>
      <c r="B7" s="46">
        <v>10.57</v>
      </c>
      <c r="F7" t="s">
        <v>505</v>
      </c>
      <c r="G7" s="108">
        <v>2504.702625568631</v>
      </c>
    </row>
    <row r="8" spans="1:11">
      <c r="A8" s="61" t="s">
        <v>208</v>
      </c>
      <c r="B8" s="63">
        <v>2.6</v>
      </c>
      <c r="F8" t="s">
        <v>86</v>
      </c>
      <c r="G8" s="108">
        <v>545.47610342724715</v>
      </c>
    </row>
    <row r="9" spans="1:11">
      <c r="A9" s="61" t="s">
        <v>87</v>
      </c>
      <c r="B9" s="46">
        <v>1204.6199999999999</v>
      </c>
      <c r="F9" t="s">
        <v>19</v>
      </c>
      <c r="G9" s="108">
        <v>10.572298341561769</v>
      </c>
    </row>
    <row r="10" spans="1:11">
      <c r="A10" s="61" t="s">
        <v>182</v>
      </c>
      <c r="B10" s="46">
        <v>390.8</v>
      </c>
      <c r="F10" t="s">
        <v>208</v>
      </c>
    </row>
    <row r="11" spans="1:11">
      <c r="A11" s="61" t="s">
        <v>20</v>
      </c>
      <c r="B11" s="46">
        <v>37.85</v>
      </c>
      <c r="F11" t="s">
        <v>87</v>
      </c>
      <c r="G11" s="108">
        <v>1204.6164398284081</v>
      </c>
    </row>
    <row r="12" spans="1:11">
      <c r="A12" s="61" t="s">
        <v>88</v>
      </c>
      <c r="B12" s="46">
        <v>11.26</v>
      </c>
      <c r="F12" t="s">
        <v>182</v>
      </c>
      <c r="G12" s="108">
        <v>390.79999114746755</v>
      </c>
    </row>
    <row r="13" spans="1:11">
      <c r="A13" s="61" t="s">
        <v>89</v>
      </c>
      <c r="B13" s="46">
        <v>32.18</v>
      </c>
      <c r="F13" t="s">
        <v>20</v>
      </c>
      <c r="G13" s="108">
        <v>37.847715736040612</v>
      </c>
    </row>
    <row r="14" spans="1:11">
      <c r="A14" s="61" t="s">
        <v>134</v>
      </c>
      <c r="B14" s="46">
        <v>221.42</v>
      </c>
      <c r="F14" t="s">
        <v>438</v>
      </c>
      <c r="G14" s="108">
        <v>11.261799999999997</v>
      </c>
    </row>
    <row r="15" spans="1:11">
      <c r="A15" s="61" t="s">
        <v>90</v>
      </c>
      <c r="B15" s="46">
        <v>4.53</v>
      </c>
      <c r="F15" t="s">
        <v>89</v>
      </c>
      <c r="G15" s="108">
        <v>32.179069148936172</v>
      </c>
    </row>
    <row r="16" spans="1:11">
      <c r="A16" s="61" t="s">
        <v>5</v>
      </c>
      <c r="B16" s="46">
        <v>47.41</v>
      </c>
      <c r="F16" t="s">
        <v>134</v>
      </c>
      <c r="G16" s="108">
        <v>221.41516244564812</v>
      </c>
    </row>
    <row r="17" spans="1:7">
      <c r="A17" s="61" t="s">
        <v>183</v>
      </c>
      <c r="B17" s="46">
        <v>467.96</v>
      </c>
      <c r="F17" t="s">
        <v>90</v>
      </c>
      <c r="G17" s="108">
        <v>4.5290499999999998</v>
      </c>
    </row>
    <row r="18" spans="1:7">
      <c r="A18" s="61" t="s">
        <v>91</v>
      </c>
      <c r="B18" s="46">
        <v>1.74</v>
      </c>
      <c r="F18" t="s">
        <v>5</v>
      </c>
      <c r="G18" s="108">
        <v>47.40721753116204</v>
      </c>
    </row>
    <row r="19" spans="1:7">
      <c r="A19" s="61" t="s">
        <v>92</v>
      </c>
      <c r="B19" s="62">
        <v>5.6</v>
      </c>
      <c r="F19" t="s">
        <v>183</v>
      </c>
      <c r="G19" s="108">
        <v>467.95570981753906</v>
      </c>
    </row>
    <row r="20" spans="1:7">
      <c r="A20" s="61" t="s">
        <v>93</v>
      </c>
      <c r="B20" s="46">
        <v>33.81</v>
      </c>
      <c r="F20" t="s">
        <v>91</v>
      </c>
      <c r="G20" s="108">
        <v>1.7411000000000001</v>
      </c>
    </row>
    <row r="21" spans="1:7">
      <c r="A21" s="61" t="s">
        <v>7</v>
      </c>
      <c r="B21" s="46">
        <v>16.91</v>
      </c>
      <c r="F21" t="s">
        <v>215</v>
      </c>
      <c r="G21" s="108">
        <v>8.5830313982167539</v>
      </c>
    </row>
    <row r="22" spans="1:7">
      <c r="A22" s="61" t="s">
        <v>125</v>
      </c>
      <c r="B22" s="46">
        <v>15.58</v>
      </c>
      <c r="F22" t="s">
        <v>92</v>
      </c>
      <c r="G22" s="108">
        <v>0</v>
      </c>
    </row>
    <row r="23" spans="1:7">
      <c r="A23" s="61" t="s">
        <v>94</v>
      </c>
      <c r="B23" s="46">
        <v>1796.19</v>
      </c>
      <c r="F23" t="s">
        <v>449</v>
      </c>
      <c r="G23" s="108">
        <v>2.2126388303943876</v>
      </c>
    </row>
    <row r="24" spans="1:7">
      <c r="A24" s="61" t="s">
        <v>96</v>
      </c>
      <c r="B24" s="46">
        <v>53.24</v>
      </c>
      <c r="F24" t="s">
        <v>93</v>
      </c>
      <c r="G24" s="108">
        <v>33.806395513748193</v>
      </c>
    </row>
    <row r="25" spans="1:7">
      <c r="A25" s="61" t="s">
        <v>218</v>
      </c>
      <c r="B25" s="46">
        <v>11.69</v>
      </c>
      <c r="F25" t="s">
        <v>7</v>
      </c>
      <c r="G25" s="108">
        <v>16.910277133646289</v>
      </c>
    </row>
    <row r="26" spans="1:7">
      <c r="A26" s="61" t="s">
        <v>6</v>
      </c>
      <c r="B26" s="46">
        <v>20.02</v>
      </c>
      <c r="F26" t="s">
        <v>125</v>
      </c>
      <c r="G26" s="108">
        <v>15.581137273772796</v>
      </c>
    </row>
    <row r="27" spans="1:7">
      <c r="A27" s="61" t="s">
        <v>219</v>
      </c>
      <c r="B27" s="46">
        <v>32.22</v>
      </c>
      <c r="F27" t="s">
        <v>94</v>
      </c>
      <c r="G27" s="108">
        <v>1796.1865864144456</v>
      </c>
    </row>
    <row r="28" spans="1:7">
      <c r="A28" s="61" t="s">
        <v>97</v>
      </c>
      <c r="B28" s="46">
        <v>1529.76</v>
      </c>
      <c r="F28" t="s">
        <v>563</v>
      </c>
      <c r="G28" s="108">
        <v>0</v>
      </c>
    </row>
    <row r="29" spans="1:7">
      <c r="A29" s="61" t="s">
        <v>56</v>
      </c>
      <c r="B29" s="62">
        <v>3.2</v>
      </c>
      <c r="F29" t="s">
        <v>431</v>
      </c>
      <c r="G29" s="108">
        <v>11.400653731991602</v>
      </c>
    </row>
    <row r="30" spans="1:7">
      <c r="A30" s="61" t="s">
        <v>220</v>
      </c>
      <c r="B30" s="62">
        <v>1.9</v>
      </c>
      <c r="F30" t="s">
        <v>96</v>
      </c>
      <c r="G30" s="108">
        <v>53.237882472710822</v>
      </c>
    </row>
    <row r="31" spans="1:7">
      <c r="A31" s="61" t="s">
        <v>98</v>
      </c>
      <c r="B31" s="46">
        <v>247.03</v>
      </c>
      <c r="F31" t="s">
        <v>218</v>
      </c>
      <c r="G31" s="108">
        <v>11.693235542067104</v>
      </c>
    </row>
    <row r="32" spans="1:7">
      <c r="A32" s="61" t="s">
        <v>99</v>
      </c>
      <c r="B32" s="46">
        <v>11199.15</v>
      </c>
      <c r="F32" t="s">
        <v>445</v>
      </c>
      <c r="G32" s="108">
        <v>3.0070290304000968</v>
      </c>
    </row>
    <row r="33" spans="1:7">
      <c r="A33" s="61" t="s">
        <v>51</v>
      </c>
      <c r="B33" s="46">
        <v>282.45999999999998</v>
      </c>
      <c r="F33" t="s">
        <v>451</v>
      </c>
      <c r="G33" s="108">
        <v>1.6174674357700725</v>
      </c>
    </row>
    <row r="34" spans="1:7">
      <c r="A34" s="61" t="s">
        <v>296</v>
      </c>
      <c r="B34" s="46">
        <v>31.93</v>
      </c>
      <c r="F34" t="s">
        <v>6</v>
      </c>
      <c r="G34" s="108">
        <v>20.016747754019235</v>
      </c>
    </row>
    <row r="35" spans="1:7">
      <c r="A35" s="61" t="s">
        <v>297</v>
      </c>
      <c r="B35" s="46">
        <v>7.83</v>
      </c>
      <c r="F35" t="s">
        <v>219</v>
      </c>
      <c r="G35" s="108">
        <v>32.217497470489043</v>
      </c>
    </row>
    <row r="36" spans="1:7">
      <c r="A36" s="61" t="s">
        <v>221</v>
      </c>
      <c r="B36" s="62">
        <v>1.2</v>
      </c>
      <c r="F36" t="s">
        <v>97</v>
      </c>
      <c r="G36" s="108">
        <v>1529.7604922013522</v>
      </c>
    </row>
    <row r="37" spans="1:7">
      <c r="A37" s="61" t="s">
        <v>57</v>
      </c>
      <c r="B37" s="46">
        <v>57.44</v>
      </c>
      <c r="F37" t="s">
        <v>509</v>
      </c>
      <c r="G37" s="108">
        <v>66.707362091377959</v>
      </c>
    </row>
    <row r="38" spans="1:7">
      <c r="A38" s="61" t="s">
        <v>292</v>
      </c>
      <c r="B38" s="46">
        <v>36.369999999999997</v>
      </c>
      <c r="F38" t="s">
        <v>56</v>
      </c>
      <c r="G38" s="108">
        <v>0</v>
      </c>
    </row>
    <row r="39" spans="1:7">
      <c r="A39" s="61" t="s">
        <v>100</v>
      </c>
      <c r="B39" s="46">
        <v>50.71</v>
      </c>
      <c r="F39" t="s">
        <v>452</v>
      </c>
      <c r="G39" s="108">
        <v>1.7561246771967065</v>
      </c>
    </row>
    <row r="40" spans="1:7">
      <c r="A40" s="61" t="s">
        <v>101</v>
      </c>
      <c r="B40" s="47">
        <v>77.2</v>
      </c>
      <c r="F40" t="s">
        <v>507</v>
      </c>
      <c r="G40" s="108">
        <v>1312.1576904928916</v>
      </c>
    </row>
    <row r="41" spans="1:7">
      <c r="A41" s="61" t="s">
        <v>224</v>
      </c>
      <c r="B41" s="62">
        <v>1</v>
      </c>
      <c r="F41" t="s">
        <v>435</v>
      </c>
      <c r="G41" s="108">
        <v>9.6007614737873777</v>
      </c>
    </row>
    <row r="42" spans="1:7">
      <c r="A42" s="61" t="s">
        <v>184</v>
      </c>
      <c r="B42" s="46">
        <v>20.05</v>
      </c>
      <c r="F42" t="s">
        <v>508</v>
      </c>
      <c r="G42" s="108">
        <v>0</v>
      </c>
    </row>
    <row r="43" spans="1:7">
      <c r="A43" s="61" t="s">
        <v>103</v>
      </c>
      <c r="B43" s="46">
        <v>195.31</v>
      </c>
      <c r="F43" t="s">
        <v>98</v>
      </c>
      <c r="G43" s="108">
        <v>247.02791257434998</v>
      </c>
    </row>
    <row r="44" spans="1:7">
      <c r="A44" s="61" t="s">
        <v>104</v>
      </c>
      <c r="B44" s="46">
        <v>306.89999999999998</v>
      </c>
      <c r="F44" t="s">
        <v>99</v>
      </c>
      <c r="G44" s="108">
        <v>11199.145157649184</v>
      </c>
    </row>
    <row r="45" spans="1:7">
      <c r="A45" s="61" t="s">
        <v>105</v>
      </c>
      <c r="B45" s="46">
        <v>71.58</v>
      </c>
      <c r="F45" t="s">
        <v>51</v>
      </c>
      <c r="G45" s="108">
        <v>282.46255136687768</v>
      </c>
    </row>
    <row r="46" spans="1:7">
      <c r="A46" s="61" t="s">
        <v>106</v>
      </c>
      <c r="B46" s="46">
        <v>98.61</v>
      </c>
      <c r="F46" t="s">
        <v>464</v>
      </c>
      <c r="G46" s="108">
        <v>0.61665449041317899</v>
      </c>
    </row>
    <row r="47" spans="1:7">
      <c r="A47" s="61" t="s">
        <v>107</v>
      </c>
      <c r="B47" s="46">
        <v>332.79</v>
      </c>
      <c r="F47" t="s">
        <v>428</v>
      </c>
      <c r="G47" s="108">
        <v>31.930856401916337</v>
      </c>
    </row>
    <row r="48" spans="1:7">
      <c r="A48" s="61" t="s">
        <v>31</v>
      </c>
      <c r="B48" s="46">
        <v>26.8</v>
      </c>
      <c r="F48" t="s">
        <v>439</v>
      </c>
      <c r="G48" s="108">
        <v>7.8335088789665974</v>
      </c>
    </row>
    <row r="49" spans="1:7">
      <c r="A49" s="61" t="s">
        <v>108</v>
      </c>
      <c r="B49" s="46">
        <v>23.34</v>
      </c>
      <c r="F49" t="s">
        <v>57</v>
      </c>
      <c r="G49" s="108">
        <v>57.435507212255999</v>
      </c>
    </row>
    <row r="50" spans="1:7">
      <c r="A50" s="61" t="s">
        <v>293</v>
      </c>
      <c r="B50" s="46">
        <v>72.37</v>
      </c>
      <c r="F50" t="s">
        <v>395</v>
      </c>
      <c r="G50" s="108">
        <v>36.37261302294197</v>
      </c>
    </row>
    <row r="51" spans="1:7">
      <c r="A51" s="61" t="s">
        <v>226</v>
      </c>
      <c r="B51" s="46">
        <v>4.7</v>
      </c>
      <c r="F51" t="s">
        <v>100</v>
      </c>
      <c r="G51" s="108">
        <v>50.714957390537755</v>
      </c>
    </row>
    <row r="52" spans="1:7">
      <c r="A52" s="61" t="s">
        <v>185</v>
      </c>
      <c r="B52" s="46">
        <v>238.5</v>
      </c>
      <c r="F52" t="s">
        <v>101</v>
      </c>
      <c r="G52" s="108">
        <v>0</v>
      </c>
    </row>
    <row r="53" spans="1:7">
      <c r="A53" s="61" t="s">
        <v>186</v>
      </c>
      <c r="B53" s="46">
        <v>2465.4499999999998</v>
      </c>
      <c r="F53" t="s">
        <v>224</v>
      </c>
      <c r="G53" s="108">
        <v>0</v>
      </c>
    </row>
    <row r="54" spans="1:7">
      <c r="A54" s="61" t="s">
        <v>227</v>
      </c>
      <c r="B54" s="46">
        <v>14.21</v>
      </c>
      <c r="F54" t="s">
        <v>184</v>
      </c>
      <c r="G54" s="108">
        <v>20.04701327433628</v>
      </c>
    </row>
    <row r="55" spans="1:7">
      <c r="A55" s="61" t="s">
        <v>135</v>
      </c>
      <c r="B55" s="46">
        <v>14.38</v>
      </c>
      <c r="F55" t="s">
        <v>103</v>
      </c>
      <c r="G55" s="108">
        <v>195.30508491913815</v>
      </c>
    </row>
    <row r="56" spans="1:7">
      <c r="A56" s="61" t="s">
        <v>187</v>
      </c>
      <c r="B56" s="46">
        <v>3477.8</v>
      </c>
      <c r="F56" t="s">
        <v>104</v>
      </c>
      <c r="G56" s="108">
        <v>306.89965340960146</v>
      </c>
    </row>
    <row r="57" spans="1:7">
      <c r="A57" s="61" t="s">
        <v>228</v>
      </c>
      <c r="B57" s="46">
        <v>42.69</v>
      </c>
      <c r="F57" t="s">
        <v>450</v>
      </c>
      <c r="G57" s="108">
        <v>0</v>
      </c>
    </row>
    <row r="58" spans="1:7">
      <c r="A58" s="61" t="s">
        <v>188</v>
      </c>
      <c r="B58" s="46">
        <v>192.69</v>
      </c>
      <c r="F58" t="s">
        <v>465</v>
      </c>
      <c r="G58" s="108">
        <v>0.58148403185185182</v>
      </c>
    </row>
    <row r="59" spans="1:7">
      <c r="A59" s="61" t="s">
        <v>109</v>
      </c>
      <c r="B59" s="46">
        <v>68.760000000000005</v>
      </c>
      <c r="F59" t="s">
        <v>105</v>
      </c>
      <c r="G59" s="108">
        <v>71.583553487564558</v>
      </c>
    </row>
    <row r="60" spans="1:7">
      <c r="A60" s="61" t="s">
        <v>298</v>
      </c>
      <c r="B60" s="63">
        <v>0.5</v>
      </c>
      <c r="F60" t="s">
        <v>511</v>
      </c>
      <c r="G60" s="108">
        <v>10401.989026722815</v>
      </c>
    </row>
    <row r="61" spans="1:7">
      <c r="A61" s="61" t="s">
        <v>110</v>
      </c>
      <c r="B61" s="46">
        <v>21.52</v>
      </c>
      <c r="F61" t="s">
        <v>512</v>
      </c>
      <c r="G61" s="108">
        <v>22480.427869996227</v>
      </c>
    </row>
    <row r="62" spans="1:7">
      <c r="A62" s="61" t="s">
        <v>60</v>
      </c>
      <c r="B62" s="46">
        <v>320.91000000000003</v>
      </c>
      <c r="F62" t="s">
        <v>510</v>
      </c>
      <c r="G62" s="108">
        <v>13512.435638588799</v>
      </c>
    </row>
    <row r="63" spans="1:7">
      <c r="A63" s="61" t="s">
        <v>111</v>
      </c>
      <c r="B63" s="46">
        <v>125.82</v>
      </c>
      <c r="F63" t="s">
        <v>555</v>
      </c>
      <c r="G63" s="108">
        <v>13486.492444155363</v>
      </c>
    </row>
    <row r="64" spans="1:7">
      <c r="A64" s="61" t="s">
        <v>112</v>
      </c>
      <c r="B64" s="46">
        <v>20.05</v>
      </c>
      <c r="F64" t="s">
        <v>106</v>
      </c>
      <c r="G64" s="108">
        <v>98.61397199999999</v>
      </c>
    </row>
    <row r="65" spans="1:7">
      <c r="A65" s="61" t="s">
        <v>113</v>
      </c>
      <c r="B65" s="46">
        <v>2263.79</v>
      </c>
      <c r="F65" t="s">
        <v>421</v>
      </c>
      <c r="G65" s="108">
        <v>332.79104596380688</v>
      </c>
    </row>
    <row r="66" spans="1:7">
      <c r="A66" s="61" t="s">
        <v>114</v>
      </c>
      <c r="B66" s="46">
        <v>932.26</v>
      </c>
      <c r="F66" t="s">
        <v>31</v>
      </c>
      <c r="G66" s="108">
        <v>26.797470000000001</v>
      </c>
    </row>
    <row r="67" spans="1:7">
      <c r="A67" s="61" t="s">
        <v>341</v>
      </c>
      <c r="B67" s="46">
        <v>171.49</v>
      </c>
      <c r="F67" t="s">
        <v>434</v>
      </c>
      <c r="G67" s="108">
        <v>10.684804794036145</v>
      </c>
    </row>
    <row r="68" spans="1:7">
      <c r="A68" s="61" t="s">
        <v>189</v>
      </c>
      <c r="B68" s="46">
        <v>304.82</v>
      </c>
      <c r="F68" t="s">
        <v>516</v>
      </c>
      <c r="G68" s="108">
        <v>0</v>
      </c>
    </row>
    <row r="69" spans="1:7">
      <c r="A69" s="61" t="s">
        <v>115</v>
      </c>
      <c r="B69" s="62">
        <v>7.4</v>
      </c>
      <c r="F69" t="s">
        <v>108</v>
      </c>
      <c r="G69" s="108">
        <v>23.33790761851736</v>
      </c>
    </row>
    <row r="70" spans="1:7">
      <c r="A70" s="61" t="s">
        <v>116</v>
      </c>
      <c r="B70" s="46">
        <v>317.74</v>
      </c>
      <c r="F70" t="s">
        <v>293</v>
      </c>
      <c r="G70" s="108">
        <v>72.37422424939966</v>
      </c>
    </row>
    <row r="71" spans="1:7">
      <c r="A71" s="61" t="s">
        <v>147</v>
      </c>
      <c r="B71" s="46">
        <v>1858.91</v>
      </c>
      <c r="F71" t="s">
        <v>515</v>
      </c>
      <c r="G71" s="108">
        <v>11934.055071905985</v>
      </c>
    </row>
    <row r="72" spans="1:7">
      <c r="A72" s="61" t="s">
        <v>117</v>
      </c>
      <c r="B72" s="46">
        <v>14.06</v>
      </c>
      <c r="F72" t="s">
        <v>514</v>
      </c>
      <c r="G72" s="108">
        <v>20273.841359270988</v>
      </c>
    </row>
    <row r="73" spans="1:7">
      <c r="A73" s="61" t="s">
        <v>118</v>
      </c>
      <c r="B73" s="46">
        <v>4940.16</v>
      </c>
      <c r="F73" t="s">
        <v>513</v>
      </c>
      <c r="G73" s="108">
        <v>2991.8239010205189</v>
      </c>
    </row>
    <row r="74" spans="1:7">
      <c r="A74" s="61" t="s">
        <v>299</v>
      </c>
      <c r="B74" s="63">
        <v>1</v>
      </c>
      <c r="F74" t="s">
        <v>556</v>
      </c>
      <c r="G74" s="108">
        <v>3463.1883097344758</v>
      </c>
    </row>
    <row r="75" spans="1:7">
      <c r="A75" s="61" t="s">
        <v>119</v>
      </c>
      <c r="B75" s="46">
        <v>38.65</v>
      </c>
      <c r="F75" t="s">
        <v>517</v>
      </c>
      <c r="G75" s="108">
        <v>16487.344364513876</v>
      </c>
    </row>
    <row r="76" spans="1:7">
      <c r="A76" s="61" t="s">
        <v>120</v>
      </c>
      <c r="B76" s="46">
        <v>137.28</v>
      </c>
      <c r="F76" t="s">
        <v>446</v>
      </c>
      <c r="G76" s="108">
        <v>0</v>
      </c>
    </row>
    <row r="77" spans="1:7">
      <c r="A77" s="61" t="s">
        <v>190</v>
      </c>
      <c r="B77" s="46">
        <v>70.53</v>
      </c>
      <c r="F77" t="s">
        <v>226</v>
      </c>
      <c r="G77" s="108">
        <v>4.7036329784694706</v>
      </c>
    </row>
    <row r="78" spans="1:7">
      <c r="A78" s="61" t="s">
        <v>121</v>
      </c>
      <c r="B78" s="46">
        <v>1411.25</v>
      </c>
      <c r="F78" t="s">
        <v>185</v>
      </c>
      <c r="G78" s="108">
        <v>238.50290031189974</v>
      </c>
    </row>
    <row r="79" spans="1:7">
      <c r="A79" s="61" t="s">
        <v>122</v>
      </c>
      <c r="B79" s="46">
        <v>110.88</v>
      </c>
      <c r="F79" t="s">
        <v>518</v>
      </c>
      <c r="G79" s="108">
        <v>744.25058341764543</v>
      </c>
    </row>
    <row r="80" spans="1:7">
      <c r="A80" t="s">
        <v>363</v>
      </c>
      <c r="B80" s="46">
        <v>6.55</v>
      </c>
      <c r="F80" t="s">
        <v>186</v>
      </c>
      <c r="G80" s="108">
        <v>2465.4539752822388</v>
      </c>
    </row>
    <row r="81" spans="1:7">
      <c r="A81" s="61" t="s">
        <v>123</v>
      </c>
      <c r="B81" s="46">
        <v>27.57</v>
      </c>
      <c r="F81" t="s">
        <v>547</v>
      </c>
      <c r="G81" s="108">
        <v>0</v>
      </c>
    </row>
    <row r="82" spans="1:7">
      <c r="A82" s="61" t="s">
        <v>124</v>
      </c>
      <c r="B82" s="46">
        <v>49.6</v>
      </c>
      <c r="F82" t="s">
        <v>227</v>
      </c>
      <c r="G82" s="108">
        <v>14.213558130181726</v>
      </c>
    </row>
    <row r="83" spans="1:7">
      <c r="A83" s="61" t="s">
        <v>230</v>
      </c>
      <c r="B83" s="62">
        <v>6.7</v>
      </c>
      <c r="F83" t="s">
        <v>459</v>
      </c>
      <c r="G83" s="108">
        <v>0.96459917812910201</v>
      </c>
    </row>
    <row r="84" spans="1:7">
      <c r="A84" s="61" t="s">
        <v>13</v>
      </c>
      <c r="B84" s="46">
        <v>42.74</v>
      </c>
      <c r="F84" t="s">
        <v>135</v>
      </c>
      <c r="G84" s="108">
        <v>14.378016729158661</v>
      </c>
    </row>
    <row r="85" spans="1:7">
      <c r="A85" s="61" t="s">
        <v>191</v>
      </c>
      <c r="B85" s="46">
        <v>58.63</v>
      </c>
      <c r="F85" t="s">
        <v>187</v>
      </c>
      <c r="G85" s="108">
        <v>3477.7962744968036</v>
      </c>
    </row>
    <row r="86" spans="1:7">
      <c r="A86" s="61" t="s">
        <v>32</v>
      </c>
      <c r="B86" s="46">
        <v>44.8</v>
      </c>
      <c r="F86" t="s">
        <v>228</v>
      </c>
      <c r="G86" s="108">
        <v>42.689783733873007</v>
      </c>
    </row>
    <row r="87" spans="1:7">
      <c r="A87" s="61" t="s">
        <v>148</v>
      </c>
      <c r="B87" s="46">
        <v>10.9</v>
      </c>
      <c r="F87" t="s">
        <v>476</v>
      </c>
      <c r="G87" s="108">
        <v>0</v>
      </c>
    </row>
    <row r="88" spans="1:7">
      <c r="A88" s="61" t="s">
        <v>14</v>
      </c>
      <c r="B88" s="46">
        <v>296.54000000000002</v>
      </c>
      <c r="F88" t="s">
        <v>188</v>
      </c>
      <c r="G88" s="108">
        <v>192.69081312686043</v>
      </c>
    </row>
    <row r="89" spans="1:7">
      <c r="A89" s="213" t="s">
        <v>444</v>
      </c>
      <c r="B89" s="46">
        <v>4.22</v>
      </c>
      <c r="F89" t="s">
        <v>447</v>
      </c>
      <c r="G89" s="108">
        <v>0</v>
      </c>
    </row>
    <row r="90" spans="1:7">
      <c r="A90" s="61" t="s">
        <v>192</v>
      </c>
      <c r="B90" s="46">
        <v>11</v>
      </c>
      <c r="F90" t="s">
        <v>458</v>
      </c>
      <c r="G90" s="108">
        <v>1.0561885925925925</v>
      </c>
    </row>
    <row r="91" spans="1:7">
      <c r="A91" s="61" t="s">
        <v>15</v>
      </c>
      <c r="B91" s="46">
        <v>12.17</v>
      </c>
      <c r="F91" t="s">
        <v>519</v>
      </c>
      <c r="G91" s="108">
        <v>5.7930000000000001</v>
      </c>
    </row>
    <row r="92" spans="1:7">
      <c r="A92" s="61" t="s">
        <v>16</v>
      </c>
      <c r="B92" s="46">
        <v>1046.92</v>
      </c>
      <c r="F92" t="s">
        <v>109</v>
      </c>
      <c r="G92" s="108">
        <v>68.763255963894252</v>
      </c>
    </row>
    <row r="93" spans="1:7">
      <c r="A93" s="61" t="s">
        <v>17</v>
      </c>
      <c r="B93" s="46">
        <v>6.75</v>
      </c>
      <c r="F93" t="s">
        <v>327</v>
      </c>
      <c r="G93" s="108">
        <v>8.200248003022061</v>
      </c>
    </row>
    <row r="94" spans="1:7">
      <c r="A94" s="61" t="s">
        <v>64</v>
      </c>
      <c r="B94" s="46">
        <v>11.18</v>
      </c>
      <c r="F94" t="s">
        <v>343</v>
      </c>
      <c r="G94" s="108">
        <v>1.1649445099441884</v>
      </c>
    </row>
    <row r="95" spans="1:7">
      <c r="A95" s="61" t="s">
        <v>8</v>
      </c>
      <c r="B95" s="46">
        <v>4.37</v>
      </c>
      <c r="F95" t="s">
        <v>340</v>
      </c>
      <c r="G95" s="108">
        <v>3.5023970944309926</v>
      </c>
    </row>
    <row r="96" spans="1:7">
      <c r="A96" s="61" t="s">
        <v>232</v>
      </c>
      <c r="B96" s="62">
        <v>1.5</v>
      </c>
      <c r="F96" t="s">
        <v>336</v>
      </c>
      <c r="G96" s="108">
        <v>8.0226387219201261</v>
      </c>
    </row>
    <row r="97" spans="1:7">
      <c r="A97" s="61" t="s">
        <v>18</v>
      </c>
      <c r="B97" s="46">
        <v>103.61</v>
      </c>
      <c r="F97" t="s">
        <v>521</v>
      </c>
      <c r="G97" s="108">
        <v>648.28934813703177</v>
      </c>
    </row>
    <row r="98" spans="1:7">
      <c r="A98" s="61" t="s">
        <v>233</v>
      </c>
      <c r="B98" s="46">
        <v>11.01</v>
      </c>
      <c r="F98" t="s">
        <v>520</v>
      </c>
      <c r="G98" s="108">
        <v>48557.463061833085</v>
      </c>
    </row>
    <row r="99" spans="1:7">
      <c r="A99" s="61" t="s">
        <v>138</v>
      </c>
      <c r="B99" s="46">
        <v>10.95</v>
      </c>
      <c r="F99" t="s">
        <v>110</v>
      </c>
      <c r="G99" s="108">
        <v>21.516938909568644</v>
      </c>
    </row>
    <row r="100" spans="1:7">
      <c r="A100" s="61" t="s">
        <v>193</v>
      </c>
      <c r="B100" s="46">
        <v>777.23</v>
      </c>
      <c r="F100" t="s">
        <v>422</v>
      </c>
      <c r="G100" s="108">
        <v>320.91430264615707</v>
      </c>
    </row>
    <row r="101" spans="1:7">
      <c r="A101" s="61" t="s">
        <v>21</v>
      </c>
      <c r="B101" s="46">
        <v>184.97</v>
      </c>
      <c r="F101" t="s">
        <v>111</v>
      </c>
      <c r="G101" s="108">
        <v>125.81664042056919</v>
      </c>
    </row>
    <row r="102" spans="1:7">
      <c r="A102" s="61" t="s">
        <v>22</v>
      </c>
      <c r="B102" s="46">
        <v>13.23</v>
      </c>
      <c r="F102" t="s">
        <v>522</v>
      </c>
      <c r="G102" s="108">
        <v>25981.476556760525</v>
      </c>
    </row>
    <row r="103" spans="1:7">
      <c r="A103" s="61" t="s">
        <v>194</v>
      </c>
      <c r="B103" s="46">
        <v>404.65</v>
      </c>
      <c r="F103" t="s">
        <v>112</v>
      </c>
      <c r="G103" s="108">
        <v>20.047413006347099</v>
      </c>
    </row>
    <row r="104" spans="1:7">
      <c r="A104" s="61" t="s">
        <v>23</v>
      </c>
      <c r="B104" s="46">
        <v>371.08</v>
      </c>
      <c r="F104" t="s">
        <v>523</v>
      </c>
      <c r="G104" s="108">
        <v>27972.819139754487</v>
      </c>
    </row>
    <row r="105" spans="1:7">
      <c r="A105" s="61" t="s">
        <v>24</v>
      </c>
      <c r="B105" s="46">
        <v>66.290000000000006</v>
      </c>
      <c r="F105" t="s">
        <v>525</v>
      </c>
      <c r="G105" s="108">
        <v>923.60601341398069</v>
      </c>
    </row>
    <row r="106" spans="1:7">
      <c r="A106" s="61" t="s">
        <v>25</v>
      </c>
      <c r="B106" s="46">
        <v>278.91000000000003</v>
      </c>
      <c r="F106" t="s">
        <v>526</v>
      </c>
      <c r="G106" s="108">
        <v>1072.7864882103966</v>
      </c>
    </row>
    <row r="107" spans="1:7">
      <c r="A107" s="61" t="s">
        <v>26</v>
      </c>
      <c r="B107" s="46">
        <v>55.19</v>
      </c>
      <c r="F107" t="s">
        <v>524</v>
      </c>
      <c r="G107" s="108">
        <v>1999.8077113874133</v>
      </c>
    </row>
    <row r="108" spans="1:7">
      <c r="A108" s="61" t="s">
        <v>9</v>
      </c>
      <c r="B108" s="46">
        <v>20.21</v>
      </c>
      <c r="F108" t="s">
        <v>113</v>
      </c>
      <c r="G108" s="108">
        <v>2263.7924993410065</v>
      </c>
    </row>
    <row r="109" spans="1:7">
      <c r="A109" s="61" t="s">
        <v>27</v>
      </c>
      <c r="B109" s="46">
        <v>27.42</v>
      </c>
      <c r="F109" t="s">
        <v>114</v>
      </c>
      <c r="G109" s="108">
        <v>932.25917776530707</v>
      </c>
    </row>
    <row r="110" spans="1:7">
      <c r="A110" s="61" t="s">
        <v>28</v>
      </c>
      <c r="B110" s="46">
        <v>192.21</v>
      </c>
      <c r="F110" t="s">
        <v>420</v>
      </c>
      <c r="G110" s="108">
        <v>418.97667972856732</v>
      </c>
    </row>
    <row r="111" spans="1:7">
      <c r="A111" s="61" t="s">
        <v>29</v>
      </c>
      <c r="B111" s="46">
        <v>304.91000000000003</v>
      </c>
      <c r="F111" t="s">
        <v>341</v>
      </c>
      <c r="G111" s="108">
        <v>171.48900169204737</v>
      </c>
    </row>
    <row r="112" spans="1:7">
      <c r="A112" s="61" t="s">
        <v>30</v>
      </c>
      <c r="B112" s="46">
        <v>471.36</v>
      </c>
      <c r="F112" t="s">
        <v>189</v>
      </c>
      <c r="G112" s="108">
        <v>304.81902050064087</v>
      </c>
    </row>
    <row r="113" spans="1:7">
      <c r="A113" s="61" t="s">
        <v>195</v>
      </c>
      <c r="B113" s="46">
        <v>204.84</v>
      </c>
      <c r="F113" t="s">
        <v>115</v>
      </c>
      <c r="G113" s="108">
        <v>0</v>
      </c>
    </row>
    <row r="114" spans="1:7">
      <c r="A114" s="61" t="s">
        <v>76</v>
      </c>
      <c r="B114" s="46">
        <v>152.44999999999999</v>
      </c>
      <c r="F114" t="s">
        <v>116</v>
      </c>
      <c r="G114" s="108">
        <v>317.74478469509972</v>
      </c>
    </row>
    <row r="115" spans="1:7">
      <c r="A115" s="61" t="s">
        <v>300</v>
      </c>
      <c r="B115" s="62">
        <v>5.2</v>
      </c>
      <c r="F115" t="s">
        <v>147</v>
      </c>
      <c r="G115" s="108">
        <v>1858.9131639277166</v>
      </c>
    </row>
    <row r="116" spans="1:7">
      <c r="A116" s="61" t="s">
        <v>0</v>
      </c>
      <c r="B116" s="46">
        <v>187.59</v>
      </c>
      <c r="F116" t="s">
        <v>117</v>
      </c>
      <c r="G116" s="108">
        <v>14.056908749350495</v>
      </c>
    </row>
    <row r="117" spans="1:7">
      <c r="A117" s="61" t="s">
        <v>1</v>
      </c>
      <c r="B117" s="46">
        <v>1283.1600000000001</v>
      </c>
      <c r="F117" t="s">
        <v>118</v>
      </c>
      <c r="G117" s="108">
        <v>4940.158776617156</v>
      </c>
    </row>
    <row r="118" spans="1:7">
      <c r="A118" s="61" t="s">
        <v>234</v>
      </c>
      <c r="B118" s="46">
        <v>8.3800000000000008</v>
      </c>
      <c r="F118" t="s">
        <v>119</v>
      </c>
      <c r="G118" s="108">
        <v>38.654727746478876</v>
      </c>
    </row>
    <row r="119" spans="1:7">
      <c r="A119" s="61" t="s">
        <v>2</v>
      </c>
      <c r="B119" s="46">
        <v>646.44000000000005</v>
      </c>
      <c r="F119" t="s">
        <v>120</v>
      </c>
      <c r="G119" s="108">
        <v>137.27832008417116</v>
      </c>
    </row>
    <row r="120" spans="1:7">
      <c r="A120" s="61" t="s">
        <v>137</v>
      </c>
      <c r="B120" s="46">
        <v>14.68</v>
      </c>
      <c r="F120" t="s">
        <v>190</v>
      </c>
      <c r="G120" s="108">
        <v>70.52901477832512</v>
      </c>
    </row>
    <row r="121" spans="1:7">
      <c r="A121" s="61" t="s">
        <v>149</v>
      </c>
      <c r="B121" s="46">
        <v>38.299999999999997</v>
      </c>
      <c r="F121" t="s">
        <v>470</v>
      </c>
      <c r="G121" s="108">
        <v>0.18155148489526909</v>
      </c>
    </row>
    <row r="122" spans="1:7">
      <c r="A122" s="61" t="s">
        <v>294</v>
      </c>
      <c r="B122" s="63">
        <v>5</v>
      </c>
      <c r="F122" t="s">
        <v>544</v>
      </c>
      <c r="G122" s="108">
        <v>0</v>
      </c>
    </row>
    <row r="123" spans="1:7">
      <c r="A123" s="61" t="s">
        <v>3</v>
      </c>
      <c r="B123" s="46">
        <v>296.98</v>
      </c>
      <c r="F123" t="s">
        <v>418</v>
      </c>
      <c r="G123" s="108">
        <v>1411.2455899766301</v>
      </c>
    </row>
    <row r="124" spans="1:7">
      <c r="A124" s="61" t="s">
        <v>62</v>
      </c>
      <c r="B124" s="46">
        <v>89.77</v>
      </c>
      <c r="F124" t="s">
        <v>441</v>
      </c>
      <c r="G124" s="108">
        <v>6.6498888888888885</v>
      </c>
    </row>
    <row r="125" spans="1:7">
      <c r="A125" s="61" t="s">
        <v>196</v>
      </c>
      <c r="B125" s="46">
        <v>44.71</v>
      </c>
      <c r="F125" t="s">
        <v>122</v>
      </c>
      <c r="G125" s="108">
        <v>110.87557908669754</v>
      </c>
    </row>
    <row r="126" spans="1:7">
      <c r="A126" s="213" t="s">
        <v>457</v>
      </c>
      <c r="B126" s="46">
        <v>1.2</v>
      </c>
      <c r="F126" t="s">
        <v>364</v>
      </c>
      <c r="G126" s="108">
        <v>6.5512879376263164</v>
      </c>
    </row>
    <row r="127" spans="1:7">
      <c r="A127" s="61" t="s">
        <v>78</v>
      </c>
      <c r="B127" s="46">
        <v>295.45999999999998</v>
      </c>
      <c r="F127" t="s">
        <v>433</v>
      </c>
      <c r="G127" s="108">
        <v>15.903329472990356</v>
      </c>
    </row>
    <row r="128" spans="1:7">
      <c r="A128" s="61" t="s">
        <v>140</v>
      </c>
      <c r="B128" s="46">
        <v>1237.26</v>
      </c>
      <c r="F128" t="s">
        <v>533</v>
      </c>
      <c r="G128" s="108">
        <v>18455.074977717468</v>
      </c>
    </row>
    <row r="129" spans="1:7">
      <c r="A129" s="61" t="s">
        <v>136</v>
      </c>
      <c r="B129" s="46">
        <v>81.319999999999993</v>
      </c>
      <c r="F129" t="s">
        <v>316</v>
      </c>
      <c r="G129" s="108">
        <v>5299.8656257740222</v>
      </c>
    </row>
    <row r="130" spans="1:7">
      <c r="A130" s="61" t="s">
        <v>197</v>
      </c>
      <c r="B130" s="62">
        <v>1.5</v>
      </c>
      <c r="F130" t="s">
        <v>528</v>
      </c>
      <c r="G130" s="108">
        <v>4853.0425250003436</v>
      </c>
    </row>
    <row r="131" spans="1:7">
      <c r="A131" s="61" t="s">
        <v>10</v>
      </c>
      <c r="B131" s="160">
        <v>0.77</v>
      </c>
      <c r="F131" t="s">
        <v>557</v>
      </c>
      <c r="G131" s="108">
        <v>5094.1643852665675</v>
      </c>
    </row>
    <row r="132" spans="1:7">
      <c r="A132" s="61" t="s">
        <v>33</v>
      </c>
      <c r="B132" s="46">
        <v>3.28</v>
      </c>
      <c r="F132" t="s">
        <v>123</v>
      </c>
      <c r="G132" s="108">
        <v>27.572698481876621</v>
      </c>
    </row>
    <row r="133" spans="1:7">
      <c r="A133" s="61" t="s">
        <v>443</v>
      </c>
      <c r="B133" s="46">
        <v>3.72</v>
      </c>
      <c r="F133" t="s">
        <v>529</v>
      </c>
      <c r="G133" s="108">
        <v>940.73436953739429</v>
      </c>
    </row>
    <row r="134" spans="1:7">
      <c r="A134" s="61" t="s">
        <v>34</v>
      </c>
      <c r="B134" s="46">
        <v>514.46</v>
      </c>
      <c r="F134" t="s">
        <v>124</v>
      </c>
      <c r="G134" s="108">
        <v>49.598825982155873</v>
      </c>
    </row>
    <row r="135" spans="1:7">
      <c r="A135" s="61" t="s">
        <v>35</v>
      </c>
      <c r="B135" s="46">
        <v>668.85</v>
      </c>
      <c r="F135" t="s">
        <v>448</v>
      </c>
      <c r="G135" s="108">
        <v>2.2913216674824599</v>
      </c>
    </row>
    <row r="136" spans="1:7">
      <c r="A136" s="61" t="s">
        <v>65</v>
      </c>
      <c r="B136" s="186">
        <v>970.9</v>
      </c>
      <c r="F136" t="s">
        <v>328</v>
      </c>
      <c r="G136" s="108">
        <v>2.101</v>
      </c>
    </row>
    <row r="137" spans="1:7">
      <c r="A137" s="61" t="s">
        <v>440</v>
      </c>
      <c r="B137" s="186">
        <v>6.95</v>
      </c>
      <c r="F137" t="s">
        <v>332</v>
      </c>
      <c r="G137" s="108">
        <v>0</v>
      </c>
    </row>
    <row r="138" spans="1:7">
      <c r="A138" s="213" t="s">
        <v>342</v>
      </c>
      <c r="B138" s="186">
        <v>47.34</v>
      </c>
      <c r="F138" t="s">
        <v>230</v>
      </c>
      <c r="G138" s="108">
        <v>0</v>
      </c>
    </row>
    <row r="139" spans="1:7">
      <c r="A139" s="61" t="s">
        <v>66</v>
      </c>
      <c r="B139" s="46">
        <v>407.03</v>
      </c>
      <c r="F139" t="s">
        <v>13</v>
      </c>
      <c r="G139" s="108">
        <v>42.738875963370305</v>
      </c>
    </row>
    <row r="140" spans="1:7">
      <c r="A140" s="61" t="s">
        <v>11</v>
      </c>
      <c r="B140" s="46">
        <v>21.89</v>
      </c>
      <c r="F140" t="s">
        <v>532</v>
      </c>
      <c r="G140" s="108">
        <v>27299.380819539907</v>
      </c>
    </row>
    <row r="141" spans="1:7">
      <c r="A141" s="61" t="s">
        <v>79</v>
      </c>
      <c r="B141" s="46">
        <v>42.06</v>
      </c>
      <c r="F141" t="s">
        <v>530</v>
      </c>
      <c r="G141" s="108">
        <v>402.52411902879351</v>
      </c>
    </row>
    <row r="142" spans="1:7">
      <c r="A142" s="61" t="s">
        <v>67</v>
      </c>
      <c r="B142" s="46">
        <v>863.71</v>
      </c>
      <c r="F142" t="s">
        <v>531</v>
      </c>
      <c r="G142" s="108">
        <v>6263.3729091066079</v>
      </c>
    </row>
    <row r="143" spans="1:7">
      <c r="A143" s="61" t="s">
        <v>301</v>
      </c>
      <c r="B143" s="63">
        <v>1.5</v>
      </c>
      <c r="F143" t="s">
        <v>191</v>
      </c>
      <c r="G143" s="108">
        <v>58.631324559448437</v>
      </c>
    </row>
    <row r="144" spans="1:7">
      <c r="A144" s="61" t="s">
        <v>235</v>
      </c>
      <c r="B144" s="46">
        <v>24.08</v>
      </c>
      <c r="F144" t="s">
        <v>426</v>
      </c>
      <c r="G144" s="108">
        <v>44.802641829926507</v>
      </c>
    </row>
    <row r="145" spans="1:7">
      <c r="A145" s="61" t="s">
        <v>69</v>
      </c>
      <c r="B145" s="46">
        <v>93.27</v>
      </c>
      <c r="F145" t="s">
        <v>436</v>
      </c>
      <c r="G145" s="108">
        <v>10.899583154649868</v>
      </c>
    </row>
    <row r="146" spans="1:7">
      <c r="A146" s="61" t="s">
        <v>61</v>
      </c>
      <c r="B146" s="46">
        <v>348.74</v>
      </c>
      <c r="F146" t="s">
        <v>346</v>
      </c>
      <c r="G146" s="108">
        <v>10.001193420151806</v>
      </c>
    </row>
    <row r="147" spans="1:7">
      <c r="A147" s="61" t="s">
        <v>58</v>
      </c>
      <c r="B147" s="46">
        <v>2647.9</v>
      </c>
      <c r="F147" t="s">
        <v>337</v>
      </c>
      <c r="G147" s="108">
        <v>5.4330386465167662</v>
      </c>
    </row>
    <row r="148" spans="1:7">
      <c r="A148" s="61" t="s">
        <v>12</v>
      </c>
      <c r="B148" s="46">
        <v>18624.48</v>
      </c>
      <c r="F148" t="s">
        <v>14</v>
      </c>
      <c r="G148" s="108">
        <v>296.53593038112001</v>
      </c>
    </row>
    <row r="149" spans="1:7">
      <c r="A149" s="61" t="s">
        <v>70</v>
      </c>
      <c r="B149" s="46">
        <v>52.42</v>
      </c>
      <c r="F149" t="s">
        <v>444</v>
      </c>
      <c r="G149" s="108">
        <v>4.2242095992291722</v>
      </c>
    </row>
    <row r="150" spans="1:7">
      <c r="A150" s="61" t="s">
        <v>71</v>
      </c>
      <c r="B150" s="63">
        <v>250</v>
      </c>
      <c r="F150" t="s">
        <v>335</v>
      </c>
      <c r="G150" s="108">
        <v>14.034980333661492</v>
      </c>
    </row>
    <row r="151" spans="1:7">
      <c r="A151" s="61" t="s">
        <v>72</v>
      </c>
      <c r="B151" s="46">
        <v>205.28</v>
      </c>
      <c r="F151" t="s">
        <v>192</v>
      </c>
      <c r="G151" s="108">
        <v>10.999047580388098</v>
      </c>
    </row>
    <row r="152" spans="1:7">
      <c r="A152" s="61" t="s">
        <v>198</v>
      </c>
      <c r="B152" s="46">
        <v>21.06</v>
      </c>
      <c r="F152" t="s">
        <v>469</v>
      </c>
      <c r="G152" s="108">
        <v>0.1944979</v>
      </c>
    </row>
    <row r="153" spans="1:7">
      <c r="F153" t="s">
        <v>442</v>
      </c>
      <c r="G153" s="108">
        <v>4.7392987303083727</v>
      </c>
    </row>
    <row r="154" spans="1:7">
      <c r="F154" t="s">
        <v>15</v>
      </c>
      <c r="G154" s="108">
        <v>12.168437744264427</v>
      </c>
    </row>
    <row r="155" spans="1:7">
      <c r="F155" t="s">
        <v>16</v>
      </c>
      <c r="G155" s="108">
        <v>1046.922702460874</v>
      </c>
    </row>
    <row r="156" spans="1:7">
      <c r="F156" t="s">
        <v>467</v>
      </c>
      <c r="G156" s="108">
        <v>0.32989560000000001</v>
      </c>
    </row>
    <row r="157" spans="1:7">
      <c r="F157" t="s">
        <v>536</v>
      </c>
      <c r="G157" s="108">
        <v>3144.7976912728454</v>
      </c>
    </row>
    <row r="158" spans="1:7">
      <c r="F158" t="s">
        <v>538</v>
      </c>
      <c r="G158" s="108">
        <v>1453.9010293362298</v>
      </c>
    </row>
    <row r="159" spans="1:7">
      <c r="F159" t="s">
        <v>558</v>
      </c>
      <c r="G159" s="108">
        <v>1440.2445000231414</v>
      </c>
    </row>
    <row r="160" spans="1:7">
      <c r="F160" t="s">
        <v>537</v>
      </c>
      <c r="G160" s="108">
        <v>26897.06918075282</v>
      </c>
    </row>
    <row r="161" spans="6:7">
      <c r="F161" t="s">
        <v>17</v>
      </c>
      <c r="G161" s="108">
        <v>6.7495156546441946</v>
      </c>
    </row>
    <row r="162" spans="6:7">
      <c r="F162" t="s">
        <v>535</v>
      </c>
      <c r="G162" s="108">
        <v>0</v>
      </c>
    </row>
    <row r="163" spans="6:7">
      <c r="F163" t="s">
        <v>64</v>
      </c>
      <c r="G163" s="108">
        <v>11.183458130808294</v>
      </c>
    </row>
    <row r="164" spans="6:7">
      <c r="F164" t="s">
        <v>8</v>
      </c>
      <c r="G164" s="108">
        <v>4.3741272123893795</v>
      </c>
    </row>
    <row r="165" spans="6:7">
      <c r="F165" t="s">
        <v>18</v>
      </c>
      <c r="G165" s="108">
        <v>103.60632169258221</v>
      </c>
    </row>
    <row r="166" spans="6:7">
      <c r="F166" t="s">
        <v>233</v>
      </c>
      <c r="G166" s="108">
        <v>11.014858591842174</v>
      </c>
    </row>
    <row r="167" spans="6:7">
      <c r="F167" t="s">
        <v>345</v>
      </c>
      <c r="G167" s="108">
        <v>63.225097051254991</v>
      </c>
    </row>
    <row r="168" spans="6:7">
      <c r="F168" t="s">
        <v>138</v>
      </c>
      <c r="G168" s="108">
        <v>10.947880690471012</v>
      </c>
    </row>
    <row r="169" spans="6:7">
      <c r="F169" t="s">
        <v>471</v>
      </c>
      <c r="G169" s="108">
        <v>0.10206012957705468</v>
      </c>
    </row>
    <row r="170" spans="6:7">
      <c r="F170" t="s">
        <v>429</v>
      </c>
      <c r="G170" s="108">
        <v>21.131983246185538</v>
      </c>
    </row>
    <row r="171" spans="6:7">
      <c r="F171" t="s">
        <v>193</v>
      </c>
      <c r="G171" s="108">
        <v>777.22754158130715</v>
      </c>
    </row>
    <row r="172" spans="6:7">
      <c r="F172" t="s">
        <v>540</v>
      </c>
      <c r="G172" s="108">
        <v>0</v>
      </c>
    </row>
    <row r="173" spans="6:7">
      <c r="F173" t="s">
        <v>21</v>
      </c>
      <c r="G173" s="108">
        <v>184.96914662447014</v>
      </c>
    </row>
    <row r="174" spans="6:7">
      <c r="F174" t="s">
        <v>22</v>
      </c>
      <c r="G174" s="108">
        <v>13.230844686857958</v>
      </c>
    </row>
    <row r="175" spans="6:7">
      <c r="F175" t="s">
        <v>331</v>
      </c>
      <c r="G175" s="108">
        <v>7.5283878583473864</v>
      </c>
    </row>
    <row r="176" spans="6:7">
      <c r="F176" t="s">
        <v>194</v>
      </c>
      <c r="G176" s="108">
        <v>404.65272016485852</v>
      </c>
    </row>
    <row r="177" spans="6:7">
      <c r="F177" t="s">
        <v>132</v>
      </c>
      <c r="G177" s="108">
        <v>20160.296406469039</v>
      </c>
    </row>
    <row r="178" spans="6:7">
      <c r="F178" t="s">
        <v>539</v>
      </c>
      <c r="G178" s="108">
        <v>1.2419999999999998</v>
      </c>
    </row>
    <row r="179" spans="6:7">
      <c r="F179" t="s">
        <v>23</v>
      </c>
      <c r="G179" s="108">
        <v>371.0761904761905</v>
      </c>
    </row>
    <row r="180" spans="6:7">
      <c r="F180" t="s">
        <v>527</v>
      </c>
      <c r="G180" s="108">
        <v>0</v>
      </c>
    </row>
    <row r="181" spans="6:7">
      <c r="F181" t="s">
        <v>541</v>
      </c>
      <c r="G181" s="108">
        <v>47552.622005124198</v>
      </c>
    </row>
    <row r="182" spans="6:7">
      <c r="F182" t="s">
        <v>24</v>
      </c>
      <c r="G182" s="108">
        <v>66.2933680104031</v>
      </c>
    </row>
    <row r="183" spans="6:7">
      <c r="F183" t="s">
        <v>542</v>
      </c>
      <c r="G183" s="108">
        <v>362.07951248616519</v>
      </c>
    </row>
    <row r="184" spans="6:7">
      <c r="F184" t="s">
        <v>545</v>
      </c>
      <c r="G184" s="108">
        <v>9.0196514883412195</v>
      </c>
    </row>
    <row r="185" spans="6:7">
      <c r="F185" t="s">
        <v>25</v>
      </c>
      <c r="G185" s="108">
        <v>278.91337120206549</v>
      </c>
    </row>
    <row r="186" spans="6:7">
      <c r="F186" t="s">
        <v>468</v>
      </c>
      <c r="G186" s="108">
        <v>0.31024829999999992</v>
      </c>
    </row>
    <row r="187" spans="6:7">
      <c r="F187" t="s">
        <v>26</v>
      </c>
      <c r="G187" s="108">
        <v>55.1877</v>
      </c>
    </row>
    <row r="188" spans="6:7">
      <c r="F188" t="s">
        <v>9</v>
      </c>
      <c r="G188" s="108">
        <v>20.213214171720395</v>
      </c>
    </row>
    <row r="189" spans="6:7">
      <c r="F189" t="s">
        <v>27</v>
      </c>
      <c r="G189" s="108">
        <v>27.424071382724442</v>
      </c>
    </row>
    <row r="190" spans="6:7">
      <c r="F190" t="s">
        <v>28</v>
      </c>
      <c r="G190" s="108">
        <v>192.20734200468132</v>
      </c>
    </row>
    <row r="191" spans="6:7">
      <c r="F191" t="s">
        <v>29</v>
      </c>
      <c r="G191" s="108">
        <v>304.9054068452914</v>
      </c>
    </row>
    <row r="192" spans="6:7">
      <c r="F192" t="s">
        <v>30</v>
      </c>
      <c r="G192" s="108">
        <v>471.36440871395604</v>
      </c>
    </row>
    <row r="193" spans="6:7">
      <c r="F193" t="s">
        <v>195</v>
      </c>
      <c r="G193" s="108">
        <v>204.83659790946564</v>
      </c>
    </row>
    <row r="194" spans="6:7">
      <c r="F194" t="s">
        <v>546</v>
      </c>
      <c r="G194" s="108">
        <v>45213.309475250047</v>
      </c>
    </row>
    <row r="195" spans="6:7">
      <c r="F195" t="s">
        <v>543</v>
      </c>
      <c r="G195" s="108">
        <v>1207.7876971870828</v>
      </c>
    </row>
    <row r="196" spans="6:7">
      <c r="F196" t="s">
        <v>423</v>
      </c>
      <c r="G196" s="108">
        <v>0</v>
      </c>
    </row>
    <row r="197" spans="6:7">
      <c r="F197" t="s">
        <v>76</v>
      </c>
      <c r="G197" s="108">
        <v>152.45192307692307</v>
      </c>
    </row>
    <row r="198" spans="6:7">
      <c r="F198" t="s">
        <v>0</v>
      </c>
      <c r="G198" s="108">
        <v>187.59203783996847</v>
      </c>
    </row>
    <row r="199" spans="6:7">
      <c r="F199" t="s">
        <v>419</v>
      </c>
      <c r="G199" s="108">
        <v>1283.1629859893014</v>
      </c>
    </row>
    <row r="200" spans="6:7">
      <c r="F200" t="s">
        <v>234</v>
      </c>
      <c r="G200" s="108">
        <v>8.3760489045829054</v>
      </c>
    </row>
    <row r="201" spans="6:7">
      <c r="F201" t="s">
        <v>461</v>
      </c>
      <c r="G201" s="108">
        <v>0.78635631480277002</v>
      </c>
    </row>
    <row r="202" spans="6:7">
      <c r="F202" t="s">
        <v>549</v>
      </c>
      <c r="G202" s="108">
        <v>1.5907079646017699</v>
      </c>
    </row>
    <row r="203" spans="6:7">
      <c r="F203" t="s">
        <v>553</v>
      </c>
      <c r="G203" s="108">
        <v>0.34278171552048009</v>
      </c>
    </row>
    <row r="204" spans="6:7">
      <c r="F204" t="s">
        <v>2</v>
      </c>
      <c r="G204" s="108">
        <v>646.43838056000004</v>
      </c>
    </row>
    <row r="205" spans="6:7">
      <c r="F205" t="s">
        <v>137</v>
      </c>
      <c r="G205" s="108">
        <v>14.683697630899982</v>
      </c>
    </row>
    <row r="206" spans="6:7">
      <c r="F206" t="s">
        <v>149</v>
      </c>
      <c r="G206" s="108">
        <v>38.299854688127652</v>
      </c>
    </row>
    <row r="207" spans="6:7">
      <c r="F207" t="s">
        <v>454</v>
      </c>
      <c r="G207" s="108">
        <v>1.4273238890960969</v>
      </c>
    </row>
    <row r="208" spans="6:7">
      <c r="F208" t="s">
        <v>339</v>
      </c>
      <c r="G208" s="108">
        <v>3.7365885535639385</v>
      </c>
    </row>
    <row r="209" spans="6:7">
      <c r="F209" t="s">
        <v>3</v>
      </c>
      <c r="G209" s="108">
        <v>296.97567861020627</v>
      </c>
    </row>
    <row r="210" spans="6:7">
      <c r="F210" t="s">
        <v>481</v>
      </c>
      <c r="G210" s="108">
        <v>0</v>
      </c>
    </row>
    <row r="211" spans="6:7">
      <c r="F211" t="s">
        <v>424</v>
      </c>
      <c r="G211" s="108">
        <v>89.768598023390311</v>
      </c>
    </row>
    <row r="212" spans="6:7">
      <c r="F212" t="s">
        <v>196</v>
      </c>
      <c r="G212" s="108">
        <v>44.708598648856238</v>
      </c>
    </row>
    <row r="213" spans="6:7">
      <c r="F213" t="s">
        <v>552</v>
      </c>
      <c r="G213" s="108">
        <v>437.80372214380031</v>
      </c>
    </row>
    <row r="214" spans="6:7">
      <c r="F214" t="s">
        <v>457</v>
      </c>
      <c r="G214" s="108">
        <v>1.2021250000000001</v>
      </c>
    </row>
    <row r="215" spans="6:7">
      <c r="F215" t="s">
        <v>325</v>
      </c>
      <c r="G215" s="108">
        <v>6.2169999999999996</v>
      </c>
    </row>
    <row r="216" spans="6:7">
      <c r="F216" t="s">
        <v>78</v>
      </c>
      <c r="G216" s="108">
        <v>295.45618949200474</v>
      </c>
    </row>
    <row r="217" spans="6:7">
      <c r="F217" t="s">
        <v>548</v>
      </c>
      <c r="G217" s="108">
        <v>2892.4807631794692</v>
      </c>
    </row>
    <row r="218" spans="6:7">
      <c r="F218" t="s">
        <v>559</v>
      </c>
      <c r="G218" s="108">
        <v>2892.4807631794692</v>
      </c>
    </row>
    <row r="219" spans="6:7">
      <c r="F219" t="s">
        <v>437</v>
      </c>
      <c r="G219" s="108">
        <v>0</v>
      </c>
    </row>
    <row r="220" spans="6:7">
      <c r="F220" t="s">
        <v>140</v>
      </c>
      <c r="G220" s="108">
        <v>1237.2550196538587</v>
      </c>
    </row>
    <row r="221" spans="6:7">
      <c r="F221" t="s">
        <v>136</v>
      </c>
      <c r="G221" s="108">
        <v>81.32187630725565</v>
      </c>
    </row>
    <row r="222" spans="6:7">
      <c r="F222" t="s">
        <v>460</v>
      </c>
      <c r="G222" s="108">
        <v>0.90985461951851854</v>
      </c>
    </row>
    <row r="223" spans="6:7">
      <c r="F223" t="s">
        <v>455</v>
      </c>
      <c r="G223" s="108">
        <v>1.6670787037037036</v>
      </c>
    </row>
    <row r="224" spans="6:7">
      <c r="F224" t="s">
        <v>534</v>
      </c>
      <c r="G224" s="108">
        <v>0</v>
      </c>
    </row>
    <row r="225" spans="6:7">
      <c r="F225" t="s">
        <v>463</v>
      </c>
      <c r="G225" s="108">
        <v>0.76822422666666645</v>
      </c>
    </row>
    <row r="226" spans="6:7">
      <c r="F226" t="s">
        <v>551</v>
      </c>
      <c r="G226" s="108">
        <v>1512.5960441614152</v>
      </c>
    </row>
    <row r="227" spans="6:7">
      <c r="F227" t="s">
        <v>550</v>
      </c>
      <c r="G227" s="108">
        <v>1511.168024853823</v>
      </c>
    </row>
    <row r="228" spans="6:7">
      <c r="F228" t="s">
        <v>560</v>
      </c>
      <c r="G228" s="108">
        <v>1512.5960441614152</v>
      </c>
    </row>
    <row r="229" spans="6:7">
      <c r="F229" t="s">
        <v>329</v>
      </c>
      <c r="G229" s="108">
        <v>95.584380032206113</v>
      </c>
    </row>
    <row r="230" spans="6:7">
      <c r="F230" t="s">
        <v>33</v>
      </c>
      <c r="G230" s="108">
        <v>3.278425328324182</v>
      </c>
    </row>
    <row r="231" spans="6:7">
      <c r="F231" t="s">
        <v>443</v>
      </c>
      <c r="G231" s="108">
        <v>3.7206493745751184</v>
      </c>
    </row>
    <row r="232" spans="6:7">
      <c r="F232" t="s">
        <v>34</v>
      </c>
      <c r="G232" s="108">
        <v>514.45997280617132</v>
      </c>
    </row>
    <row r="233" spans="6:7">
      <c r="F233" t="s">
        <v>35</v>
      </c>
      <c r="G233" s="108">
        <v>668.85129624423575</v>
      </c>
    </row>
    <row r="234" spans="6:7">
      <c r="F234" t="s">
        <v>554</v>
      </c>
      <c r="G234" s="108">
        <v>0</v>
      </c>
    </row>
    <row r="235" spans="6:7">
      <c r="F235" t="s">
        <v>440</v>
      </c>
      <c r="G235" s="108">
        <v>6.9516571589009279</v>
      </c>
    </row>
    <row r="236" spans="6:7">
      <c r="F236" t="s">
        <v>342</v>
      </c>
      <c r="G236" s="108">
        <v>47.340071107342972</v>
      </c>
    </row>
    <row r="237" spans="6:7">
      <c r="F237" t="s">
        <v>66</v>
      </c>
      <c r="G237" s="108">
        <v>407.02612731043394</v>
      </c>
    </row>
    <row r="238" spans="6:7">
      <c r="F238" t="s">
        <v>453</v>
      </c>
      <c r="G238" s="108">
        <v>1.7829739999999998</v>
      </c>
    </row>
    <row r="239" spans="6:7">
      <c r="F239" t="s">
        <v>334</v>
      </c>
      <c r="G239" s="108">
        <v>4.3999959865647735</v>
      </c>
    </row>
    <row r="240" spans="6:7">
      <c r="F240" t="s">
        <v>466</v>
      </c>
      <c r="G240" s="108">
        <v>0.40156200622996707</v>
      </c>
    </row>
    <row r="241" spans="6:7">
      <c r="F241" t="s">
        <v>11</v>
      </c>
      <c r="G241" s="108">
        <v>21.89470604123526</v>
      </c>
    </row>
    <row r="242" spans="6:7">
      <c r="F242" t="s">
        <v>79</v>
      </c>
      <c r="G242" s="108">
        <v>42.062549394785847</v>
      </c>
    </row>
    <row r="243" spans="6:7">
      <c r="F243" t="s">
        <v>67</v>
      </c>
      <c r="G243" s="108">
        <v>863.71171042651406</v>
      </c>
    </row>
    <row r="244" spans="6:7">
      <c r="F244" t="s">
        <v>68</v>
      </c>
      <c r="G244" s="108">
        <v>36.17988571428571</v>
      </c>
    </row>
    <row r="245" spans="6:7">
      <c r="F245" t="s">
        <v>301</v>
      </c>
      <c r="G245" s="108">
        <v>0</v>
      </c>
    </row>
    <row r="246" spans="6:7">
      <c r="F246" t="s">
        <v>472</v>
      </c>
      <c r="G246" s="108">
        <v>3.4218878439084069E-2</v>
      </c>
    </row>
    <row r="247" spans="6:7">
      <c r="F247" t="s">
        <v>235</v>
      </c>
      <c r="G247" s="108">
        <v>24.078931933457806</v>
      </c>
    </row>
    <row r="248" spans="6:7">
      <c r="F248" t="s">
        <v>69</v>
      </c>
      <c r="G248" s="108">
        <v>93.270479388524265</v>
      </c>
    </row>
    <row r="249" spans="6:7">
      <c r="F249" t="s">
        <v>61</v>
      </c>
      <c r="G249" s="108">
        <v>348.743265704561</v>
      </c>
    </row>
    <row r="250" spans="6:7">
      <c r="F250" t="s">
        <v>58</v>
      </c>
      <c r="G250" s="108">
        <v>2647.8986546352385</v>
      </c>
    </row>
    <row r="251" spans="6:7">
      <c r="F251" t="s">
        <v>366</v>
      </c>
      <c r="G251" s="108">
        <v>18624.474999999999</v>
      </c>
    </row>
    <row r="252" spans="6:7">
      <c r="F252" t="s">
        <v>561</v>
      </c>
      <c r="G252" s="108">
        <v>20623.856301266271</v>
      </c>
    </row>
    <row r="253" spans="6:7">
      <c r="F253" t="s">
        <v>70</v>
      </c>
      <c r="G253" s="108">
        <v>52.419720713731571</v>
      </c>
    </row>
    <row r="254" spans="6:7">
      <c r="F254" t="s">
        <v>425</v>
      </c>
      <c r="G254" s="108">
        <v>67.220335569614704</v>
      </c>
    </row>
    <row r="255" spans="6:7">
      <c r="F255" t="s">
        <v>462</v>
      </c>
      <c r="G255" s="108">
        <v>0.7735028959276018</v>
      </c>
    </row>
    <row r="256" spans="6:7">
      <c r="F256" t="s">
        <v>562</v>
      </c>
      <c r="G256" s="108">
        <v>0</v>
      </c>
    </row>
    <row r="257" spans="6:7">
      <c r="F257" t="s">
        <v>72</v>
      </c>
      <c r="G257" s="108">
        <v>205.2761721349014</v>
      </c>
    </row>
    <row r="258" spans="6:7">
      <c r="F258" t="s">
        <v>564</v>
      </c>
      <c r="G258" s="108">
        <v>0</v>
      </c>
    </row>
    <row r="259" spans="6:7">
      <c r="F259" t="s">
        <v>432</v>
      </c>
      <c r="G259" s="108">
        <v>13.397099999999998</v>
      </c>
    </row>
    <row r="260" spans="6:7">
      <c r="F260" t="s">
        <v>565</v>
      </c>
      <c r="G260" s="108">
        <v>75845.109381590504</v>
      </c>
    </row>
    <row r="261" spans="6:7">
      <c r="F261" t="s">
        <v>427</v>
      </c>
      <c r="G261" s="108">
        <v>27.317605346071431</v>
      </c>
    </row>
    <row r="262" spans="6:7">
      <c r="F262" t="s">
        <v>198</v>
      </c>
      <c r="G262" s="108">
        <v>21.063989682524291</v>
      </c>
    </row>
    <row r="263" spans="6:7">
      <c r="F263" t="s">
        <v>330</v>
      </c>
      <c r="G263" s="108">
        <v>16.6199604019038</v>
      </c>
    </row>
  </sheetData>
  <hyperlinks>
    <hyperlink ref="D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52"/>
  <sheetViews>
    <sheetView workbookViewId="0">
      <selection activeCell="A30" sqref="A30"/>
    </sheetView>
  </sheetViews>
  <sheetFormatPr baseColWidth="10" defaultRowHeight="12"/>
  <cols>
    <col min="1" max="1" width="27" bestFit="1" customWidth="1"/>
    <col min="2" max="2" width="16" style="32" customWidth="1"/>
    <col min="3" max="3" width="16" style="32" bestFit="1" customWidth="1"/>
    <col min="5" max="5" width="28" bestFit="1" customWidth="1"/>
    <col min="9" max="9" width="25.5" customWidth="1"/>
    <col min="10" max="10" width="25.1640625" customWidth="1"/>
  </cols>
  <sheetData>
    <row r="1" spans="1:10" ht="48" customHeight="1">
      <c r="A1" s="85" t="s">
        <v>77</v>
      </c>
      <c r="B1" s="86" t="s">
        <v>278</v>
      </c>
      <c r="C1" s="87" t="s">
        <v>302</v>
      </c>
      <c r="E1" s="161"/>
      <c r="F1" s="187" t="s">
        <v>473</v>
      </c>
      <c r="G1" s="187" t="s">
        <v>474</v>
      </c>
      <c r="J1" s="183" t="s">
        <v>583</v>
      </c>
    </row>
    <row r="2" spans="1:10" ht="16">
      <c r="A2" s="57" t="s">
        <v>280</v>
      </c>
      <c r="B2" s="88" t="str">
        <f t="shared" ref="B2:B33" si="0">IF(J2=0,"NA",J2)</f>
        <v>AA</v>
      </c>
      <c r="C2" s="87" t="str">
        <f t="shared" ref="C2:C33" si="1">IF(G2=0,"NA",G2)</f>
        <v>Aa2</v>
      </c>
      <c r="E2" s="207" t="s">
        <v>280</v>
      </c>
      <c r="F2" s="208" t="s">
        <v>46</v>
      </c>
      <c r="G2" s="208" t="s">
        <v>46</v>
      </c>
      <c r="I2" s="159" t="s">
        <v>280</v>
      </c>
      <c r="J2" s="188" t="s">
        <v>214</v>
      </c>
    </row>
    <row r="3" spans="1:10" ht="16">
      <c r="A3" s="57" t="s">
        <v>4</v>
      </c>
      <c r="B3" s="88" t="str">
        <f t="shared" si="0"/>
        <v>B+</v>
      </c>
      <c r="C3" s="87" t="str">
        <f t="shared" si="1"/>
        <v>B1</v>
      </c>
      <c r="E3" s="207" t="s">
        <v>4</v>
      </c>
      <c r="F3" s="208" t="s">
        <v>49</v>
      </c>
      <c r="G3" s="208" t="s">
        <v>49</v>
      </c>
      <c r="I3" s="159" t="s">
        <v>4</v>
      </c>
      <c r="J3" s="188" t="s">
        <v>203</v>
      </c>
    </row>
    <row r="4" spans="1:10" ht="16">
      <c r="A4" s="57" t="s">
        <v>295</v>
      </c>
      <c r="B4" s="88" t="str">
        <f t="shared" si="0"/>
        <v>BBB</v>
      </c>
      <c r="C4" s="87" t="str">
        <f t="shared" si="1"/>
        <v>NA</v>
      </c>
      <c r="E4" s="207"/>
      <c r="F4" s="208"/>
      <c r="G4" s="208"/>
      <c r="I4" s="159" t="s">
        <v>204</v>
      </c>
      <c r="J4" s="188" t="s">
        <v>213</v>
      </c>
    </row>
    <row r="5" spans="1:10" ht="16">
      <c r="A5" s="57" t="s">
        <v>133</v>
      </c>
      <c r="B5" s="88" t="str">
        <f t="shared" si="0"/>
        <v>B-</v>
      </c>
      <c r="C5" s="87" t="str">
        <f t="shared" si="1"/>
        <v>B3</v>
      </c>
      <c r="E5" s="207" t="s">
        <v>133</v>
      </c>
      <c r="F5" s="208" t="s">
        <v>80</v>
      </c>
      <c r="G5" s="208" t="s">
        <v>80</v>
      </c>
      <c r="I5" s="159" t="s">
        <v>133</v>
      </c>
      <c r="J5" s="188" t="s">
        <v>207</v>
      </c>
    </row>
    <row r="6" spans="1:10" ht="16">
      <c r="A6" s="57" t="s">
        <v>86</v>
      </c>
      <c r="B6" s="88" t="str">
        <f t="shared" si="0"/>
        <v>B+</v>
      </c>
      <c r="C6" s="87" t="str">
        <f t="shared" si="1"/>
        <v>B2</v>
      </c>
      <c r="E6" s="209" t="s">
        <v>86</v>
      </c>
      <c r="F6" s="210" t="s">
        <v>50</v>
      </c>
      <c r="G6" s="210" t="s">
        <v>50</v>
      </c>
      <c r="I6" s="159" t="s">
        <v>86</v>
      </c>
      <c r="J6" s="188" t="s">
        <v>203</v>
      </c>
    </row>
    <row r="7" spans="1:10" ht="16">
      <c r="A7" s="57" t="s">
        <v>19</v>
      </c>
      <c r="B7" s="88" t="str">
        <f t="shared" si="0"/>
        <v>NA</v>
      </c>
      <c r="C7" s="87" t="str">
        <f t="shared" si="1"/>
        <v>B1</v>
      </c>
      <c r="E7" s="207" t="s">
        <v>19</v>
      </c>
      <c r="F7" s="208" t="s">
        <v>49</v>
      </c>
      <c r="G7" s="208" t="s">
        <v>49</v>
      </c>
      <c r="I7" s="159"/>
      <c r="J7" s="188"/>
    </row>
    <row r="8" spans="1:10" ht="16">
      <c r="A8" s="57" t="s">
        <v>208</v>
      </c>
      <c r="B8" s="88" t="str">
        <f t="shared" si="0"/>
        <v>BBB+</v>
      </c>
      <c r="C8" s="87" t="str">
        <f t="shared" si="1"/>
        <v>NA</v>
      </c>
      <c r="E8" s="207"/>
      <c r="F8" s="208"/>
      <c r="G8" s="208"/>
      <c r="I8" s="159" t="s">
        <v>208</v>
      </c>
      <c r="J8" s="188" t="s">
        <v>209</v>
      </c>
    </row>
    <row r="9" spans="1:10" ht="16">
      <c r="A9" s="57" t="s">
        <v>87</v>
      </c>
      <c r="B9" s="88" t="str">
        <f t="shared" si="0"/>
        <v>AAA</v>
      </c>
      <c r="C9" s="87" t="str">
        <f t="shared" si="1"/>
        <v>Aaa</v>
      </c>
      <c r="E9" s="207" t="s">
        <v>87</v>
      </c>
      <c r="F9" s="208" t="s">
        <v>48</v>
      </c>
      <c r="G9" s="208" t="s">
        <v>48</v>
      </c>
      <c r="I9" s="159" t="s">
        <v>87</v>
      </c>
      <c r="J9" s="188" t="s">
        <v>210</v>
      </c>
    </row>
    <row r="10" spans="1:10" ht="16">
      <c r="A10" s="57" t="s">
        <v>182</v>
      </c>
      <c r="B10" s="88" t="str">
        <f t="shared" si="0"/>
        <v>AA+</v>
      </c>
      <c r="C10" s="87" t="str">
        <f t="shared" si="1"/>
        <v>Aa1</v>
      </c>
      <c r="E10" s="211" t="s">
        <v>182</v>
      </c>
      <c r="F10" s="208" t="s">
        <v>45</v>
      </c>
      <c r="G10" s="208" t="s">
        <v>45</v>
      </c>
      <c r="I10" s="159" t="s">
        <v>182</v>
      </c>
      <c r="J10" s="188" t="s">
        <v>211</v>
      </c>
    </row>
    <row r="11" spans="1:10" ht="16">
      <c r="A11" s="57" t="s">
        <v>20</v>
      </c>
      <c r="B11" s="88" t="str">
        <f t="shared" si="0"/>
        <v>BB+</v>
      </c>
      <c r="C11" s="87" t="str">
        <f t="shared" si="1"/>
        <v>Ba2</v>
      </c>
      <c r="E11" s="207" t="s">
        <v>20</v>
      </c>
      <c r="F11" s="208" t="s">
        <v>82</v>
      </c>
      <c r="G11" s="208" t="s">
        <v>82</v>
      </c>
      <c r="I11" s="159" t="s">
        <v>20</v>
      </c>
      <c r="J11" s="188" t="s">
        <v>223</v>
      </c>
    </row>
    <row r="12" spans="1:10" ht="16">
      <c r="A12" s="57" t="s">
        <v>88</v>
      </c>
      <c r="B12" s="88" t="str">
        <f t="shared" si="0"/>
        <v>BB+</v>
      </c>
      <c r="C12" s="87" t="str">
        <f t="shared" si="1"/>
        <v>Baa3</v>
      </c>
      <c r="E12" s="211" t="s">
        <v>88</v>
      </c>
      <c r="F12" s="208" t="s">
        <v>126</v>
      </c>
      <c r="G12" s="208" t="s">
        <v>126</v>
      </c>
      <c r="I12" s="159" t="s">
        <v>88</v>
      </c>
      <c r="J12" s="188" t="s">
        <v>223</v>
      </c>
    </row>
    <row r="13" spans="1:10" ht="16">
      <c r="A13" s="57" t="s">
        <v>89</v>
      </c>
      <c r="B13" s="88" t="str">
        <f t="shared" si="0"/>
        <v>B+</v>
      </c>
      <c r="C13" s="87" t="str">
        <f t="shared" si="1"/>
        <v>B1</v>
      </c>
      <c r="E13" s="207" t="s">
        <v>89</v>
      </c>
      <c r="F13" s="208" t="s">
        <v>49</v>
      </c>
      <c r="G13" s="208" t="s">
        <v>49</v>
      </c>
      <c r="I13" s="159" t="s">
        <v>89</v>
      </c>
      <c r="J13" s="188" t="s">
        <v>203</v>
      </c>
    </row>
    <row r="14" spans="1:10" ht="16">
      <c r="A14" s="57" t="s">
        <v>134</v>
      </c>
      <c r="B14" s="88" t="str">
        <f t="shared" si="0"/>
        <v>BB-</v>
      </c>
      <c r="C14" s="87" t="str">
        <f t="shared" si="1"/>
        <v>Ba3</v>
      </c>
      <c r="E14" s="207" t="s">
        <v>134</v>
      </c>
      <c r="F14" s="208" t="s">
        <v>83</v>
      </c>
      <c r="G14" s="208" t="s">
        <v>83</v>
      </c>
      <c r="I14" s="159" t="s">
        <v>134</v>
      </c>
      <c r="J14" s="188" t="s">
        <v>206</v>
      </c>
    </row>
    <row r="15" spans="1:10" ht="16">
      <c r="A15" s="57" t="s">
        <v>90</v>
      </c>
      <c r="B15" s="88" t="str">
        <f t="shared" si="0"/>
        <v>CCC</v>
      </c>
      <c r="C15" s="87" t="str">
        <f t="shared" si="1"/>
        <v>Caa3</v>
      </c>
      <c r="E15" s="207" t="s">
        <v>90</v>
      </c>
      <c r="F15" s="208" t="s">
        <v>63</v>
      </c>
      <c r="G15" s="208" t="s">
        <v>63</v>
      </c>
      <c r="I15" s="159" t="s">
        <v>90</v>
      </c>
      <c r="J15" s="188" t="s">
        <v>242</v>
      </c>
    </row>
    <row r="16" spans="1:10" ht="16">
      <c r="A16" s="57" t="s">
        <v>5</v>
      </c>
      <c r="B16" s="88" t="str">
        <f t="shared" si="0"/>
        <v>B</v>
      </c>
      <c r="C16" s="87" t="str">
        <f t="shared" si="1"/>
        <v>B3</v>
      </c>
      <c r="E16" s="207" t="s">
        <v>5</v>
      </c>
      <c r="F16" s="208" t="s">
        <v>80</v>
      </c>
      <c r="G16" s="208" t="s">
        <v>80</v>
      </c>
      <c r="I16" s="159" t="s">
        <v>5</v>
      </c>
      <c r="J16" s="188" t="s">
        <v>216</v>
      </c>
    </row>
    <row r="17" spans="1:10" ht="16">
      <c r="A17" s="57" t="s">
        <v>183</v>
      </c>
      <c r="B17" s="88" t="str">
        <f t="shared" si="0"/>
        <v>AA</v>
      </c>
      <c r="C17" s="87" t="str">
        <f t="shared" si="1"/>
        <v>Aa3</v>
      </c>
      <c r="E17" s="207" t="s">
        <v>183</v>
      </c>
      <c r="F17" s="208" t="s">
        <v>47</v>
      </c>
      <c r="G17" s="208" t="s">
        <v>47</v>
      </c>
      <c r="I17" s="159" t="s">
        <v>183</v>
      </c>
      <c r="J17" s="188" t="s">
        <v>214</v>
      </c>
    </row>
    <row r="18" spans="1:10" ht="16">
      <c r="A18" s="57" t="s">
        <v>91</v>
      </c>
      <c r="B18" s="88" t="str">
        <f t="shared" si="0"/>
        <v>B-</v>
      </c>
      <c r="C18" s="87" t="str">
        <f t="shared" si="1"/>
        <v>B3</v>
      </c>
      <c r="E18" s="207" t="s">
        <v>91</v>
      </c>
      <c r="F18" s="208" t="s">
        <v>80</v>
      </c>
      <c r="G18" s="208" t="s">
        <v>80</v>
      </c>
      <c r="I18" s="159" t="s">
        <v>91</v>
      </c>
      <c r="J18" s="188" t="s">
        <v>207</v>
      </c>
    </row>
    <row r="19" spans="1:10" ht="16">
      <c r="A19" s="57" t="s">
        <v>92</v>
      </c>
      <c r="B19" s="88" t="str">
        <f t="shared" si="0"/>
        <v>A+</v>
      </c>
      <c r="C19" s="87" t="str">
        <f t="shared" si="1"/>
        <v>A2</v>
      </c>
      <c r="E19" s="207" t="s">
        <v>92</v>
      </c>
      <c r="F19" s="208" t="s">
        <v>43</v>
      </c>
      <c r="G19" s="208" t="s">
        <v>43</v>
      </c>
      <c r="I19" s="159" t="s">
        <v>92</v>
      </c>
      <c r="J19" s="188" t="s">
        <v>229</v>
      </c>
    </row>
    <row r="20" spans="1:10" ht="16">
      <c r="A20" s="57" t="s">
        <v>93</v>
      </c>
      <c r="B20" s="88" t="str">
        <f t="shared" si="0"/>
        <v>BB-</v>
      </c>
      <c r="C20" s="87" t="str">
        <f t="shared" si="1"/>
        <v>Ba3</v>
      </c>
      <c r="E20" s="207" t="s">
        <v>93</v>
      </c>
      <c r="F20" s="208" t="s">
        <v>83</v>
      </c>
      <c r="G20" s="208" t="s">
        <v>83</v>
      </c>
      <c r="I20" s="159" t="s">
        <v>93</v>
      </c>
      <c r="J20" s="188" t="s">
        <v>206</v>
      </c>
    </row>
    <row r="21" spans="1:10" ht="16">
      <c r="A21" s="57" t="s">
        <v>7</v>
      </c>
      <c r="B21" s="88" t="str">
        <f t="shared" si="0"/>
        <v>B</v>
      </c>
      <c r="C21" s="87" t="str">
        <f t="shared" si="1"/>
        <v>B3</v>
      </c>
      <c r="E21" s="207" t="s">
        <v>7</v>
      </c>
      <c r="F21" s="208" t="s">
        <v>80</v>
      </c>
      <c r="G21" s="208" t="s">
        <v>80</v>
      </c>
      <c r="I21" s="159" t="s">
        <v>7</v>
      </c>
      <c r="J21" s="188" t="s">
        <v>216</v>
      </c>
    </row>
    <row r="22" spans="1:10" ht="16">
      <c r="A22" s="57" t="s">
        <v>125</v>
      </c>
      <c r="B22" s="88" t="str">
        <f t="shared" si="0"/>
        <v>A-</v>
      </c>
      <c r="C22" s="87" t="str">
        <f t="shared" si="1"/>
        <v>A2</v>
      </c>
      <c r="E22" s="209" t="s">
        <v>125</v>
      </c>
      <c r="F22" s="210" t="s">
        <v>43</v>
      </c>
      <c r="G22" s="210" t="s">
        <v>43</v>
      </c>
      <c r="I22" s="159" t="s">
        <v>125</v>
      </c>
      <c r="J22" s="188" t="s">
        <v>205</v>
      </c>
    </row>
    <row r="23" spans="1:10" ht="16">
      <c r="A23" s="57" t="s">
        <v>94</v>
      </c>
      <c r="B23" s="88" t="str">
        <f t="shared" si="0"/>
        <v>BB-</v>
      </c>
      <c r="C23" s="87" t="str">
        <f t="shared" si="1"/>
        <v>Ba2</v>
      </c>
      <c r="E23" s="207" t="s">
        <v>94</v>
      </c>
      <c r="F23" s="208" t="s">
        <v>82</v>
      </c>
      <c r="G23" s="208" t="s">
        <v>82</v>
      </c>
      <c r="I23" s="159" t="s">
        <v>94</v>
      </c>
      <c r="J23" s="188" t="s">
        <v>206</v>
      </c>
    </row>
    <row r="24" spans="1:10" ht="16">
      <c r="A24" s="57" t="s">
        <v>96</v>
      </c>
      <c r="B24" s="88" t="str">
        <f t="shared" si="0"/>
        <v>BBB-</v>
      </c>
      <c r="C24" s="87" t="str">
        <f t="shared" si="1"/>
        <v>Baa2</v>
      </c>
      <c r="E24" s="207" t="s">
        <v>96</v>
      </c>
      <c r="F24" s="208" t="s">
        <v>85</v>
      </c>
      <c r="G24" s="208" t="s">
        <v>85</v>
      </c>
      <c r="I24" s="159" t="s">
        <v>96</v>
      </c>
      <c r="J24" s="188" t="s">
        <v>212</v>
      </c>
    </row>
    <row r="25" spans="1:10" ht="16">
      <c r="A25" s="57" t="s">
        <v>218</v>
      </c>
      <c r="B25" s="88" t="str">
        <f t="shared" si="0"/>
        <v>B</v>
      </c>
      <c r="C25" s="87" t="str">
        <f t="shared" si="1"/>
        <v>NA</v>
      </c>
      <c r="E25" s="207"/>
      <c r="F25" s="208"/>
      <c r="G25" s="208"/>
      <c r="I25" s="159" t="s">
        <v>218</v>
      </c>
      <c r="J25" s="188" t="s">
        <v>216</v>
      </c>
    </row>
    <row r="26" spans="1:10" ht="16">
      <c r="A26" s="57" t="s">
        <v>6</v>
      </c>
      <c r="B26" s="88" t="str">
        <f t="shared" si="0"/>
        <v>NA</v>
      </c>
      <c r="C26" s="87" t="str">
        <f t="shared" si="1"/>
        <v>B2</v>
      </c>
      <c r="E26" s="207" t="s">
        <v>6</v>
      </c>
      <c r="F26" s="208" t="s">
        <v>50</v>
      </c>
      <c r="G26" s="208" t="s">
        <v>50</v>
      </c>
      <c r="I26" s="159"/>
      <c r="J26" s="188"/>
    </row>
    <row r="27" spans="1:10" ht="16">
      <c r="A27" s="57" t="s">
        <v>219</v>
      </c>
      <c r="B27" s="88" t="str">
        <f t="shared" si="0"/>
        <v>B</v>
      </c>
      <c r="C27" s="87" t="str">
        <f t="shared" si="1"/>
        <v>B2</v>
      </c>
      <c r="E27" s="209" t="s">
        <v>219</v>
      </c>
      <c r="F27" s="208" t="s">
        <v>50</v>
      </c>
      <c r="G27" s="208" t="s">
        <v>50</v>
      </c>
      <c r="I27" s="159" t="s">
        <v>219</v>
      </c>
      <c r="J27" s="188" t="s">
        <v>216</v>
      </c>
    </row>
    <row r="28" spans="1:10" ht="16">
      <c r="A28" s="57" t="s">
        <v>97</v>
      </c>
      <c r="B28" s="88" t="str">
        <f t="shared" si="0"/>
        <v>AAA</v>
      </c>
      <c r="C28" s="87" t="str">
        <f t="shared" si="1"/>
        <v>Aaa</v>
      </c>
      <c r="E28" s="207" t="s">
        <v>97</v>
      </c>
      <c r="F28" s="208" t="s">
        <v>48</v>
      </c>
      <c r="G28" s="208" t="s">
        <v>48</v>
      </c>
      <c r="I28" s="159" t="s">
        <v>97</v>
      </c>
      <c r="J28" s="188" t="s">
        <v>210</v>
      </c>
    </row>
    <row r="29" spans="1:10" ht="16">
      <c r="A29" s="206" t="s">
        <v>220</v>
      </c>
      <c r="B29" s="88" t="str">
        <f t="shared" si="0"/>
        <v>B</v>
      </c>
      <c r="C29" s="87" t="str">
        <f t="shared" si="1"/>
        <v>NA</v>
      </c>
      <c r="E29" s="207"/>
      <c r="F29" s="208"/>
      <c r="G29" s="208"/>
      <c r="I29" s="159" t="s">
        <v>220</v>
      </c>
      <c r="J29" s="188" t="s">
        <v>216</v>
      </c>
    </row>
    <row r="30" spans="1:10" ht="16">
      <c r="A30" s="206" t="s">
        <v>56</v>
      </c>
      <c r="B30" s="88" t="str">
        <f t="shared" si="0"/>
        <v>NA</v>
      </c>
      <c r="C30" s="87" t="str">
        <f t="shared" si="1"/>
        <v>Aa3</v>
      </c>
      <c r="E30" s="207" t="s">
        <v>56</v>
      </c>
      <c r="F30" s="208" t="s">
        <v>47</v>
      </c>
      <c r="G30" s="208" t="s">
        <v>47</v>
      </c>
      <c r="I30" s="159"/>
      <c r="J30" s="188"/>
    </row>
    <row r="31" spans="1:10" ht="16">
      <c r="A31" s="57" t="s">
        <v>98</v>
      </c>
      <c r="B31" s="88" t="str">
        <f t="shared" si="0"/>
        <v>AA-</v>
      </c>
      <c r="C31" s="87" t="str">
        <f t="shared" si="1"/>
        <v>Aa3</v>
      </c>
      <c r="E31" s="207" t="s">
        <v>98</v>
      </c>
      <c r="F31" s="208" t="s">
        <v>47</v>
      </c>
      <c r="G31" s="208" t="s">
        <v>47</v>
      </c>
      <c r="I31" s="159" t="s">
        <v>98</v>
      </c>
      <c r="J31" s="188" t="s">
        <v>217</v>
      </c>
    </row>
    <row r="32" spans="1:10" ht="16">
      <c r="A32" s="57" t="s">
        <v>99</v>
      </c>
      <c r="B32" s="88" t="str">
        <f t="shared" si="0"/>
        <v>A+</v>
      </c>
      <c r="C32" s="87" t="str">
        <f t="shared" si="1"/>
        <v>A1</v>
      </c>
      <c r="E32" s="207" t="s">
        <v>99</v>
      </c>
      <c r="F32" s="208" t="s">
        <v>42</v>
      </c>
      <c r="G32" s="208" t="s">
        <v>42</v>
      </c>
      <c r="I32" s="159" t="s">
        <v>99</v>
      </c>
      <c r="J32" s="188" t="s">
        <v>229</v>
      </c>
    </row>
    <row r="33" spans="1:10" ht="16">
      <c r="A33" s="57" t="s">
        <v>51</v>
      </c>
      <c r="B33" s="88" t="str">
        <f t="shared" si="0"/>
        <v>BBB</v>
      </c>
      <c r="C33" s="87" t="str">
        <f t="shared" si="1"/>
        <v>Baa2</v>
      </c>
      <c r="E33" s="207" t="s">
        <v>51</v>
      </c>
      <c r="F33" s="208" t="s">
        <v>85</v>
      </c>
      <c r="G33" s="208" t="s">
        <v>85</v>
      </c>
      <c r="I33" s="159" t="s">
        <v>51</v>
      </c>
      <c r="J33" s="188" t="s">
        <v>213</v>
      </c>
    </row>
    <row r="34" spans="1:10" ht="16">
      <c r="A34" s="57" t="s">
        <v>296</v>
      </c>
      <c r="B34" s="88" t="str">
        <f t="shared" ref="B34:B65" si="2">IF(J34=0,"NA",J34)</f>
        <v>CCC+</v>
      </c>
      <c r="C34" s="87" t="str">
        <f t="shared" ref="C34:C65" si="3">IF(G34=0,"NA",G34)</f>
        <v>B3</v>
      </c>
      <c r="E34" s="206" t="s">
        <v>296</v>
      </c>
      <c r="F34" s="208" t="s">
        <v>80</v>
      </c>
      <c r="G34" s="208" t="s">
        <v>80</v>
      </c>
      <c r="I34" s="159" t="s">
        <v>496</v>
      </c>
      <c r="J34" s="188" t="s">
        <v>225</v>
      </c>
    </row>
    <row r="35" spans="1:10" ht="16">
      <c r="A35" s="57" t="s">
        <v>297</v>
      </c>
      <c r="B35" s="88" t="str">
        <f t="shared" si="2"/>
        <v>B-</v>
      </c>
      <c r="C35" s="87" t="str">
        <f t="shared" si="3"/>
        <v>Caa2</v>
      </c>
      <c r="E35" s="206" t="s">
        <v>297</v>
      </c>
      <c r="F35" s="208" t="s">
        <v>59</v>
      </c>
      <c r="G35" s="208" t="s">
        <v>59</v>
      </c>
      <c r="I35" s="159" t="s">
        <v>584</v>
      </c>
      <c r="J35" s="188" t="s">
        <v>207</v>
      </c>
    </row>
    <row r="36" spans="1:10" ht="16">
      <c r="A36" s="57" t="s">
        <v>221</v>
      </c>
      <c r="B36" s="88" t="str">
        <f t="shared" si="2"/>
        <v>B+</v>
      </c>
      <c r="C36" s="87" t="str">
        <f t="shared" si="3"/>
        <v>NA</v>
      </c>
      <c r="E36" s="212"/>
      <c r="F36" s="208"/>
      <c r="G36" s="208"/>
      <c r="I36" s="159" t="s">
        <v>221</v>
      </c>
      <c r="J36" s="188" t="s">
        <v>203</v>
      </c>
    </row>
    <row r="37" spans="1:10" ht="16">
      <c r="A37" s="57" t="s">
        <v>57</v>
      </c>
      <c r="B37" s="88" t="str">
        <f t="shared" si="2"/>
        <v>BB-</v>
      </c>
      <c r="C37" s="87" t="str">
        <f t="shared" si="3"/>
        <v>Ba2</v>
      </c>
      <c r="E37" s="207" t="s">
        <v>57</v>
      </c>
      <c r="F37" s="208" t="s">
        <v>82</v>
      </c>
      <c r="G37" s="208" t="s">
        <v>82</v>
      </c>
      <c r="I37" s="159" t="s">
        <v>57</v>
      </c>
      <c r="J37" s="188" t="s">
        <v>206</v>
      </c>
    </row>
    <row r="38" spans="1:10" ht="16">
      <c r="A38" s="57" t="s">
        <v>292</v>
      </c>
      <c r="B38" s="88" t="str">
        <f t="shared" si="2"/>
        <v>NA</v>
      </c>
      <c r="C38" s="87" t="str">
        <f t="shared" si="3"/>
        <v>Ba3</v>
      </c>
      <c r="E38" s="207" t="s">
        <v>395</v>
      </c>
      <c r="F38" s="208" t="s">
        <v>83</v>
      </c>
      <c r="G38" s="208" t="s">
        <v>83</v>
      </c>
      <c r="I38" s="159"/>
      <c r="J38" s="188"/>
    </row>
    <row r="39" spans="1:10" ht="16">
      <c r="A39" s="57" t="s">
        <v>100</v>
      </c>
      <c r="B39" s="88" t="str">
        <f t="shared" si="2"/>
        <v>BB+</v>
      </c>
      <c r="C39" s="87" t="str">
        <f t="shared" si="3"/>
        <v>Ba2</v>
      </c>
      <c r="E39" s="207" t="s">
        <v>100</v>
      </c>
      <c r="F39" s="208" t="s">
        <v>82</v>
      </c>
      <c r="G39" s="208" t="s">
        <v>82</v>
      </c>
      <c r="I39" s="159" t="s">
        <v>100</v>
      </c>
      <c r="J39" s="188" t="s">
        <v>223</v>
      </c>
    </row>
    <row r="40" spans="1:10" ht="16">
      <c r="A40" s="57" t="s">
        <v>101</v>
      </c>
      <c r="B40" s="88" t="str">
        <f t="shared" si="2"/>
        <v>NA</v>
      </c>
      <c r="C40" s="87" t="str">
        <f t="shared" si="3"/>
        <v>Caa2</v>
      </c>
      <c r="E40" s="207" t="s">
        <v>101</v>
      </c>
      <c r="F40" s="208" t="s">
        <v>59</v>
      </c>
      <c r="G40" s="208" t="s">
        <v>59</v>
      </c>
    </row>
    <row r="41" spans="1:10" ht="16">
      <c r="A41" s="57" t="s">
        <v>224</v>
      </c>
      <c r="B41" s="88" t="str">
        <f t="shared" si="2"/>
        <v>A-</v>
      </c>
      <c r="C41" s="87" t="str">
        <f t="shared" si="3"/>
        <v>NA</v>
      </c>
      <c r="I41" s="159" t="s">
        <v>224</v>
      </c>
      <c r="J41" s="188" t="s">
        <v>205</v>
      </c>
    </row>
    <row r="42" spans="1:10" ht="16">
      <c r="A42" s="57" t="s">
        <v>184</v>
      </c>
      <c r="B42" s="88" t="str">
        <f t="shared" si="2"/>
        <v>BB+</v>
      </c>
      <c r="C42" s="87" t="str">
        <f t="shared" si="3"/>
        <v>Ba3</v>
      </c>
      <c r="E42" s="207" t="s">
        <v>184</v>
      </c>
      <c r="F42" s="208" t="s">
        <v>83</v>
      </c>
      <c r="G42" s="208" t="s">
        <v>83</v>
      </c>
      <c r="I42" s="159" t="s">
        <v>184</v>
      </c>
      <c r="J42" s="188" t="s">
        <v>223</v>
      </c>
    </row>
    <row r="43" spans="1:10" ht="16">
      <c r="A43" s="57" t="s">
        <v>103</v>
      </c>
      <c r="B43" s="88" t="str">
        <f t="shared" si="2"/>
        <v>AA</v>
      </c>
      <c r="C43" s="87" t="str">
        <f t="shared" si="3"/>
        <v>A1</v>
      </c>
      <c r="E43" s="207" t="s">
        <v>103</v>
      </c>
      <c r="F43" s="208" t="s">
        <v>42</v>
      </c>
      <c r="G43" s="208" t="s">
        <v>42</v>
      </c>
      <c r="I43" s="159" t="s">
        <v>103</v>
      </c>
      <c r="J43" s="188" t="s">
        <v>214</v>
      </c>
    </row>
    <row r="44" spans="1:10" ht="16">
      <c r="A44" s="57" t="s">
        <v>104</v>
      </c>
      <c r="B44" s="88" t="str">
        <f t="shared" si="2"/>
        <v>AAA</v>
      </c>
      <c r="C44" s="87" t="str">
        <f t="shared" si="3"/>
        <v>Aaa</v>
      </c>
      <c r="E44" s="207" t="s">
        <v>104</v>
      </c>
      <c r="F44" s="208" t="s">
        <v>48</v>
      </c>
      <c r="G44" s="208" t="s">
        <v>48</v>
      </c>
      <c r="I44" s="159" t="s">
        <v>104</v>
      </c>
      <c r="J44" s="188" t="s">
        <v>210</v>
      </c>
    </row>
    <row r="45" spans="1:10" ht="16">
      <c r="A45" s="57" t="s">
        <v>105</v>
      </c>
      <c r="B45" s="88" t="str">
        <f t="shared" si="2"/>
        <v>BB-</v>
      </c>
      <c r="C45" s="87" t="str">
        <f t="shared" si="3"/>
        <v>Ba3</v>
      </c>
      <c r="E45" s="211" t="s">
        <v>105</v>
      </c>
      <c r="F45" s="208" t="s">
        <v>83</v>
      </c>
      <c r="G45" s="208" t="s">
        <v>83</v>
      </c>
      <c r="I45" s="159" t="s">
        <v>105</v>
      </c>
      <c r="J45" s="188" t="s">
        <v>206</v>
      </c>
    </row>
    <row r="46" spans="1:10" ht="16">
      <c r="A46" s="57" t="s">
        <v>106</v>
      </c>
      <c r="B46" s="88" t="str">
        <f t="shared" si="2"/>
        <v>B-</v>
      </c>
      <c r="C46" s="87" t="str">
        <f t="shared" si="3"/>
        <v>NA</v>
      </c>
      <c r="E46" s="207" t="s">
        <v>106</v>
      </c>
      <c r="F46" s="208" t="s">
        <v>80</v>
      </c>
      <c r="G46" s="208"/>
      <c r="I46" s="159" t="s">
        <v>106</v>
      </c>
      <c r="J46" s="188" t="s">
        <v>207</v>
      </c>
    </row>
    <row r="47" spans="1:10" ht="16">
      <c r="A47" s="57" t="s">
        <v>107</v>
      </c>
      <c r="B47" s="88" t="str">
        <f t="shared" si="2"/>
        <v>B</v>
      </c>
      <c r="C47" s="87" t="str">
        <f t="shared" si="3"/>
        <v>B3</v>
      </c>
      <c r="E47" s="207" t="s">
        <v>107</v>
      </c>
      <c r="F47" s="208" t="s">
        <v>80</v>
      </c>
      <c r="G47" s="208" t="s">
        <v>80</v>
      </c>
      <c r="I47" s="159" t="s">
        <v>107</v>
      </c>
      <c r="J47" s="188" t="s">
        <v>216</v>
      </c>
    </row>
    <row r="48" spans="1:10" ht="16">
      <c r="A48" s="57" t="s">
        <v>31</v>
      </c>
      <c r="B48" s="88" t="str">
        <f t="shared" si="2"/>
        <v>CCC+</v>
      </c>
      <c r="C48" s="87" t="str">
        <f t="shared" si="3"/>
        <v>NA</v>
      </c>
      <c r="E48" s="207" t="s">
        <v>31</v>
      </c>
      <c r="F48" s="208" t="s">
        <v>80</v>
      </c>
      <c r="G48" s="208"/>
      <c r="I48" s="159" t="s">
        <v>31</v>
      </c>
      <c r="J48" s="188" t="s">
        <v>225</v>
      </c>
    </row>
    <row r="49" spans="1:10" ht="16">
      <c r="A49" s="57" t="s">
        <v>108</v>
      </c>
      <c r="B49" s="88" t="str">
        <f t="shared" si="2"/>
        <v>AA-</v>
      </c>
      <c r="C49" s="87" t="str">
        <f t="shared" si="3"/>
        <v>A1</v>
      </c>
      <c r="E49" s="207" t="s">
        <v>108</v>
      </c>
      <c r="F49" s="208" t="s">
        <v>42</v>
      </c>
      <c r="G49" s="208" t="s">
        <v>42</v>
      </c>
      <c r="I49" s="159" t="s">
        <v>108</v>
      </c>
      <c r="J49" s="188" t="s">
        <v>217</v>
      </c>
    </row>
    <row r="50" spans="1:10" ht="16">
      <c r="A50" s="57" t="s">
        <v>293</v>
      </c>
      <c r="B50" s="88" t="str">
        <f t="shared" si="2"/>
        <v>B</v>
      </c>
      <c r="C50" s="87" t="str">
        <f t="shared" si="3"/>
        <v>B1</v>
      </c>
      <c r="E50" s="207" t="s">
        <v>293</v>
      </c>
      <c r="F50" s="208" t="s">
        <v>49</v>
      </c>
      <c r="G50" s="208" t="s">
        <v>49</v>
      </c>
      <c r="I50" s="159" t="s">
        <v>293</v>
      </c>
      <c r="J50" s="188" t="s">
        <v>216</v>
      </c>
    </row>
    <row r="51" spans="1:10" ht="16">
      <c r="A51" s="57" t="s">
        <v>226</v>
      </c>
      <c r="B51" s="88" t="str">
        <f t="shared" si="2"/>
        <v>B+</v>
      </c>
      <c r="C51" s="87" t="str">
        <f t="shared" si="3"/>
        <v>Ba3</v>
      </c>
      <c r="E51" s="207" t="s">
        <v>226</v>
      </c>
      <c r="F51" s="208" t="s">
        <v>83</v>
      </c>
      <c r="G51" s="208" t="s">
        <v>83</v>
      </c>
      <c r="I51" s="159" t="s">
        <v>226</v>
      </c>
      <c r="J51" s="188" t="s">
        <v>203</v>
      </c>
    </row>
    <row r="52" spans="1:10" ht="16">
      <c r="A52" s="57" t="s">
        <v>185</v>
      </c>
      <c r="B52" s="88" t="str">
        <f t="shared" si="2"/>
        <v>AA+</v>
      </c>
      <c r="C52" s="87" t="str">
        <f t="shared" si="3"/>
        <v>Aa1</v>
      </c>
      <c r="E52" s="207" t="s">
        <v>185</v>
      </c>
      <c r="F52" s="208" t="s">
        <v>45</v>
      </c>
      <c r="G52" s="208" t="s">
        <v>45</v>
      </c>
      <c r="I52" s="159" t="s">
        <v>185</v>
      </c>
      <c r="J52" s="188" t="s">
        <v>211</v>
      </c>
    </row>
    <row r="53" spans="1:10" ht="16">
      <c r="A53" s="57" t="s">
        <v>186</v>
      </c>
      <c r="B53" s="88" t="str">
        <f t="shared" si="2"/>
        <v>AA</v>
      </c>
      <c r="C53" s="87" t="str">
        <f t="shared" si="3"/>
        <v>Aa2</v>
      </c>
      <c r="E53" s="207" t="s">
        <v>186</v>
      </c>
      <c r="F53" s="208" t="s">
        <v>46</v>
      </c>
      <c r="G53" s="208" t="s">
        <v>46</v>
      </c>
      <c r="I53" s="159" t="s">
        <v>186</v>
      </c>
      <c r="J53" s="188" t="s">
        <v>214</v>
      </c>
    </row>
    <row r="54" spans="1:10" ht="16">
      <c r="A54" s="57" t="s">
        <v>227</v>
      </c>
      <c r="B54" s="88" t="str">
        <f t="shared" si="2"/>
        <v>NA</v>
      </c>
      <c r="C54" s="87" t="str">
        <f t="shared" si="3"/>
        <v>Caa1</v>
      </c>
      <c r="E54" s="207" t="s">
        <v>227</v>
      </c>
      <c r="F54" s="208" t="s">
        <v>102</v>
      </c>
      <c r="G54" s="208" t="s">
        <v>102</v>
      </c>
      <c r="I54" s="159"/>
      <c r="J54" s="188"/>
    </row>
    <row r="55" spans="1:10" ht="16">
      <c r="A55" s="57" t="s">
        <v>135</v>
      </c>
      <c r="B55" s="88" t="str">
        <f t="shared" si="2"/>
        <v>BB-</v>
      </c>
      <c r="C55" s="87" t="str">
        <f t="shared" si="3"/>
        <v>Ba2</v>
      </c>
      <c r="E55" s="207" t="s">
        <v>135</v>
      </c>
      <c r="F55" s="208" t="s">
        <v>82</v>
      </c>
      <c r="G55" s="208" t="s">
        <v>82</v>
      </c>
      <c r="I55" s="159" t="s">
        <v>135</v>
      </c>
      <c r="J55" s="188" t="s">
        <v>206</v>
      </c>
    </row>
    <row r="56" spans="1:10" ht="16">
      <c r="A56" s="57" t="s">
        <v>187</v>
      </c>
      <c r="B56" s="88" t="str">
        <f t="shared" si="2"/>
        <v>AAA</v>
      </c>
      <c r="C56" s="87" t="str">
        <f t="shared" si="3"/>
        <v>Aaa</v>
      </c>
      <c r="E56" s="207" t="s">
        <v>187</v>
      </c>
      <c r="F56" s="208" t="s">
        <v>48</v>
      </c>
      <c r="G56" s="208" t="s">
        <v>48</v>
      </c>
      <c r="I56" s="159" t="s">
        <v>187</v>
      </c>
      <c r="J56" s="188" t="s">
        <v>210</v>
      </c>
    </row>
    <row r="57" spans="1:10" ht="16">
      <c r="A57" s="57" t="s">
        <v>228</v>
      </c>
      <c r="B57" s="88" t="str">
        <f t="shared" si="2"/>
        <v>B-</v>
      </c>
      <c r="C57" s="87" t="str">
        <f t="shared" si="3"/>
        <v>B3</v>
      </c>
      <c r="E57" s="207" t="s">
        <v>228</v>
      </c>
      <c r="F57" s="208" t="s">
        <v>80</v>
      </c>
      <c r="G57" s="208" t="s">
        <v>80</v>
      </c>
      <c r="I57" s="159" t="s">
        <v>228</v>
      </c>
      <c r="J57" s="188" t="s">
        <v>207</v>
      </c>
    </row>
    <row r="58" spans="1:10" ht="16">
      <c r="A58" s="57" t="s">
        <v>188</v>
      </c>
      <c r="B58" s="88" t="str">
        <f t="shared" si="2"/>
        <v>B</v>
      </c>
      <c r="C58" s="87" t="str">
        <f t="shared" si="3"/>
        <v>B3</v>
      </c>
      <c r="E58" s="207" t="s">
        <v>188</v>
      </c>
      <c r="F58" s="208" t="s">
        <v>80</v>
      </c>
      <c r="G58" s="208" t="s">
        <v>80</v>
      </c>
      <c r="I58" s="159" t="s">
        <v>188</v>
      </c>
      <c r="J58" s="188" t="s">
        <v>216</v>
      </c>
    </row>
    <row r="59" spans="1:10" ht="16">
      <c r="A59" s="57" t="s">
        <v>109</v>
      </c>
      <c r="B59" s="88" t="str">
        <f t="shared" si="2"/>
        <v>BB</v>
      </c>
      <c r="C59" s="87" t="str">
        <f t="shared" si="3"/>
        <v>Ba1</v>
      </c>
      <c r="E59" s="207" t="s">
        <v>109</v>
      </c>
      <c r="F59" s="208" t="s">
        <v>81</v>
      </c>
      <c r="G59" s="208" t="s">
        <v>81</v>
      </c>
      <c r="I59" s="159" t="s">
        <v>109</v>
      </c>
      <c r="J59" s="188" t="s">
        <v>222</v>
      </c>
    </row>
    <row r="60" spans="1:10" ht="16">
      <c r="A60" s="57" t="s">
        <v>298</v>
      </c>
      <c r="B60" s="88" t="str">
        <f t="shared" si="2"/>
        <v>AA-</v>
      </c>
      <c r="C60" s="87" t="str">
        <f t="shared" si="3"/>
        <v>NA</v>
      </c>
      <c r="E60" s="207" t="s">
        <v>566</v>
      </c>
      <c r="F60" s="208"/>
      <c r="G60" s="208"/>
      <c r="I60" s="159" t="s">
        <v>477</v>
      </c>
      <c r="J60" s="188" t="s">
        <v>217</v>
      </c>
    </row>
    <row r="61" spans="1:10" ht="16">
      <c r="A61" s="57" t="s">
        <v>110</v>
      </c>
      <c r="B61" s="88" t="str">
        <f t="shared" si="2"/>
        <v>BB-</v>
      </c>
      <c r="C61" s="87" t="str">
        <f t="shared" si="3"/>
        <v>B1</v>
      </c>
      <c r="E61" s="207" t="s">
        <v>110</v>
      </c>
      <c r="F61" s="208" t="s">
        <v>49</v>
      </c>
      <c r="G61" s="208" t="s">
        <v>49</v>
      </c>
      <c r="I61" s="159" t="s">
        <v>110</v>
      </c>
      <c r="J61" s="188" t="s">
        <v>206</v>
      </c>
    </row>
    <row r="62" spans="1:10" ht="16">
      <c r="A62" s="57" t="s">
        <v>60</v>
      </c>
      <c r="B62" s="88" t="str">
        <f t="shared" si="2"/>
        <v>AA+</v>
      </c>
      <c r="C62" s="87" t="str">
        <f t="shared" si="3"/>
        <v>Aa2</v>
      </c>
      <c r="E62" s="207" t="s">
        <v>60</v>
      </c>
      <c r="F62" s="208" t="s">
        <v>46</v>
      </c>
      <c r="G62" s="208" t="s">
        <v>46</v>
      </c>
      <c r="I62" s="159" t="s">
        <v>60</v>
      </c>
      <c r="J62" s="188" t="s">
        <v>211</v>
      </c>
    </row>
    <row r="63" spans="1:10" ht="16">
      <c r="A63" s="57" t="s">
        <v>111</v>
      </c>
      <c r="B63" s="88" t="str">
        <f t="shared" si="2"/>
        <v>BBB-</v>
      </c>
      <c r="C63" s="87" t="str">
        <f t="shared" si="3"/>
        <v>Baa3</v>
      </c>
      <c r="E63" s="207" t="s">
        <v>111</v>
      </c>
      <c r="F63" s="208" t="s">
        <v>126</v>
      </c>
      <c r="G63" s="208" t="s">
        <v>126</v>
      </c>
      <c r="I63" s="159" t="s">
        <v>111</v>
      </c>
      <c r="J63" s="188" t="s">
        <v>212</v>
      </c>
    </row>
    <row r="64" spans="1:10" ht="16">
      <c r="A64" s="57" t="s">
        <v>112</v>
      </c>
      <c r="B64" s="88" t="str">
        <f t="shared" si="2"/>
        <v>A</v>
      </c>
      <c r="C64" s="87" t="str">
        <f t="shared" si="3"/>
        <v>A3</v>
      </c>
      <c r="E64" s="207" t="s">
        <v>112</v>
      </c>
      <c r="F64" s="208" t="s">
        <v>44</v>
      </c>
      <c r="G64" s="208" t="s">
        <v>44</v>
      </c>
      <c r="I64" s="159" t="s">
        <v>112</v>
      </c>
      <c r="J64" s="188" t="s">
        <v>231</v>
      </c>
    </row>
    <row r="65" spans="1:17" ht="16">
      <c r="A65" s="57" t="s">
        <v>113</v>
      </c>
      <c r="B65" s="88" t="str">
        <f t="shared" si="2"/>
        <v>BBB-</v>
      </c>
      <c r="C65" s="87" t="str">
        <f t="shared" si="3"/>
        <v>Baa2</v>
      </c>
      <c r="E65" s="207" t="s">
        <v>113</v>
      </c>
      <c r="F65" s="208" t="s">
        <v>85</v>
      </c>
      <c r="G65" s="208" t="s">
        <v>85</v>
      </c>
      <c r="I65" s="159" t="s">
        <v>113</v>
      </c>
      <c r="J65" s="188" t="s">
        <v>212</v>
      </c>
    </row>
    <row r="66" spans="1:17" ht="16">
      <c r="A66" s="57" t="s">
        <v>114</v>
      </c>
      <c r="B66" s="88" t="str">
        <f t="shared" ref="B66:B97" si="4">IF(J66=0,"NA",J66)</f>
        <v>BBB-</v>
      </c>
      <c r="C66" s="87" t="str">
        <f t="shared" ref="C66:C97" si="5">IF(G66=0,"NA",G66)</f>
        <v>Baa2</v>
      </c>
      <c r="E66" s="207" t="s">
        <v>114</v>
      </c>
      <c r="F66" s="208" t="s">
        <v>85</v>
      </c>
      <c r="G66" s="208" t="s">
        <v>85</v>
      </c>
      <c r="I66" s="159" t="s">
        <v>114</v>
      </c>
      <c r="J66" s="188" t="s">
        <v>212</v>
      </c>
    </row>
    <row r="67" spans="1:17" ht="16">
      <c r="A67" s="57" t="s">
        <v>341</v>
      </c>
      <c r="B67" s="88" t="str">
        <f t="shared" si="4"/>
        <v>B-</v>
      </c>
      <c r="C67" s="87" t="str">
        <f t="shared" si="5"/>
        <v>Caa1</v>
      </c>
      <c r="E67" s="207" t="s">
        <v>341</v>
      </c>
      <c r="F67" s="208" t="s">
        <v>102</v>
      </c>
      <c r="G67" s="208" t="s">
        <v>102</v>
      </c>
      <c r="I67" s="159" t="s">
        <v>341</v>
      </c>
      <c r="J67" s="188" t="s">
        <v>207</v>
      </c>
    </row>
    <row r="68" spans="1:17" ht="16">
      <c r="A68" s="57" t="s">
        <v>189</v>
      </c>
      <c r="B68" s="88" t="str">
        <f t="shared" si="4"/>
        <v>A+</v>
      </c>
      <c r="C68" s="87" t="str">
        <f t="shared" si="5"/>
        <v>A2</v>
      </c>
      <c r="E68" s="207" t="s">
        <v>189</v>
      </c>
      <c r="F68" s="208" t="s">
        <v>43</v>
      </c>
      <c r="G68" s="208" t="s">
        <v>43</v>
      </c>
      <c r="I68" s="159" t="s">
        <v>189</v>
      </c>
      <c r="J68" s="188" t="s">
        <v>229</v>
      </c>
    </row>
    <row r="69" spans="1:17" ht="16">
      <c r="A69" s="57" t="s">
        <v>115</v>
      </c>
      <c r="B69" s="88" t="str">
        <f t="shared" si="4"/>
        <v>NA</v>
      </c>
      <c r="C69" s="87" t="str">
        <f t="shared" si="5"/>
        <v>Aa2</v>
      </c>
      <c r="E69" s="207" t="s">
        <v>115</v>
      </c>
      <c r="F69" s="208" t="s">
        <v>46</v>
      </c>
      <c r="G69" s="208" t="s">
        <v>46</v>
      </c>
      <c r="I69" s="159"/>
      <c r="J69" s="188"/>
    </row>
    <row r="70" spans="1:17" ht="16">
      <c r="A70" s="57" t="s">
        <v>116</v>
      </c>
      <c r="B70" s="88" t="str">
        <f t="shared" si="4"/>
        <v>A+</v>
      </c>
      <c r="C70" s="87" t="str">
        <f t="shared" si="5"/>
        <v>A1</v>
      </c>
      <c r="E70" s="207" t="s">
        <v>116</v>
      </c>
      <c r="F70" s="208" t="s">
        <v>42</v>
      </c>
      <c r="G70" s="208" t="s">
        <v>42</v>
      </c>
      <c r="I70" s="159" t="s">
        <v>116</v>
      </c>
      <c r="J70" s="188" t="s">
        <v>229</v>
      </c>
    </row>
    <row r="71" spans="1:17" ht="16">
      <c r="A71" s="57" t="s">
        <v>147</v>
      </c>
      <c r="B71" s="88" t="str">
        <f t="shared" si="4"/>
        <v>BBB</v>
      </c>
      <c r="C71" s="87" t="str">
        <f t="shared" si="5"/>
        <v>Baa2</v>
      </c>
      <c r="E71" s="207" t="s">
        <v>147</v>
      </c>
      <c r="F71" s="208" t="s">
        <v>85</v>
      </c>
      <c r="G71" s="208" t="s">
        <v>85</v>
      </c>
      <c r="I71" s="159" t="s">
        <v>147</v>
      </c>
      <c r="J71" s="188" t="s">
        <v>213</v>
      </c>
    </row>
    <row r="72" spans="1:17" ht="16">
      <c r="A72" s="57" t="s">
        <v>117</v>
      </c>
      <c r="B72" s="88" t="str">
        <f t="shared" si="4"/>
        <v>B</v>
      </c>
      <c r="C72" s="87" t="str">
        <f t="shared" si="5"/>
        <v>B3</v>
      </c>
      <c r="E72" s="207" t="s">
        <v>117</v>
      </c>
      <c r="F72" s="208" t="s">
        <v>80</v>
      </c>
      <c r="G72" s="208" t="s">
        <v>80</v>
      </c>
      <c r="I72" s="159" t="s">
        <v>117</v>
      </c>
      <c r="J72" s="188" t="s">
        <v>216</v>
      </c>
    </row>
    <row r="73" spans="1:17" ht="16">
      <c r="A73" s="57" t="s">
        <v>118</v>
      </c>
      <c r="B73" s="88" t="str">
        <f t="shared" si="4"/>
        <v>A+</v>
      </c>
      <c r="C73" s="87" t="str">
        <f t="shared" si="5"/>
        <v>A1</v>
      </c>
      <c r="E73" s="207" t="s">
        <v>118</v>
      </c>
      <c r="F73" s="208" t="s">
        <v>42</v>
      </c>
      <c r="G73" s="208" t="s">
        <v>42</v>
      </c>
      <c r="I73" s="159" t="s">
        <v>118</v>
      </c>
      <c r="J73" s="188" t="s">
        <v>229</v>
      </c>
    </row>
    <row r="74" spans="1:17" ht="16">
      <c r="A74" s="57" t="s">
        <v>299</v>
      </c>
      <c r="B74" s="88" t="str">
        <f t="shared" si="4"/>
        <v>AA-</v>
      </c>
      <c r="C74" s="87" t="str">
        <f t="shared" si="5"/>
        <v>NA</v>
      </c>
      <c r="E74" s="207" t="s">
        <v>567</v>
      </c>
      <c r="F74" s="208"/>
      <c r="G74" s="208"/>
      <c r="I74" s="159" t="s">
        <v>479</v>
      </c>
      <c r="J74" s="188" t="s">
        <v>217</v>
      </c>
    </row>
    <row r="75" spans="1:17" ht="16">
      <c r="A75" s="57" t="s">
        <v>119</v>
      </c>
      <c r="B75" s="88" t="str">
        <f t="shared" si="4"/>
        <v>B+</v>
      </c>
      <c r="C75" s="87" t="str">
        <f t="shared" si="5"/>
        <v>B1</v>
      </c>
      <c r="E75" s="207" t="s">
        <v>119</v>
      </c>
      <c r="F75" s="208" t="s">
        <v>49</v>
      </c>
      <c r="G75" s="208" t="s">
        <v>49</v>
      </c>
      <c r="I75" s="159" t="s">
        <v>119</v>
      </c>
      <c r="J75" s="188" t="s">
        <v>203</v>
      </c>
    </row>
    <row r="76" spans="1:17" ht="16">
      <c r="A76" s="57" t="s">
        <v>120</v>
      </c>
      <c r="B76" s="88" t="str">
        <f t="shared" si="4"/>
        <v>BBB-</v>
      </c>
      <c r="C76" s="87" t="str">
        <f t="shared" si="5"/>
        <v>Baa3</v>
      </c>
      <c r="E76" s="209" t="s">
        <v>120</v>
      </c>
      <c r="F76" s="210" t="s">
        <v>126</v>
      </c>
      <c r="G76" s="210" t="s">
        <v>126</v>
      </c>
      <c r="I76" s="159" t="s">
        <v>120</v>
      </c>
      <c r="J76" s="188" t="s">
        <v>212</v>
      </c>
    </row>
    <row r="77" spans="1:17" ht="16">
      <c r="A77" s="57" t="s">
        <v>190</v>
      </c>
      <c r="B77" s="88" t="str">
        <f t="shared" si="4"/>
        <v>B+</v>
      </c>
      <c r="C77" s="87" t="str">
        <f t="shared" si="5"/>
        <v>B2</v>
      </c>
      <c r="E77" s="207" t="s">
        <v>190</v>
      </c>
      <c r="F77" s="208" t="s">
        <v>50</v>
      </c>
      <c r="G77" s="208" t="s">
        <v>50</v>
      </c>
      <c r="I77" s="159" t="s">
        <v>190</v>
      </c>
      <c r="J77" s="188" t="s">
        <v>203</v>
      </c>
    </row>
    <row r="78" spans="1:17" ht="16">
      <c r="A78" s="57" t="s">
        <v>121</v>
      </c>
      <c r="B78" s="88" t="str">
        <f t="shared" si="4"/>
        <v>AA</v>
      </c>
      <c r="C78" s="87" t="str">
        <f t="shared" si="5"/>
        <v>Aa2</v>
      </c>
      <c r="E78" s="207" t="s">
        <v>121</v>
      </c>
      <c r="F78" s="208" t="s">
        <v>46</v>
      </c>
      <c r="G78" s="208" t="s">
        <v>46</v>
      </c>
      <c r="I78" s="159" t="s">
        <v>121</v>
      </c>
      <c r="J78" s="188" t="s">
        <v>214</v>
      </c>
    </row>
    <row r="79" spans="1:17" ht="16">
      <c r="A79" s="57" t="s">
        <v>122</v>
      </c>
      <c r="B79" s="88" t="str">
        <f t="shared" si="4"/>
        <v>AA</v>
      </c>
      <c r="C79" s="87" t="str">
        <f t="shared" si="5"/>
        <v>Aa2</v>
      </c>
      <c r="E79" s="207" t="s">
        <v>122</v>
      </c>
      <c r="F79" s="208" t="s">
        <v>46</v>
      </c>
      <c r="G79" s="208" t="s">
        <v>46</v>
      </c>
      <c r="I79" s="159" t="s">
        <v>122</v>
      </c>
      <c r="J79" s="188" t="s">
        <v>214</v>
      </c>
      <c r="L79" s="99" t="s">
        <v>364</v>
      </c>
      <c r="M79" s="100" t="s">
        <v>50</v>
      </c>
      <c r="N79" s="100" t="s">
        <v>50</v>
      </c>
      <c r="P79" t="s">
        <v>363</v>
      </c>
      <c r="Q79" t="s">
        <v>216</v>
      </c>
    </row>
    <row r="80" spans="1:17" ht="16">
      <c r="A80" t="s">
        <v>363</v>
      </c>
      <c r="B80" s="88" t="str">
        <f t="shared" si="4"/>
        <v>NA</v>
      </c>
      <c r="C80" s="87" t="str">
        <f t="shared" si="5"/>
        <v>B2</v>
      </c>
      <c r="E80" s="207" t="s">
        <v>364</v>
      </c>
      <c r="F80" s="208" t="s">
        <v>50</v>
      </c>
      <c r="G80" s="208" t="s">
        <v>50</v>
      </c>
      <c r="I80" s="159"/>
      <c r="J80" s="188"/>
    </row>
    <row r="81" spans="1:10" ht="16">
      <c r="A81" s="57" t="s">
        <v>123</v>
      </c>
      <c r="B81" s="88" t="str">
        <f t="shared" si="4"/>
        <v>A-</v>
      </c>
      <c r="C81" s="87" t="str">
        <f t="shared" si="5"/>
        <v>A3</v>
      </c>
      <c r="E81" s="207" t="s">
        <v>123</v>
      </c>
      <c r="F81" s="208" t="s">
        <v>44</v>
      </c>
      <c r="G81" s="208" t="s">
        <v>44</v>
      </c>
      <c r="I81" s="159" t="s">
        <v>123</v>
      </c>
      <c r="J81" s="188" t="s">
        <v>205</v>
      </c>
    </row>
    <row r="82" spans="1:10" ht="16">
      <c r="A82" s="57" t="s">
        <v>124</v>
      </c>
      <c r="B82" s="88" t="str">
        <f t="shared" si="4"/>
        <v>B-</v>
      </c>
      <c r="C82" s="87" t="str">
        <f t="shared" si="5"/>
        <v>B3</v>
      </c>
      <c r="E82" s="207" t="s">
        <v>124</v>
      </c>
      <c r="F82" s="208" t="s">
        <v>80</v>
      </c>
      <c r="G82" s="208" t="s">
        <v>80</v>
      </c>
      <c r="I82" s="159" t="s">
        <v>124</v>
      </c>
      <c r="J82" s="188" t="s">
        <v>207</v>
      </c>
    </row>
    <row r="83" spans="1:10" ht="16">
      <c r="A83" s="57" t="s">
        <v>230</v>
      </c>
      <c r="B83" s="88" t="str">
        <f t="shared" si="4"/>
        <v>AAA</v>
      </c>
      <c r="C83" s="87" t="str">
        <f t="shared" si="5"/>
        <v>NA</v>
      </c>
      <c r="E83" s="207" t="s">
        <v>230</v>
      </c>
      <c r="F83" s="208"/>
      <c r="G83" s="208"/>
      <c r="I83" s="159" t="s">
        <v>230</v>
      </c>
      <c r="J83" s="188" t="s">
        <v>210</v>
      </c>
    </row>
    <row r="84" spans="1:10" ht="16">
      <c r="A84" s="57" t="s">
        <v>13</v>
      </c>
      <c r="B84" s="88" t="str">
        <f t="shared" si="4"/>
        <v>A</v>
      </c>
      <c r="C84" s="87" t="str">
        <f t="shared" si="5"/>
        <v>A3</v>
      </c>
      <c r="E84" s="207" t="s">
        <v>13</v>
      </c>
      <c r="F84" s="208" t="s">
        <v>44</v>
      </c>
      <c r="G84" s="208" t="s">
        <v>44</v>
      </c>
      <c r="I84" s="159" t="s">
        <v>13</v>
      </c>
      <c r="J84" s="188" t="s">
        <v>231</v>
      </c>
    </row>
    <row r="85" spans="1:10" ht="16">
      <c r="A85" s="57" t="s">
        <v>191</v>
      </c>
      <c r="B85" s="88" t="str">
        <f t="shared" si="4"/>
        <v>AAA</v>
      </c>
      <c r="C85" s="87" t="str">
        <f t="shared" si="5"/>
        <v>Aaa</v>
      </c>
      <c r="E85" s="207" t="s">
        <v>191</v>
      </c>
      <c r="F85" s="208" t="s">
        <v>48</v>
      </c>
      <c r="G85" s="208" t="s">
        <v>48</v>
      </c>
      <c r="I85" s="159" t="s">
        <v>191</v>
      </c>
      <c r="J85" s="188" t="s">
        <v>210</v>
      </c>
    </row>
    <row r="86" spans="1:10" ht="16">
      <c r="A86" s="57" t="s">
        <v>32</v>
      </c>
      <c r="B86" s="88" t="str">
        <f t="shared" si="4"/>
        <v>NA</v>
      </c>
      <c r="C86" s="87" t="str">
        <f t="shared" si="5"/>
        <v>Aa3</v>
      </c>
      <c r="E86" s="207" t="s">
        <v>32</v>
      </c>
      <c r="F86" s="208" t="s">
        <v>47</v>
      </c>
      <c r="G86" s="208" t="s">
        <v>47</v>
      </c>
    </row>
    <row r="87" spans="1:10" ht="16">
      <c r="A87" s="57" t="s">
        <v>148</v>
      </c>
      <c r="B87" s="88" t="str">
        <f t="shared" si="4"/>
        <v>BB-</v>
      </c>
      <c r="C87" s="87" t="str">
        <f t="shared" si="5"/>
        <v>NA</v>
      </c>
      <c r="I87" s="159" t="s">
        <v>148</v>
      </c>
      <c r="J87" s="188" t="s">
        <v>206</v>
      </c>
    </row>
    <row r="88" spans="1:10" ht="16">
      <c r="A88" s="57" t="s">
        <v>14</v>
      </c>
      <c r="B88" s="88" t="str">
        <f t="shared" si="4"/>
        <v>A</v>
      </c>
      <c r="C88" s="87" t="str">
        <f t="shared" si="5"/>
        <v>A3</v>
      </c>
      <c r="E88" s="207" t="s">
        <v>14</v>
      </c>
      <c r="F88" s="208" t="s">
        <v>44</v>
      </c>
      <c r="G88" s="208" t="s">
        <v>44</v>
      </c>
      <c r="I88" s="159" t="s">
        <v>14</v>
      </c>
      <c r="J88" s="188" t="s">
        <v>231</v>
      </c>
    </row>
    <row r="89" spans="1:10" ht="16">
      <c r="A89" s="206" t="s">
        <v>444</v>
      </c>
      <c r="B89" s="88" t="str">
        <f t="shared" si="4"/>
        <v>NA</v>
      </c>
      <c r="C89" s="87" t="str">
        <f t="shared" si="5"/>
        <v>B2</v>
      </c>
      <c r="E89" s="207" t="s">
        <v>444</v>
      </c>
      <c r="F89" s="208" t="s">
        <v>50</v>
      </c>
      <c r="G89" s="208" t="s">
        <v>50</v>
      </c>
      <c r="I89" s="159"/>
      <c r="J89" s="188"/>
    </row>
    <row r="90" spans="1:10" ht="16">
      <c r="A90" s="57" t="s">
        <v>192</v>
      </c>
      <c r="B90" s="88" t="str">
        <f t="shared" si="4"/>
        <v>A-</v>
      </c>
      <c r="C90" s="87" t="str">
        <f t="shared" si="5"/>
        <v>A3</v>
      </c>
      <c r="E90" s="207" t="s">
        <v>192</v>
      </c>
      <c r="F90" s="208" t="s">
        <v>44</v>
      </c>
      <c r="G90" s="208" t="s">
        <v>44</v>
      </c>
      <c r="I90" s="159" t="s">
        <v>192</v>
      </c>
      <c r="J90" s="188" t="s">
        <v>205</v>
      </c>
    </row>
    <row r="91" spans="1:10" ht="16">
      <c r="A91" s="57" t="s">
        <v>15</v>
      </c>
      <c r="B91" s="88" t="str">
        <f t="shared" si="4"/>
        <v>NA</v>
      </c>
      <c r="C91" s="87" t="str">
        <f t="shared" si="5"/>
        <v>Baa1</v>
      </c>
      <c r="E91" s="207" t="s">
        <v>15</v>
      </c>
      <c r="F91" s="208" t="s">
        <v>84</v>
      </c>
      <c r="G91" s="208" t="s">
        <v>84</v>
      </c>
      <c r="I91" s="159"/>
      <c r="J91" s="188"/>
    </row>
    <row r="92" spans="1:10" ht="16">
      <c r="A92" s="57" t="s">
        <v>16</v>
      </c>
      <c r="B92" s="88" t="str">
        <f t="shared" si="4"/>
        <v>A-</v>
      </c>
      <c r="C92" s="87" t="str">
        <f t="shared" si="5"/>
        <v>A3</v>
      </c>
      <c r="E92" s="207" t="s">
        <v>16</v>
      </c>
      <c r="F92" s="208" t="s">
        <v>44</v>
      </c>
      <c r="G92" s="208" t="s">
        <v>44</v>
      </c>
      <c r="I92" s="159" t="s">
        <v>16</v>
      </c>
      <c r="J92" s="188" t="s">
        <v>205</v>
      </c>
    </row>
    <row r="93" spans="1:10" ht="16">
      <c r="A93" s="57" t="s">
        <v>17</v>
      </c>
      <c r="B93" s="88" t="str">
        <f t="shared" si="4"/>
        <v>NA</v>
      </c>
      <c r="C93" s="87" t="str">
        <f t="shared" si="5"/>
        <v>B3</v>
      </c>
      <c r="E93" s="207" t="s">
        <v>17</v>
      </c>
      <c r="F93" s="208" t="s">
        <v>80</v>
      </c>
      <c r="G93" s="208" t="s">
        <v>80</v>
      </c>
      <c r="I93" s="159"/>
      <c r="J93" s="188"/>
    </row>
    <row r="94" spans="1:10" ht="16">
      <c r="A94" s="57" t="s">
        <v>64</v>
      </c>
      <c r="B94" s="88" t="str">
        <f t="shared" si="4"/>
        <v>B-</v>
      </c>
      <c r="C94" s="87" t="str">
        <f t="shared" si="5"/>
        <v>B3</v>
      </c>
      <c r="E94" s="207" t="s">
        <v>64</v>
      </c>
      <c r="F94" s="208" t="s">
        <v>80</v>
      </c>
      <c r="G94" s="208" t="s">
        <v>80</v>
      </c>
      <c r="I94" s="159" t="s">
        <v>64</v>
      </c>
      <c r="J94" s="188" t="s">
        <v>207</v>
      </c>
    </row>
    <row r="95" spans="1:10" ht="16">
      <c r="A95" s="57" t="s">
        <v>8</v>
      </c>
      <c r="B95" s="88" t="str">
        <f t="shared" si="4"/>
        <v>B+</v>
      </c>
      <c r="C95" s="87" t="str">
        <f t="shared" si="5"/>
        <v>NA</v>
      </c>
      <c r="E95" s="207" t="s">
        <v>8</v>
      </c>
      <c r="F95" s="208" t="s">
        <v>49</v>
      </c>
      <c r="G95" s="208"/>
      <c r="I95" s="159" t="s">
        <v>8</v>
      </c>
      <c r="J95" s="188" t="s">
        <v>203</v>
      </c>
    </row>
    <row r="96" spans="1:10" ht="16">
      <c r="A96" s="57" t="s">
        <v>232</v>
      </c>
      <c r="B96" s="88" t="str">
        <f t="shared" si="4"/>
        <v>BBB-</v>
      </c>
      <c r="C96" s="87" t="str">
        <f t="shared" si="5"/>
        <v>NA</v>
      </c>
      <c r="E96" s="207"/>
      <c r="F96" s="208"/>
      <c r="G96" s="208"/>
      <c r="I96" s="159" t="s">
        <v>232</v>
      </c>
      <c r="J96" s="188" t="s">
        <v>212</v>
      </c>
    </row>
    <row r="97" spans="1:10" ht="16">
      <c r="A97" s="57" t="s">
        <v>18</v>
      </c>
      <c r="B97" s="88" t="str">
        <f t="shared" si="4"/>
        <v>BBB-</v>
      </c>
      <c r="C97" s="87" t="str">
        <f t="shared" si="5"/>
        <v>Ba1</v>
      </c>
      <c r="E97" s="207" t="s">
        <v>18</v>
      </c>
      <c r="F97" s="208" t="s">
        <v>81</v>
      </c>
      <c r="G97" s="208" t="s">
        <v>81</v>
      </c>
      <c r="I97" s="159" t="s">
        <v>18</v>
      </c>
      <c r="J97" s="188" t="s">
        <v>212</v>
      </c>
    </row>
    <row r="98" spans="1:10" ht="16">
      <c r="A98" s="57" t="s">
        <v>233</v>
      </c>
      <c r="B98" s="88" t="str">
        <f t="shared" ref="B98:B129" si="6">IF(J98=0,"NA",J98)</f>
        <v>B-</v>
      </c>
      <c r="C98" s="87" t="str">
        <f t="shared" ref="C98:C129" si="7">IF(G98=0,"NA",G98)</f>
        <v>Caa3</v>
      </c>
      <c r="E98" s="211" t="s">
        <v>233</v>
      </c>
      <c r="F98" s="208" t="s">
        <v>63</v>
      </c>
      <c r="G98" s="208" t="s">
        <v>63</v>
      </c>
      <c r="I98" s="159" t="s">
        <v>233</v>
      </c>
      <c r="J98" s="188" t="s">
        <v>207</v>
      </c>
    </row>
    <row r="99" spans="1:10" ht="16">
      <c r="A99" s="57" t="s">
        <v>138</v>
      </c>
      <c r="B99" s="88" t="str">
        <f t="shared" si="6"/>
        <v>NA</v>
      </c>
      <c r="C99" s="87" t="str">
        <f t="shared" si="7"/>
        <v>Ba1</v>
      </c>
      <c r="E99" s="207" t="s">
        <v>138</v>
      </c>
      <c r="F99" s="208" t="s">
        <v>81</v>
      </c>
      <c r="G99" s="208" t="s">
        <v>81</v>
      </c>
      <c r="I99" s="159"/>
      <c r="J99" s="188"/>
    </row>
    <row r="100" spans="1:10" ht="16">
      <c r="A100" s="57" t="s">
        <v>193</v>
      </c>
      <c r="B100" s="88" t="str">
        <f t="shared" si="6"/>
        <v>AAA</v>
      </c>
      <c r="C100" s="87" t="str">
        <f t="shared" si="7"/>
        <v>Aaa</v>
      </c>
      <c r="E100" s="207" t="s">
        <v>193</v>
      </c>
      <c r="F100" s="208" t="s">
        <v>48</v>
      </c>
      <c r="G100" s="208" t="s">
        <v>48</v>
      </c>
      <c r="I100" s="159" t="s">
        <v>193</v>
      </c>
      <c r="J100" s="188" t="s">
        <v>210</v>
      </c>
    </row>
    <row r="101" spans="1:10" ht="16">
      <c r="A101" s="57" t="s">
        <v>21</v>
      </c>
      <c r="B101" s="88" t="str">
        <f t="shared" si="6"/>
        <v>AA+</v>
      </c>
      <c r="C101" s="87" t="str">
        <f t="shared" si="7"/>
        <v>Aaa</v>
      </c>
      <c r="E101" s="207" t="s">
        <v>21</v>
      </c>
      <c r="F101" s="208" t="s">
        <v>48</v>
      </c>
      <c r="G101" s="208" t="s">
        <v>48</v>
      </c>
      <c r="I101" s="159" t="s">
        <v>21</v>
      </c>
      <c r="J101" s="188" t="s">
        <v>211</v>
      </c>
    </row>
    <row r="102" spans="1:10" ht="16">
      <c r="A102" s="57" t="s">
        <v>22</v>
      </c>
      <c r="B102" s="88" t="str">
        <f t="shared" si="6"/>
        <v>B+</v>
      </c>
      <c r="C102" s="87" t="str">
        <f t="shared" si="7"/>
        <v>B2</v>
      </c>
      <c r="E102" s="207" t="s">
        <v>22</v>
      </c>
      <c r="F102" s="208" t="s">
        <v>50</v>
      </c>
      <c r="G102" s="208" t="s">
        <v>50</v>
      </c>
      <c r="I102" s="159" t="s">
        <v>22</v>
      </c>
      <c r="J102" s="188" t="s">
        <v>203</v>
      </c>
    </row>
    <row r="103" spans="1:10" ht="16">
      <c r="A103" s="57" t="s">
        <v>194</v>
      </c>
      <c r="B103" s="88" t="str">
        <f t="shared" si="6"/>
        <v>B</v>
      </c>
      <c r="C103" s="87" t="str">
        <f t="shared" si="7"/>
        <v>B2</v>
      </c>
      <c r="E103" s="207" t="s">
        <v>194</v>
      </c>
      <c r="F103" s="208" t="s">
        <v>50</v>
      </c>
      <c r="G103" s="208" t="s">
        <v>50</v>
      </c>
      <c r="I103" s="159" t="s">
        <v>194</v>
      </c>
      <c r="J103" s="188" t="s">
        <v>216</v>
      </c>
    </row>
    <row r="104" spans="1:10" ht="16">
      <c r="A104" s="57" t="s">
        <v>23</v>
      </c>
      <c r="B104" s="88" t="str">
        <f t="shared" si="6"/>
        <v>AAA</v>
      </c>
      <c r="C104" s="87" t="str">
        <f t="shared" si="7"/>
        <v>Aaa</v>
      </c>
      <c r="E104" s="207" t="s">
        <v>23</v>
      </c>
      <c r="F104" s="208" t="s">
        <v>48</v>
      </c>
      <c r="G104" s="208" t="s">
        <v>48</v>
      </c>
      <c r="I104" s="159" t="s">
        <v>23</v>
      </c>
      <c r="J104" s="188" t="s">
        <v>210</v>
      </c>
    </row>
    <row r="105" spans="1:10" ht="16">
      <c r="A105" s="57" t="s">
        <v>24</v>
      </c>
      <c r="B105" s="88" t="str">
        <f t="shared" si="6"/>
        <v>BB</v>
      </c>
      <c r="C105" s="87" t="str">
        <f t="shared" si="7"/>
        <v>Baa3</v>
      </c>
      <c r="E105" s="207" t="s">
        <v>24</v>
      </c>
      <c r="F105" s="208" t="s">
        <v>126</v>
      </c>
      <c r="G105" s="208" t="s">
        <v>126</v>
      </c>
      <c r="I105" s="159" t="s">
        <v>24</v>
      </c>
      <c r="J105" s="188" t="s">
        <v>222</v>
      </c>
    </row>
    <row r="106" spans="1:10" ht="16">
      <c r="A106" s="57" t="s">
        <v>25</v>
      </c>
      <c r="B106" s="88" t="str">
        <f t="shared" si="6"/>
        <v>B</v>
      </c>
      <c r="C106" s="87" t="str">
        <f t="shared" si="7"/>
        <v>B3</v>
      </c>
      <c r="E106" s="207" t="s">
        <v>25</v>
      </c>
      <c r="F106" s="208" t="s">
        <v>80</v>
      </c>
      <c r="G106" s="208" t="s">
        <v>80</v>
      </c>
      <c r="I106" s="159" t="s">
        <v>25</v>
      </c>
      <c r="J106" s="188" t="s">
        <v>216</v>
      </c>
    </row>
    <row r="107" spans="1:10" ht="16">
      <c r="A107" s="57" t="s">
        <v>26</v>
      </c>
      <c r="B107" s="88" t="str">
        <f t="shared" si="6"/>
        <v>BBB</v>
      </c>
      <c r="C107" s="87" t="str">
        <f t="shared" si="7"/>
        <v>NA</v>
      </c>
      <c r="E107" s="207" t="s">
        <v>26</v>
      </c>
      <c r="F107" s="208" t="s">
        <v>85</v>
      </c>
      <c r="G107" s="208"/>
      <c r="I107" s="159" t="s">
        <v>26</v>
      </c>
      <c r="J107" s="188" t="s">
        <v>213</v>
      </c>
    </row>
    <row r="108" spans="1:10" ht="16">
      <c r="A108" s="57" t="s">
        <v>9</v>
      </c>
      <c r="B108" s="88" t="str">
        <f t="shared" si="6"/>
        <v>B</v>
      </c>
      <c r="C108" s="87" t="str">
        <f t="shared" si="7"/>
        <v>B2</v>
      </c>
      <c r="E108" s="209" t="s">
        <v>9</v>
      </c>
      <c r="F108" s="210" t="s">
        <v>50</v>
      </c>
      <c r="G108" s="210" t="s">
        <v>50</v>
      </c>
      <c r="I108" s="159" t="s">
        <v>9</v>
      </c>
      <c r="J108" s="188" t="s">
        <v>216</v>
      </c>
    </row>
    <row r="109" spans="1:10" ht="16">
      <c r="A109" s="57" t="s">
        <v>27</v>
      </c>
      <c r="B109" s="88" t="str">
        <f t="shared" si="6"/>
        <v>BB</v>
      </c>
      <c r="C109" s="87" t="str">
        <f t="shared" si="7"/>
        <v>Ba1</v>
      </c>
      <c r="E109" s="207" t="s">
        <v>27</v>
      </c>
      <c r="F109" s="208" t="s">
        <v>81</v>
      </c>
      <c r="G109" s="208" t="s">
        <v>81</v>
      </c>
      <c r="I109" s="159" t="s">
        <v>27</v>
      </c>
      <c r="J109" s="188" t="s">
        <v>222</v>
      </c>
    </row>
    <row r="110" spans="1:10" ht="16">
      <c r="A110" s="57" t="s">
        <v>28</v>
      </c>
      <c r="B110" s="88" t="str">
        <f t="shared" si="6"/>
        <v>A-</v>
      </c>
      <c r="C110" s="87" t="str">
        <f t="shared" si="7"/>
        <v>A3</v>
      </c>
      <c r="E110" s="207" t="s">
        <v>28</v>
      </c>
      <c r="F110" s="208" t="s">
        <v>44</v>
      </c>
      <c r="G110" s="208" t="s">
        <v>44</v>
      </c>
      <c r="I110" s="159" t="s">
        <v>28</v>
      </c>
      <c r="J110" s="188" t="s">
        <v>205</v>
      </c>
    </row>
    <row r="111" spans="1:10" ht="16">
      <c r="A111" s="57" t="s">
        <v>29</v>
      </c>
      <c r="B111" s="88" t="str">
        <f t="shared" si="6"/>
        <v>BBB</v>
      </c>
      <c r="C111" s="87" t="str">
        <f t="shared" si="7"/>
        <v>Baa2</v>
      </c>
      <c r="E111" s="207" t="s">
        <v>29</v>
      </c>
      <c r="F111" s="208" t="s">
        <v>85</v>
      </c>
      <c r="G111" s="208" t="s">
        <v>85</v>
      </c>
      <c r="I111" s="159" t="s">
        <v>29</v>
      </c>
      <c r="J111" s="188" t="s">
        <v>213</v>
      </c>
    </row>
    <row r="112" spans="1:10" ht="16">
      <c r="A112" s="57" t="s">
        <v>30</v>
      </c>
      <c r="B112" s="88" t="str">
        <f t="shared" si="6"/>
        <v>A-</v>
      </c>
      <c r="C112" s="87" t="str">
        <f t="shared" si="7"/>
        <v>A2</v>
      </c>
      <c r="E112" s="207" t="s">
        <v>30</v>
      </c>
      <c r="F112" s="208" t="s">
        <v>43</v>
      </c>
      <c r="G112" s="208" t="s">
        <v>43</v>
      </c>
      <c r="I112" s="159" t="s">
        <v>30</v>
      </c>
      <c r="J112" s="188" t="s">
        <v>205</v>
      </c>
    </row>
    <row r="113" spans="1:10" ht="16">
      <c r="A113" s="57" t="s">
        <v>195</v>
      </c>
      <c r="B113" s="88" t="str">
        <f t="shared" si="6"/>
        <v>BBB-</v>
      </c>
      <c r="C113" s="87" t="str">
        <f t="shared" si="7"/>
        <v>Ba1</v>
      </c>
      <c r="E113" s="207" t="s">
        <v>195</v>
      </c>
      <c r="F113" s="208" t="s">
        <v>81</v>
      </c>
      <c r="G113" s="208" t="s">
        <v>81</v>
      </c>
      <c r="I113" s="159" t="s">
        <v>195</v>
      </c>
      <c r="J113" s="188" t="s">
        <v>212</v>
      </c>
    </row>
    <row r="114" spans="1:10" ht="16">
      <c r="A114" s="57" t="s">
        <v>76</v>
      </c>
      <c r="B114" s="88" t="str">
        <f t="shared" si="6"/>
        <v>AA-</v>
      </c>
      <c r="C114" s="87" t="str">
        <f t="shared" si="7"/>
        <v>Aa3</v>
      </c>
      <c r="E114" s="207" t="s">
        <v>76</v>
      </c>
      <c r="F114" s="208" t="s">
        <v>47</v>
      </c>
      <c r="G114" s="208" t="s">
        <v>47</v>
      </c>
      <c r="I114" s="159" t="s">
        <v>76</v>
      </c>
      <c r="J114" s="188" t="s">
        <v>217</v>
      </c>
    </row>
    <row r="115" spans="1:10" ht="16">
      <c r="A115" s="57" t="s">
        <v>300</v>
      </c>
      <c r="B115" s="88" t="str">
        <f t="shared" si="6"/>
        <v>A</v>
      </c>
      <c r="C115" s="87" t="str">
        <f t="shared" si="7"/>
        <v>NA</v>
      </c>
      <c r="E115" s="207"/>
      <c r="F115" s="208"/>
      <c r="G115" s="208"/>
      <c r="I115" s="159" t="s">
        <v>497</v>
      </c>
      <c r="J115" s="188" t="s">
        <v>231</v>
      </c>
    </row>
    <row r="116" spans="1:10" ht="16">
      <c r="A116" s="57" t="s">
        <v>0</v>
      </c>
      <c r="B116" s="88" t="str">
        <f t="shared" si="6"/>
        <v>BBB-</v>
      </c>
      <c r="C116" s="87" t="str">
        <f t="shared" si="7"/>
        <v>Baa3</v>
      </c>
      <c r="E116" s="207" t="s">
        <v>0</v>
      </c>
      <c r="F116" s="208" t="s">
        <v>126</v>
      </c>
      <c r="G116" s="208" t="s">
        <v>126</v>
      </c>
      <c r="I116" s="159" t="s">
        <v>0</v>
      </c>
      <c r="J116" s="188" t="s">
        <v>212</v>
      </c>
    </row>
    <row r="117" spans="1:10" ht="16">
      <c r="A117" s="57" t="s">
        <v>1</v>
      </c>
      <c r="B117" s="88" t="str">
        <f t="shared" si="6"/>
        <v>BBB</v>
      </c>
      <c r="C117" s="87" t="str">
        <f t="shared" si="7"/>
        <v>Ba1</v>
      </c>
      <c r="E117" s="209" t="s">
        <v>1</v>
      </c>
      <c r="F117" s="210" t="s">
        <v>81</v>
      </c>
      <c r="G117" s="210" t="s">
        <v>81</v>
      </c>
      <c r="I117" s="159" t="s">
        <v>1</v>
      </c>
      <c r="J117" s="188" t="s">
        <v>213</v>
      </c>
    </row>
    <row r="118" spans="1:10" ht="16">
      <c r="A118" s="57" t="s">
        <v>234</v>
      </c>
      <c r="B118" s="88" t="str">
        <f t="shared" si="6"/>
        <v>B</v>
      </c>
      <c r="C118" s="87" t="str">
        <f t="shared" si="7"/>
        <v>B2</v>
      </c>
      <c r="E118" s="209" t="s">
        <v>234</v>
      </c>
      <c r="F118" s="210" t="s">
        <v>50</v>
      </c>
      <c r="G118" s="210" t="s">
        <v>50</v>
      </c>
      <c r="I118" s="159" t="s">
        <v>234</v>
      </c>
      <c r="J118" s="188" t="s">
        <v>216</v>
      </c>
    </row>
    <row r="119" spans="1:10" ht="16">
      <c r="A119" s="57" t="s">
        <v>2</v>
      </c>
      <c r="B119" s="88" t="str">
        <f t="shared" si="6"/>
        <v>A-</v>
      </c>
      <c r="C119" s="87" t="str">
        <f t="shared" si="7"/>
        <v>A1</v>
      </c>
      <c r="E119" s="207" t="s">
        <v>2</v>
      </c>
      <c r="F119" s="208" t="s">
        <v>42</v>
      </c>
      <c r="G119" s="208" t="s">
        <v>42</v>
      </c>
      <c r="I119" s="159" t="s">
        <v>2</v>
      </c>
      <c r="J119" s="188" t="s">
        <v>205</v>
      </c>
    </row>
    <row r="120" spans="1:10" ht="16">
      <c r="A120" s="57" t="s">
        <v>137</v>
      </c>
      <c r="B120" s="88" t="str">
        <f t="shared" si="6"/>
        <v>B+</v>
      </c>
      <c r="C120" s="87" t="str">
        <f t="shared" si="7"/>
        <v>Ba3</v>
      </c>
      <c r="E120" s="207" t="s">
        <v>137</v>
      </c>
      <c r="F120" s="208" t="s">
        <v>83</v>
      </c>
      <c r="G120" s="208" t="s">
        <v>83</v>
      </c>
      <c r="I120" s="159" t="s">
        <v>137</v>
      </c>
      <c r="J120" s="188" t="s">
        <v>203</v>
      </c>
    </row>
    <row r="121" spans="1:10" ht="16">
      <c r="A121" s="57" t="s">
        <v>149</v>
      </c>
      <c r="B121" s="88" t="str">
        <f t="shared" si="6"/>
        <v>BB</v>
      </c>
      <c r="C121" s="87" t="str">
        <f t="shared" si="7"/>
        <v>Ba3</v>
      </c>
      <c r="E121" s="207" t="s">
        <v>149</v>
      </c>
      <c r="F121" s="208" t="s">
        <v>83</v>
      </c>
      <c r="G121" s="208" t="s">
        <v>83</v>
      </c>
      <c r="I121" s="159" t="s">
        <v>149</v>
      </c>
      <c r="J121" s="188" t="s">
        <v>222</v>
      </c>
    </row>
    <row r="122" spans="1:10" ht="16">
      <c r="A122" s="57" t="s">
        <v>294</v>
      </c>
      <c r="B122" s="88" t="str">
        <f t="shared" si="6"/>
        <v>BBB+</v>
      </c>
      <c r="C122" s="87" t="str">
        <f t="shared" si="7"/>
        <v>A3</v>
      </c>
      <c r="E122" s="207" t="s">
        <v>294</v>
      </c>
      <c r="F122" s="208" t="s">
        <v>44</v>
      </c>
      <c r="G122" s="208" t="s">
        <v>44</v>
      </c>
      <c r="I122" s="159" t="s">
        <v>294</v>
      </c>
      <c r="J122" s="188" t="s">
        <v>209</v>
      </c>
    </row>
    <row r="123" spans="1:10" ht="16">
      <c r="A123" s="57" t="s">
        <v>3</v>
      </c>
      <c r="B123" s="88" t="str">
        <f t="shared" si="6"/>
        <v>AAA</v>
      </c>
      <c r="C123" s="87" t="str">
        <f t="shared" si="7"/>
        <v>Aaa</v>
      </c>
      <c r="E123" s="207" t="s">
        <v>3</v>
      </c>
      <c r="F123" s="208" t="s">
        <v>48</v>
      </c>
      <c r="G123" s="208" t="s">
        <v>48</v>
      </c>
      <c r="I123" s="159" t="s">
        <v>3</v>
      </c>
      <c r="J123" s="188" t="s">
        <v>210</v>
      </c>
    </row>
    <row r="124" spans="1:10" ht="16">
      <c r="A124" s="57" t="s">
        <v>62</v>
      </c>
      <c r="B124" s="88" t="str">
        <f t="shared" si="6"/>
        <v>A+</v>
      </c>
      <c r="C124" s="87" t="str">
        <f t="shared" si="7"/>
        <v>A2</v>
      </c>
      <c r="E124" s="207" t="s">
        <v>62</v>
      </c>
      <c r="F124" s="208" t="s">
        <v>43</v>
      </c>
      <c r="G124" s="208" t="s">
        <v>43</v>
      </c>
      <c r="I124" s="159" t="s">
        <v>62</v>
      </c>
      <c r="J124" s="188" t="s">
        <v>229</v>
      </c>
    </row>
    <row r="125" spans="1:10" ht="16">
      <c r="A125" s="57" t="s">
        <v>196</v>
      </c>
      <c r="B125" s="88" t="str">
        <f t="shared" si="6"/>
        <v>A+</v>
      </c>
      <c r="C125" s="87" t="str">
        <f t="shared" si="7"/>
        <v>Baa1</v>
      </c>
      <c r="E125" s="207" t="s">
        <v>196</v>
      </c>
      <c r="F125" s="208" t="s">
        <v>84</v>
      </c>
      <c r="G125" s="208" t="s">
        <v>84</v>
      </c>
      <c r="I125" s="159" t="s">
        <v>196</v>
      </c>
      <c r="J125" s="188" t="s">
        <v>229</v>
      </c>
    </row>
    <row r="126" spans="1:10" ht="16">
      <c r="A126" s="206" t="s">
        <v>457</v>
      </c>
      <c r="B126" s="88" t="str">
        <f t="shared" si="6"/>
        <v>NA</v>
      </c>
      <c r="C126" s="87" t="str">
        <f t="shared" si="7"/>
        <v>B3</v>
      </c>
      <c r="E126" s="207" t="s">
        <v>457</v>
      </c>
      <c r="F126" s="208" t="s">
        <v>80</v>
      </c>
      <c r="G126" s="208" t="s">
        <v>80</v>
      </c>
      <c r="I126" s="159"/>
      <c r="J126" s="188"/>
    </row>
    <row r="127" spans="1:10" ht="16">
      <c r="A127" s="57" t="s">
        <v>78</v>
      </c>
      <c r="B127" s="88" t="str">
        <f t="shared" si="6"/>
        <v>BB+</v>
      </c>
      <c r="C127" s="87" t="str">
        <f t="shared" si="7"/>
        <v>Baa3</v>
      </c>
      <c r="E127" s="207" t="s">
        <v>78</v>
      </c>
      <c r="F127" s="208" t="s">
        <v>126</v>
      </c>
      <c r="G127" s="208" t="s">
        <v>126</v>
      </c>
      <c r="I127" s="159" t="s">
        <v>78</v>
      </c>
      <c r="J127" s="188" t="s">
        <v>223</v>
      </c>
    </row>
    <row r="128" spans="1:10" ht="16">
      <c r="A128" s="57" t="s">
        <v>140</v>
      </c>
      <c r="B128" s="88" t="str">
        <f t="shared" si="6"/>
        <v>A-</v>
      </c>
      <c r="C128" s="87" t="str">
        <f t="shared" si="7"/>
        <v>Baa1</v>
      </c>
      <c r="E128" s="207" t="s">
        <v>140</v>
      </c>
      <c r="F128" s="208" t="s">
        <v>84</v>
      </c>
      <c r="G128" s="208" t="s">
        <v>84</v>
      </c>
      <c r="I128" s="159" t="s">
        <v>140</v>
      </c>
      <c r="J128" s="188" t="s">
        <v>205</v>
      </c>
    </row>
    <row r="129" spans="1:10" ht="16">
      <c r="A129" s="57" t="s">
        <v>136</v>
      </c>
      <c r="B129" s="88" t="str">
        <f t="shared" si="6"/>
        <v>B+</v>
      </c>
      <c r="C129" s="87" t="str">
        <f t="shared" si="7"/>
        <v>NA</v>
      </c>
      <c r="E129" s="207" t="s">
        <v>136</v>
      </c>
      <c r="F129" s="208" t="s">
        <v>49</v>
      </c>
      <c r="G129" s="208"/>
      <c r="I129" s="159" t="s">
        <v>136</v>
      </c>
      <c r="J129" s="188" t="s">
        <v>203</v>
      </c>
    </row>
    <row r="130" spans="1:10" ht="16">
      <c r="A130" s="57" t="s">
        <v>197</v>
      </c>
      <c r="B130" s="88" t="str">
        <f t="shared" ref="B130:B152" si="8">IF(J130=0,"NA",J130)</f>
        <v>NA</v>
      </c>
      <c r="C130" s="87" t="str">
        <f t="shared" ref="C130:C152" si="9">IF(G130=0,"NA",G130)</f>
        <v>Baa2</v>
      </c>
      <c r="E130" s="207" t="s">
        <v>568</v>
      </c>
      <c r="F130" s="208" t="s">
        <v>85</v>
      </c>
      <c r="G130" s="208" t="s">
        <v>85</v>
      </c>
      <c r="I130" s="159"/>
      <c r="J130" s="188"/>
    </row>
    <row r="131" spans="1:10" ht="16">
      <c r="A131" s="57" t="s">
        <v>10</v>
      </c>
      <c r="B131" s="88" t="str">
        <f t="shared" si="8"/>
        <v>NA</v>
      </c>
      <c r="C131" s="87" t="str">
        <f t="shared" si="9"/>
        <v>B3</v>
      </c>
      <c r="E131" s="207" t="s">
        <v>10</v>
      </c>
      <c r="F131" s="208" t="s">
        <v>80</v>
      </c>
      <c r="G131" s="208" t="s">
        <v>80</v>
      </c>
      <c r="I131" s="159"/>
      <c r="J131" s="188"/>
    </row>
    <row r="132" spans="1:10" ht="16">
      <c r="A132" s="57" t="s">
        <v>33</v>
      </c>
      <c r="B132" s="88" t="str">
        <f t="shared" si="8"/>
        <v>B</v>
      </c>
      <c r="C132" s="87" t="str">
        <f t="shared" si="9"/>
        <v>B2</v>
      </c>
      <c r="E132" s="207" t="s">
        <v>33</v>
      </c>
      <c r="F132" s="208" t="s">
        <v>50</v>
      </c>
      <c r="G132" s="208" t="s">
        <v>50</v>
      </c>
      <c r="I132" s="159" t="s">
        <v>33</v>
      </c>
      <c r="J132" s="188" t="s">
        <v>216</v>
      </c>
    </row>
    <row r="133" spans="1:10" ht="16">
      <c r="A133" s="57" t="s">
        <v>443</v>
      </c>
      <c r="B133" s="88" t="str">
        <f t="shared" si="8"/>
        <v>NA</v>
      </c>
      <c r="C133" s="87" t="str">
        <f t="shared" si="9"/>
        <v>B2</v>
      </c>
      <c r="E133" s="207" t="s">
        <v>443</v>
      </c>
      <c r="F133" s="208" t="s">
        <v>50</v>
      </c>
      <c r="G133" s="208" t="s">
        <v>50</v>
      </c>
      <c r="I133" s="159"/>
      <c r="J133" s="188"/>
    </row>
    <row r="134" spans="1:10" ht="16">
      <c r="A134" s="57" t="s">
        <v>34</v>
      </c>
      <c r="B134" s="88" t="str">
        <f t="shared" si="8"/>
        <v>AAA</v>
      </c>
      <c r="C134" s="87" t="str">
        <f t="shared" si="9"/>
        <v>Aaa</v>
      </c>
      <c r="E134" s="207" t="s">
        <v>34</v>
      </c>
      <c r="F134" s="208" t="s">
        <v>48</v>
      </c>
      <c r="G134" s="208" t="s">
        <v>48</v>
      </c>
      <c r="I134" s="159" t="s">
        <v>34</v>
      </c>
      <c r="J134" s="188" t="s">
        <v>210</v>
      </c>
    </row>
    <row r="135" spans="1:10" ht="16">
      <c r="A135" s="57" t="s">
        <v>35</v>
      </c>
      <c r="B135" s="88" t="str">
        <f t="shared" si="8"/>
        <v>AAA</v>
      </c>
      <c r="C135" s="87" t="str">
        <f t="shared" si="9"/>
        <v>Aaa</v>
      </c>
      <c r="E135" s="207" t="s">
        <v>35</v>
      </c>
      <c r="F135" s="208" t="s">
        <v>48</v>
      </c>
      <c r="G135" s="208" t="s">
        <v>48</v>
      </c>
      <c r="I135" s="159" t="s">
        <v>35</v>
      </c>
      <c r="J135" s="188" t="s">
        <v>210</v>
      </c>
    </row>
    <row r="136" spans="1:10" ht="16">
      <c r="A136" s="57" t="s">
        <v>65</v>
      </c>
      <c r="B136" s="88" t="str">
        <f t="shared" si="8"/>
        <v>AA-</v>
      </c>
      <c r="C136" s="87" t="str">
        <f t="shared" si="9"/>
        <v>Aa3</v>
      </c>
      <c r="E136" s="207" t="s">
        <v>65</v>
      </c>
      <c r="F136" s="208" t="s">
        <v>47</v>
      </c>
      <c r="G136" s="208" t="s">
        <v>47</v>
      </c>
      <c r="I136" s="159" t="s">
        <v>65</v>
      </c>
      <c r="J136" s="188" t="s">
        <v>217</v>
      </c>
    </row>
    <row r="137" spans="1:10" ht="16">
      <c r="A137" s="162" t="s">
        <v>440</v>
      </c>
      <c r="B137" s="88" t="str">
        <f t="shared" si="8"/>
        <v>B-</v>
      </c>
      <c r="C137" s="87" t="str">
        <f t="shared" si="9"/>
        <v>B3</v>
      </c>
      <c r="E137" s="207" t="s">
        <v>440</v>
      </c>
      <c r="F137" s="208" t="s">
        <v>80</v>
      </c>
      <c r="G137" s="208" t="s">
        <v>80</v>
      </c>
      <c r="I137" s="159" t="s">
        <v>440</v>
      </c>
      <c r="J137" s="188" t="s">
        <v>207</v>
      </c>
    </row>
    <row r="138" spans="1:10" ht="16">
      <c r="A138" s="207" t="s">
        <v>342</v>
      </c>
      <c r="B138" s="88" t="str">
        <f t="shared" si="8"/>
        <v>NA</v>
      </c>
      <c r="C138" s="87" t="str">
        <f t="shared" si="9"/>
        <v>B1</v>
      </c>
      <c r="E138" s="207" t="s">
        <v>342</v>
      </c>
      <c r="F138" s="208" t="s">
        <v>49</v>
      </c>
      <c r="G138" s="208" t="s">
        <v>49</v>
      </c>
      <c r="I138" s="159"/>
      <c r="J138" s="188"/>
    </row>
    <row r="139" spans="1:10" ht="16">
      <c r="A139" s="57" t="s">
        <v>66</v>
      </c>
      <c r="B139" s="88" t="str">
        <f t="shared" si="8"/>
        <v>A-</v>
      </c>
      <c r="C139" s="87" t="str">
        <f t="shared" si="9"/>
        <v>Baa1</v>
      </c>
      <c r="E139" s="207" t="s">
        <v>66</v>
      </c>
      <c r="F139" s="208" t="s">
        <v>84</v>
      </c>
      <c r="G139" s="208" t="s">
        <v>84</v>
      </c>
      <c r="I139" s="159" t="s">
        <v>66</v>
      </c>
      <c r="J139" s="188" t="s">
        <v>205</v>
      </c>
    </row>
    <row r="140" spans="1:10" ht="16">
      <c r="A140" s="57" t="s">
        <v>11</v>
      </c>
      <c r="B140" s="88" t="str">
        <f t="shared" si="8"/>
        <v>BBB+</v>
      </c>
      <c r="C140" s="87" t="str">
        <f t="shared" si="9"/>
        <v>Ba1</v>
      </c>
      <c r="E140" s="209" t="s">
        <v>11</v>
      </c>
      <c r="F140" s="208" t="s">
        <v>81</v>
      </c>
      <c r="G140" s="208" t="s">
        <v>81</v>
      </c>
      <c r="I140" s="159" t="s">
        <v>11</v>
      </c>
      <c r="J140" s="188" t="s">
        <v>209</v>
      </c>
    </row>
    <row r="141" spans="1:10" ht="16">
      <c r="A141" s="57" t="s">
        <v>79</v>
      </c>
      <c r="B141" s="88" t="str">
        <f t="shared" si="8"/>
        <v>NA</v>
      </c>
      <c r="C141" s="87" t="str">
        <f t="shared" si="9"/>
        <v>B2</v>
      </c>
      <c r="E141" s="207" t="s">
        <v>79</v>
      </c>
      <c r="F141" s="208" t="s">
        <v>50</v>
      </c>
      <c r="G141" s="208" t="s">
        <v>50</v>
      </c>
      <c r="I141" s="159"/>
      <c r="J141" s="188"/>
    </row>
    <row r="142" spans="1:10" ht="16">
      <c r="A142" s="57" t="s">
        <v>67</v>
      </c>
      <c r="B142" s="88" t="str">
        <f t="shared" si="8"/>
        <v>BB</v>
      </c>
      <c r="C142" s="87" t="str">
        <f t="shared" si="9"/>
        <v>Ba2</v>
      </c>
      <c r="E142" s="207" t="s">
        <v>67</v>
      </c>
      <c r="F142" s="208" t="s">
        <v>82</v>
      </c>
      <c r="G142" s="208" t="s">
        <v>82</v>
      </c>
      <c r="I142" s="159" t="s">
        <v>67</v>
      </c>
      <c r="J142" s="188" t="s">
        <v>222</v>
      </c>
    </row>
    <row r="143" spans="1:10" ht="16">
      <c r="A143" s="57" t="s">
        <v>301</v>
      </c>
      <c r="B143" s="88" t="str">
        <f t="shared" si="8"/>
        <v>BBB+</v>
      </c>
      <c r="C143" s="87" t="str">
        <f t="shared" si="9"/>
        <v>NA</v>
      </c>
      <c r="E143" s="207"/>
      <c r="F143" s="208"/>
      <c r="G143" s="208"/>
      <c r="I143" s="159" t="s">
        <v>308</v>
      </c>
      <c r="J143" s="188" t="s">
        <v>209</v>
      </c>
    </row>
    <row r="144" spans="1:10" ht="16">
      <c r="A144" s="57" t="s">
        <v>235</v>
      </c>
      <c r="B144" s="88" t="str">
        <f t="shared" si="8"/>
        <v>B</v>
      </c>
      <c r="C144" s="87" t="str">
        <f t="shared" si="9"/>
        <v>B2</v>
      </c>
      <c r="E144" s="207" t="s">
        <v>235</v>
      </c>
      <c r="F144" s="208" t="s">
        <v>50</v>
      </c>
      <c r="G144" s="208" t="s">
        <v>50</v>
      </c>
      <c r="I144" s="159" t="s">
        <v>235</v>
      </c>
      <c r="J144" s="188" t="s">
        <v>216</v>
      </c>
    </row>
    <row r="145" spans="1:10" ht="16">
      <c r="A145" s="57" t="s">
        <v>69</v>
      </c>
      <c r="B145" s="88" t="str">
        <f t="shared" si="8"/>
        <v>B-</v>
      </c>
      <c r="C145" s="87" t="str">
        <f t="shared" si="9"/>
        <v>Caa2</v>
      </c>
      <c r="E145" s="207" t="s">
        <v>69</v>
      </c>
      <c r="F145" s="208" t="s">
        <v>59</v>
      </c>
      <c r="G145" s="208" t="s">
        <v>59</v>
      </c>
      <c r="I145" s="159" t="s">
        <v>69</v>
      </c>
      <c r="J145" s="188" t="s">
        <v>207</v>
      </c>
    </row>
    <row r="146" spans="1:10" ht="16">
      <c r="A146" s="57" t="s">
        <v>61</v>
      </c>
      <c r="B146" s="88" t="str">
        <f t="shared" si="8"/>
        <v>NA</v>
      </c>
      <c r="C146" s="87" t="str">
        <f t="shared" si="9"/>
        <v>Aa2</v>
      </c>
      <c r="E146" s="207" t="s">
        <v>61</v>
      </c>
      <c r="F146" s="208" t="s">
        <v>46</v>
      </c>
      <c r="G146" s="208" t="s">
        <v>46</v>
      </c>
      <c r="I146" s="159"/>
      <c r="J146" s="188"/>
    </row>
    <row r="147" spans="1:10" ht="16">
      <c r="A147" s="57" t="s">
        <v>58</v>
      </c>
      <c r="B147" s="88" t="str">
        <f t="shared" si="8"/>
        <v>AA</v>
      </c>
      <c r="C147" s="87" t="str">
        <f t="shared" si="9"/>
        <v>Aa2</v>
      </c>
      <c r="E147" s="207" t="s">
        <v>58</v>
      </c>
      <c r="F147" s="208" t="s">
        <v>46</v>
      </c>
      <c r="G147" s="208" t="s">
        <v>46</v>
      </c>
      <c r="I147" s="159" t="s">
        <v>58</v>
      </c>
      <c r="J147" s="188" t="s">
        <v>214</v>
      </c>
    </row>
    <row r="148" spans="1:10" ht="16">
      <c r="A148" s="57" t="s">
        <v>366</v>
      </c>
      <c r="B148" s="88" t="str">
        <f t="shared" si="8"/>
        <v>AA+</v>
      </c>
      <c r="C148" s="87" t="str">
        <f t="shared" si="9"/>
        <v>Aaa</v>
      </c>
      <c r="E148" s="207" t="s">
        <v>12</v>
      </c>
      <c r="F148" s="208" t="s">
        <v>48</v>
      </c>
      <c r="G148" s="208" t="s">
        <v>48</v>
      </c>
      <c r="I148" s="159" t="s">
        <v>366</v>
      </c>
      <c r="J148" s="188" t="s">
        <v>211</v>
      </c>
    </row>
    <row r="149" spans="1:10" ht="16">
      <c r="A149" s="57" t="s">
        <v>70</v>
      </c>
      <c r="B149" s="88" t="str">
        <f t="shared" si="8"/>
        <v>BBB</v>
      </c>
      <c r="C149" s="87" t="str">
        <f t="shared" si="9"/>
        <v>Baa2</v>
      </c>
      <c r="E149" s="207" t="s">
        <v>70</v>
      </c>
      <c r="F149" s="208" t="s">
        <v>85</v>
      </c>
      <c r="G149" s="208" t="s">
        <v>85</v>
      </c>
      <c r="I149" s="159" t="s">
        <v>70</v>
      </c>
      <c r="J149" s="188" t="s">
        <v>213</v>
      </c>
    </row>
    <row r="150" spans="1:10" ht="16">
      <c r="A150" s="57" t="s">
        <v>71</v>
      </c>
      <c r="B150" s="88" t="str">
        <f t="shared" si="8"/>
        <v>CCC-</v>
      </c>
      <c r="C150" s="87" t="str">
        <f t="shared" si="9"/>
        <v>C</v>
      </c>
      <c r="E150" s="207" t="s">
        <v>71</v>
      </c>
      <c r="F150" s="208" t="s">
        <v>139</v>
      </c>
      <c r="G150" s="208" t="s">
        <v>139</v>
      </c>
      <c r="I150" s="159" t="s">
        <v>71</v>
      </c>
      <c r="J150" s="188" t="s">
        <v>243</v>
      </c>
    </row>
    <row r="151" spans="1:10" ht="16">
      <c r="A151" s="57" t="s">
        <v>72</v>
      </c>
      <c r="B151" s="88" t="str">
        <f t="shared" si="8"/>
        <v>BB-</v>
      </c>
      <c r="C151" s="87" t="str">
        <f t="shared" si="9"/>
        <v>B1</v>
      </c>
      <c r="E151" s="207" t="s">
        <v>72</v>
      </c>
      <c r="F151" s="208" t="s">
        <v>49</v>
      </c>
      <c r="G151" s="208" t="s">
        <v>49</v>
      </c>
      <c r="I151" s="159" t="s">
        <v>72</v>
      </c>
      <c r="J151" s="188" t="s">
        <v>206</v>
      </c>
    </row>
    <row r="152" spans="1:10" ht="16">
      <c r="A152" s="57" t="s">
        <v>198</v>
      </c>
      <c r="B152" s="88" t="str">
        <f t="shared" si="8"/>
        <v>B</v>
      </c>
      <c r="C152" s="87" t="str">
        <f t="shared" si="9"/>
        <v>B3</v>
      </c>
      <c r="E152" s="207" t="s">
        <v>198</v>
      </c>
      <c r="F152" s="208" t="s">
        <v>80</v>
      </c>
      <c r="G152" s="208" t="s">
        <v>80</v>
      </c>
      <c r="I152" s="159" t="s">
        <v>198</v>
      </c>
      <c r="J152" s="188" t="s">
        <v>216</v>
      </c>
    </row>
  </sheetData>
  <hyperlinks>
    <hyperlink ref="I2" r:id="rId1" display="https://www.capitaliq.com/CIQDotNet/RatingsDirect/GCPTearsheet.aspx?CompanyId=34813333" xr:uid="{00000000-0004-0000-0D00-000000000000}"/>
    <hyperlink ref="I3" r:id="rId2" display="https://www.capitaliq.com/CIQDotNet/RatingsDirect/GCPTearsheet.aspx?CompanyId=35447083" xr:uid="{00000000-0004-0000-0D00-000001000000}"/>
    <hyperlink ref="I4" r:id="rId3" display="https://www.capitaliq.com/CIQDotNet/RatingsDirect/GCPTearsheet.aspx?CompanyId=33017289" xr:uid="{00000000-0004-0000-0D00-000002000000}"/>
    <hyperlink ref="I5" r:id="rId4" display="https://www.capitaliq.com/CIQDotNet/RatingsDirect/GCPTearsheet.aspx?CompanyId=31090264" xr:uid="{00000000-0004-0000-0D00-000003000000}"/>
    <hyperlink ref="I6" r:id="rId5" display="https://www.capitaliq.com/CIQDotNet/RatingsDirect/GCPTearsheet.aspx?CompanyId=30189743" xr:uid="{00000000-0004-0000-0D00-000004000000}"/>
    <hyperlink ref="I8" r:id="rId6" display="https://www.capitaliq.com/CIQDotNet/RatingsDirect/GCPTearsheet.aspx?CompanyId=39123067" xr:uid="{00000000-0004-0000-0D00-000005000000}"/>
    <hyperlink ref="I9" r:id="rId7" display="https://www.capitaliq.com/CIQDotNet/RatingsDirect/GCPTearsheet.aspx?CompanyId=25104817" xr:uid="{00000000-0004-0000-0D00-000006000000}"/>
    <hyperlink ref="I10" r:id="rId8" display="https://www.capitaliq.com/CIQDotNet/RatingsDirect/GCPTearsheet.aspx?CompanyId=3215470" xr:uid="{00000000-0004-0000-0D00-000007000000}"/>
    <hyperlink ref="I11" r:id="rId9" display="https://www.capitaliq.com/CIQDotNet/RatingsDirect/GCPTearsheet.aspx?CompanyId=34052850" xr:uid="{00000000-0004-0000-0D00-000008000000}"/>
    <hyperlink ref="I12" r:id="rId10" display="https://www.capitaliq.com/CIQDotNet/RatingsDirect/GCPTearsheet.aspx?CompanyId=20487191" xr:uid="{00000000-0004-0000-0D00-000009000000}"/>
    <hyperlink ref="I13" r:id="rId11" display="https://www.capitaliq.com/CIQDotNet/RatingsDirect/GCPTearsheet.aspx?CompanyId=22355288" xr:uid="{00000000-0004-0000-0D00-00000A000000}"/>
    <hyperlink ref="I14" r:id="rId12" display="https://www.capitaliq.com/CIQDotNet/RatingsDirect/GCPTearsheet.aspx?CompanyId=31073104" xr:uid="{00000000-0004-0000-0D00-00000B000000}"/>
    <hyperlink ref="I15" r:id="rId13" display="https://www.capitaliq.com/CIQDotNet/RatingsDirect/GCPTearsheet.aspx?CompanyId=20506412" xr:uid="{00000000-0004-0000-0D00-00000C000000}"/>
    <hyperlink ref="I16" r:id="rId14" display="https://www.capitaliq.com/CIQDotNet/RatingsDirect/GCPTearsheet.aspx?CompanyId=36465360" xr:uid="{00000000-0004-0000-0D00-00000D000000}"/>
    <hyperlink ref="I17" r:id="rId15" display="https://www.capitaliq.com/CIQDotNet/RatingsDirect/GCPTearsheet.aspx?CompanyId=27481534" xr:uid="{00000000-0004-0000-0D00-00000E000000}"/>
    <hyperlink ref="I18" r:id="rId16" display="https://www.capitaliq.com/CIQDotNet/RatingsDirect/GCPTearsheet.aspx?CompanyId=3566033" xr:uid="{00000000-0004-0000-0D00-00000F000000}"/>
    <hyperlink ref="I19" r:id="rId17" display="https://www.capitaliq.com/CIQDotNet/RatingsDirect/GCPTearsheet.aspx?CompanyId=26936531" xr:uid="{00000000-0004-0000-0D00-000010000000}"/>
    <hyperlink ref="I20" r:id="rId18" display="https://www.capitaliq.com/CIQDotNet/RatingsDirect/GCPTearsheet.aspx?CompanyId=32857125" xr:uid="{00000000-0004-0000-0D00-000011000000}"/>
    <hyperlink ref="I21" r:id="rId19" display="https://www.capitaliq.com/CIQDotNet/RatingsDirect/GCPTearsheet.aspx?CompanyId=32454178" xr:uid="{00000000-0004-0000-0D00-000012000000}"/>
    <hyperlink ref="I22" r:id="rId20" display="https://www.capitaliq.com/CIQDotNet/RatingsDirect/GCPTearsheet.aspx?CompanyId=32454169" xr:uid="{00000000-0004-0000-0D00-000013000000}"/>
    <hyperlink ref="I23" r:id="rId21" display="https://www.capitaliq.com/CIQDotNet/RatingsDirect/GCPTearsheet.aspx?CompanyId=20485358" xr:uid="{00000000-0004-0000-0D00-000014000000}"/>
    <hyperlink ref="I24" r:id="rId22" display="https://www.capitaliq.com/CIQDotNet/RatingsDirect/GCPTearsheet.aspx?CompanyId=20507141" xr:uid="{00000000-0004-0000-0D00-000015000000}"/>
    <hyperlink ref="I25" r:id="rId23" display="https://www.capitaliq.com/CIQDotNet/RatingsDirect/GCPTearsheet.aspx?CompanyId=26973160" xr:uid="{00000000-0004-0000-0D00-000016000000}"/>
    <hyperlink ref="I27" r:id="rId24" display="https://www.capitaliq.com/CIQDotNet/RatingsDirect/GCPTearsheet.aspx?CompanyId=32733526" xr:uid="{00000000-0004-0000-0D00-000017000000}"/>
    <hyperlink ref="I28" r:id="rId25" display="https://www.capitaliq.com/CIQDotNet/RatingsDirect/GCPTearsheet.aspx?CompanyId=4080736" xr:uid="{00000000-0004-0000-0D00-000018000000}"/>
    <hyperlink ref="I29" r:id="rId26" display="https://www.capitaliq.com/CIQDotNet/RatingsDirect/GCPTearsheet.aspx?CompanyId=50341697" xr:uid="{00000000-0004-0000-0D00-000019000000}"/>
    <hyperlink ref="I31" r:id="rId27" display="https://www.capitaliq.com/CIQDotNet/RatingsDirect/GCPTearsheet.aspx?CompanyId=3610526" xr:uid="{00000000-0004-0000-0D00-00001A000000}"/>
    <hyperlink ref="I32" r:id="rId28" display="https://www.capitaliq.com/CIQDotNet/RatingsDirect/GCPTearsheet.aspx?CompanyId=28461984" xr:uid="{00000000-0004-0000-0D00-00001B000000}"/>
    <hyperlink ref="I33" r:id="rId29" display="https://www.capitaliq.com/CIQDotNet/RatingsDirect/GCPTearsheet.aspx?CompanyId=3569286" xr:uid="{00000000-0004-0000-0D00-00001C000000}"/>
    <hyperlink ref="I34" r:id="rId30" display="https://www.capitaliq.com/CIQDotNet/RatingsDirect/GCPTearsheet.aspx?CompanyId=32670211" xr:uid="{00000000-0004-0000-0D00-00001D000000}"/>
    <hyperlink ref="I35" r:id="rId31" display="https://www.capitaliq.com/CIQDotNet/RatingsDirect/GCPTearsheet.aspx?CompanyId=32861032" xr:uid="{00000000-0004-0000-0D00-00001E000000}"/>
    <hyperlink ref="I36" r:id="rId32" display="https://www.capitaliq.com/CIQDotNet/RatingsDirect/GCPTearsheet.aspx?CompanyId=26972902" xr:uid="{00000000-0004-0000-0D00-00001F000000}"/>
    <hyperlink ref="I37" r:id="rId33" display="https://www.capitaliq.com/CIQDotNet/RatingsDirect/GCPTearsheet.aspx?CompanyId=12723116" xr:uid="{00000000-0004-0000-0D00-000020000000}"/>
    <hyperlink ref="I39" r:id="rId34" display="https://www.capitaliq.com/CIQDotNet/RatingsDirect/GCPTearsheet.aspx?CompanyId=27481537" xr:uid="{00000000-0004-0000-0D00-000021000000}"/>
    <hyperlink ref="I42" r:id="rId35" display="https://www.capitaliq.com/CIQDotNet/RatingsDirect/GCPTearsheet.aspx?CompanyId=20505264" xr:uid="{00000000-0004-0000-0D00-000022000000}"/>
    <hyperlink ref="I43" r:id="rId36" display="https://www.capitaliq.com/CIQDotNet/RatingsDirect/GCPTearsheet.aspx?CompanyId=24934294" xr:uid="{00000000-0004-0000-0D00-000023000000}"/>
    <hyperlink ref="I44" r:id="rId37" display="https://www.capitaliq.com/CIQDotNet/RatingsDirect/GCPTearsheet.aspx?CompanyId=35414816" xr:uid="{00000000-0004-0000-0D00-000024000000}"/>
    <hyperlink ref="I45" r:id="rId38" display="https://www.capitaliq.com/CIQDotNet/RatingsDirect/GCPTearsheet.aspx?CompanyId=27481536" xr:uid="{00000000-0004-0000-0D00-000025000000}"/>
    <hyperlink ref="I46" r:id="rId39" display="https://www.capitaliq.com/CIQDotNet/RatingsDirect/GCPTearsheet.aspx?CompanyId=22398854" xr:uid="{00000000-0004-0000-0D00-000026000000}"/>
    <hyperlink ref="I47" r:id="rId40" display="https://www.capitaliq.com/CIQDotNet/RatingsDirect/GCPTearsheet.aspx?CompanyId=20530398" xr:uid="{00000000-0004-0000-0D00-000027000000}"/>
    <hyperlink ref="I48" r:id="rId41" display="https://www.capitaliq.com/CIQDotNet/RatingsDirect/GCPTearsheet.aspx?CompanyId=20486245" xr:uid="{00000000-0004-0000-0D00-000028000000}"/>
    <hyperlink ref="I49" r:id="rId42" display="https://www.capitaliq.com/CIQDotNet/RatingsDirect/GCPTearsheet.aspx?CompanyId=7665122" xr:uid="{00000000-0004-0000-0D00-000029000000}"/>
    <hyperlink ref="I50" r:id="rId43" display="https://www.capitaliq.com/CIQDotNet/RatingsDirect/GCPTearsheet.aspx?CompanyId=32879831" xr:uid="{00000000-0004-0000-0D00-00002A000000}"/>
    <hyperlink ref="I51" r:id="rId44" display="https://www.capitaliq.com/CIQDotNet/RatingsDirect/GCPTearsheet.aspx?CompanyId=28801262" xr:uid="{00000000-0004-0000-0D00-00002B000000}"/>
    <hyperlink ref="I52" r:id="rId45" display="https://www.capitaliq.com/CIQDotNet/RatingsDirect/GCPTearsheet.aspx?CompanyId=3612255" xr:uid="{00000000-0004-0000-0D00-00002C000000}"/>
    <hyperlink ref="I53" r:id="rId46" display="https://www.capitaliq.com/CIQDotNet/RatingsDirect/GCPTearsheet.aspx?CompanyId=3474783" xr:uid="{00000000-0004-0000-0D00-00002D000000}"/>
    <hyperlink ref="I55" r:id="rId47" display="https://www.capitaliq.com/CIQDotNet/RatingsDirect/GCPTearsheet.aspx?CompanyId=28896591" xr:uid="{00000000-0004-0000-0D00-00002E000000}"/>
    <hyperlink ref="I56" r:id="rId48" display="https://www.capitaliq.com/CIQDotNet/RatingsDirect/GCPTearsheet.aspx?CompanyId=8201718" xr:uid="{00000000-0004-0000-0D00-00002F000000}"/>
    <hyperlink ref="I57" r:id="rId49" display="https://www.capitaliq.com/CIQDotNet/RatingsDirect/GCPTearsheet.aspx?CompanyId=28046109" xr:uid="{00000000-0004-0000-0D00-000030000000}"/>
    <hyperlink ref="I58" r:id="rId50" display="https://www.capitaliq.com/CIQDotNet/RatingsDirect/GCPTearsheet.aspx?CompanyId=29380993" xr:uid="{00000000-0004-0000-0D00-000031000000}"/>
    <hyperlink ref="I59" r:id="rId51" display="https://www.capitaliq.com/CIQDotNet/RatingsDirect/GCPTearsheet.aspx?CompanyId=20528115" xr:uid="{00000000-0004-0000-0D00-000032000000}"/>
    <hyperlink ref="I60" r:id="rId52" display="https://www.capitaliq.com/CIQDotNet/RatingsDirect/GCPTearsheet.aspx?CompanyId=36815153" xr:uid="{00000000-0004-0000-0D00-000033000000}"/>
    <hyperlink ref="I61" r:id="rId53" display="https://www.capitaliq.com/CIQDotNet/RatingsDirect/GCPTearsheet.aspx?CompanyId=35648645" xr:uid="{00000000-0004-0000-0D00-000034000000}"/>
    <hyperlink ref="I62" r:id="rId54" display="https://www.capitaliq.com/CIQDotNet/RatingsDirect/GCPTearsheet.aspx?CompanyId=22453044" xr:uid="{00000000-0004-0000-0D00-000035000000}"/>
    <hyperlink ref="I63" r:id="rId55" display="https://www.capitaliq.com/CIQDotNet/RatingsDirect/GCPTearsheet.aspx?CompanyId=3590669" xr:uid="{00000000-0004-0000-0D00-000036000000}"/>
    <hyperlink ref="I64" r:id="rId56" display="https://www.capitaliq.com/CIQDotNet/RatingsDirect/GCPTearsheet.aspx?CompanyId=20504284" xr:uid="{00000000-0004-0000-0D00-000037000000}"/>
    <hyperlink ref="I65" r:id="rId57" display="https://www.capitaliq.com/CIQDotNet/RatingsDirect/GCPTearsheet.aspx?CompanyId=25020895" xr:uid="{00000000-0004-0000-0D00-000038000000}"/>
    <hyperlink ref="I66" r:id="rId58" display="https://www.capitaliq.com/CIQDotNet/RatingsDirect/GCPTearsheet.aspx?CompanyId=24930358" xr:uid="{00000000-0004-0000-0D00-000039000000}"/>
    <hyperlink ref="I67" r:id="rId59" display="https://www.capitaliq.com/CIQDotNet/RatingsDirect/GCPTearsheet.aspx?CompanyId=32568063" xr:uid="{00000000-0004-0000-0D00-00003A000000}"/>
    <hyperlink ref="I68" r:id="rId60" display="https://www.capitaliq.com/CIQDotNet/RatingsDirect/GCPTearsheet.aspx?CompanyId=24807737" xr:uid="{00000000-0004-0000-0D00-00003B000000}"/>
    <hyperlink ref="I70" r:id="rId61" display="https://www.capitaliq.com/CIQDotNet/RatingsDirect/GCPTearsheet.aspx?CompanyId=3534698" xr:uid="{00000000-0004-0000-0D00-00003C000000}"/>
    <hyperlink ref="I71" r:id="rId62" display="https://www.capitaliq.com/CIQDotNet/RatingsDirect/GCPTearsheet.aspx?CompanyId=3534701" xr:uid="{00000000-0004-0000-0D00-00003D000000}"/>
    <hyperlink ref="I72" r:id="rId63" display="https://www.capitaliq.com/CIQDotNet/RatingsDirect/GCPTearsheet.aspx?CompanyId=3590186" xr:uid="{00000000-0004-0000-0D00-00003E000000}"/>
    <hyperlink ref="I73" r:id="rId64" display="https://www.capitaliq.com/CIQDotNet/RatingsDirect/GCPTearsheet.aspx?CompanyId=27482154" xr:uid="{00000000-0004-0000-0D00-00003F000000}"/>
    <hyperlink ref="I74" r:id="rId65" display="https://www.capitaliq.com/CIQDotNet/RatingsDirect/GCPTearsheet.aspx?CompanyId=59404581" xr:uid="{00000000-0004-0000-0D00-000040000000}"/>
    <hyperlink ref="I75" r:id="rId66" display="https://www.capitaliq.com/CIQDotNet/RatingsDirect/GCPTearsheet.aspx?CompanyId=26938370" xr:uid="{00000000-0004-0000-0D00-000041000000}"/>
    <hyperlink ref="I76" r:id="rId67" display="https://www.capitaliq.com/CIQDotNet/RatingsDirect/GCPTearsheet.aspx?CompanyId=20515001" xr:uid="{00000000-0004-0000-0D00-000042000000}"/>
    <hyperlink ref="I77" r:id="rId68" display="https://www.capitaliq.com/CIQDotNet/RatingsDirect/GCPTearsheet.aspx?CompanyId=35583428" xr:uid="{00000000-0004-0000-0D00-000043000000}"/>
    <hyperlink ref="I78" r:id="rId69" display="https://www.capitaliq.com/CIQDotNet/RatingsDirect/GCPTearsheet.aspx?CompanyId=12721923" xr:uid="{00000000-0004-0000-0D00-000044000000}"/>
    <hyperlink ref="I79" r:id="rId70" display="https://www.capitaliq.com/CIQDotNet/RatingsDirect/GCPTearsheet.aspx?CompanyId=3697271" xr:uid="{00000000-0004-0000-0D00-000045000000}"/>
    <hyperlink ref="I81" r:id="rId71" display="https://www.capitaliq.com/CIQDotNet/RatingsDirect/GCPTearsheet.aspx?CompanyId=32454184" xr:uid="{00000000-0004-0000-0D00-000046000000}"/>
    <hyperlink ref="I82" r:id="rId72" display="https://www.capitaliq.com/CIQDotNet/RatingsDirect/GCPTearsheet.aspx?CompanyId=7884639" xr:uid="{00000000-0004-0000-0D00-000047000000}"/>
    <hyperlink ref="I83" r:id="rId73" display="https://www.capitaliq.com/CIQDotNet/RatingsDirect/GCPTearsheet.aspx?CompanyId=36814627" xr:uid="{00000000-0004-0000-0D00-000048000000}"/>
    <hyperlink ref="I84" r:id="rId74" display="https://www.capitaliq.com/CIQDotNet/RatingsDirect/GCPTearsheet.aspx?CompanyId=20464246" xr:uid="{00000000-0004-0000-0D00-000049000000}"/>
    <hyperlink ref="I85" r:id="rId75" display="https://www.capitaliq.com/CIQDotNet/RatingsDirect/GCPTearsheet.aspx?CompanyId=24985427" xr:uid="{00000000-0004-0000-0D00-00004A000000}"/>
    <hyperlink ref="I88" r:id="rId76" display="https://www.capitaliq.com/CIQDotNet/RatingsDirect/GCPTearsheet.aspx?CompanyId=27481487" xr:uid="{00000000-0004-0000-0D00-00004B000000}"/>
    <hyperlink ref="I90" r:id="rId77" display="https://www.capitaliq.com/CIQDotNet/RatingsDirect/GCPTearsheet.aspx?CompanyId=31130649" xr:uid="{00000000-0004-0000-0D00-00004C000000}"/>
    <hyperlink ref="I92" r:id="rId78" display="https://www.capitaliq.com/CIQDotNet/RatingsDirect/GCPTearsheet.aspx?CompanyId=3611382" xr:uid="{00000000-0004-0000-0D00-00004D000000}"/>
    <hyperlink ref="I94" r:id="rId79" display="https://www.capitaliq.com/CIQDotNet/RatingsDirect/GCPTearsheet.aspx?CompanyId=26946296" xr:uid="{00000000-0004-0000-0D00-00004E000000}"/>
    <hyperlink ref="I95" r:id="rId80" display="https://www.capitaliq.com/CIQDotNet/RatingsDirect/GCPTearsheet.aspx?CompanyId=32393058" xr:uid="{00000000-0004-0000-0D00-00004F000000}"/>
    <hyperlink ref="I96" r:id="rId81" display="https://www.capitaliq.com/CIQDotNet/RatingsDirect/GCPTearsheet.aspx?CompanyId=53736984" xr:uid="{00000000-0004-0000-0D00-000050000000}"/>
    <hyperlink ref="I97" r:id="rId82" display="https://www.capitaliq.com/CIQDotNet/RatingsDirect/GCPTearsheet.aspx?CompanyId=30189576" xr:uid="{00000000-0004-0000-0D00-000051000000}"/>
    <hyperlink ref="I98" r:id="rId83" display="https://www.capitaliq.com/CIQDotNet/RatingsDirect/GCPTearsheet.aspx?CompanyId=30999424" xr:uid="{00000000-0004-0000-0D00-000052000000}"/>
    <hyperlink ref="I100" r:id="rId84" display="https://www.capitaliq.com/CIQDotNet/RatingsDirect/GCPTearsheet.aspx?CompanyId=26971957" xr:uid="{00000000-0004-0000-0D00-000053000000}"/>
    <hyperlink ref="I101" r:id="rId85" display="https://www.capitaliq.com/CIQDotNet/RatingsDirect/GCPTearsheet.aspx?CompanyId=3693241" xr:uid="{00000000-0004-0000-0D00-000054000000}"/>
    <hyperlink ref="I102" r:id="rId86" display="https://www.capitaliq.com/CIQDotNet/RatingsDirect/GCPTearsheet.aspx?CompanyId=29686622" xr:uid="{00000000-0004-0000-0D00-000055000000}"/>
    <hyperlink ref="I103" r:id="rId87" display="https://www.capitaliq.com/CIQDotNet/RatingsDirect/GCPTearsheet.aspx?CompanyId=28913065" xr:uid="{00000000-0004-0000-0D00-000056000000}"/>
    <hyperlink ref="I104" r:id="rId88" display="https://www.capitaliq.com/CIQDotNet/RatingsDirect/GCPTearsheet.aspx?CompanyId=32589250" xr:uid="{00000000-0004-0000-0D00-000057000000}"/>
    <hyperlink ref="I105" r:id="rId89" display="https://www.capitaliq.com/CIQDotNet/RatingsDirect/GCPTearsheet.aspx?CompanyId=24844183" xr:uid="{00000000-0004-0000-0D00-000058000000}"/>
    <hyperlink ref="I106" r:id="rId90" display="https://www.capitaliq.com/CIQDotNet/RatingsDirect/GCPTearsheet.aspx?CompanyId=27481471" xr:uid="{00000000-0004-0000-0D00-000059000000}"/>
    <hyperlink ref="I107" r:id="rId91" display="https://www.capitaliq.com/CIQDotNet/RatingsDirect/GCPTearsheet.aspx?CompanyId=3534766" xr:uid="{00000000-0004-0000-0D00-00005A000000}"/>
    <hyperlink ref="I108" r:id="rId92" display="https://www.capitaliq.com/CIQDotNet/RatingsDirect/GCPTearsheet.aspx?CompanyId=28321656" xr:uid="{00000000-0004-0000-0D00-00005B000000}"/>
    <hyperlink ref="I109" r:id="rId93" display="https://www.capitaliq.com/CIQDotNet/RatingsDirect/GCPTearsheet.aspx?CompanyId=32857040" xr:uid="{00000000-0004-0000-0D00-00005C000000}"/>
    <hyperlink ref="I110" r:id="rId94" display="https://www.capitaliq.com/CIQDotNet/RatingsDirect/GCPTearsheet.aspx?CompanyId=3611380" xr:uid="{00000000-0004-0000-0D00-00005D000000}"/>
    <hyperlink ref="I111" r:id="rId95" display="https://www.capitaliq.com/CIQDotNet/RatingsDirect/GCPTearsheet.aspx?CompanyId=3548008" xr:uid="{00000000-0004-0000-0D00-00005E000000}"/>
    <hyperlink ref="I112" r:id="rId96" display="https://www.capitaliq.com/CIQDotNet/RatingsDirect/GCPTearsheet.aspx?CompanyId=3611381" xr:uid="{00000000-0004-0000-0D00-00005F000000}"/>
    <hyperlink ref="I113" r:id="rId97" display="https://www.capitaliq.com/CIQDotNet/RatingsDirect/GCPTearsheet.aspx?CompanyId=20528442" xr:uid="{00000000-0004-0000-0D00-000060000000}"/>
    <hyperlink ref="I114" r:id="rId98" display="https://www.capitaliq.com/CIQDotNet/RatingsDirect/GCPTearsheet.aspx?CompanyId=26359855" xr:uid="{00000000-0004-0000-0D00-000061000000}"/>
    <hyperlink ref="I115" r:id="rId99" display="https://www.capitaliq.com/CIQDotNet/RatingsDirect/GCPTearsheet.aspx?CompanyId=106631819" xr:uid="{00000000-0004-0000-0D00-000062000000}"/>
    <hyperlink ref="I116" r:id="rId100" display="https://www.capitaliq.com/CIQDotNet/RatingsDirect/GCPTearsheet.aspx?CompanyId=20530761" xr:uid="{00000000-0004-0000-0D00-000063000000}"/>
    <hyperlink ref="I117" r:id="rId101" display="https://www.capitaliq.com/CIQDotNet/RatingsDirect/GCPTearsheet.aspx?CompanyId=20464846" xr:uid="{00000000-0004-0000-0D00-000064000000}"/>
    <hyperlink ref="I118" r:id="rId102" display="https://www.capitaliq.com/CIQDotNet/RatingsDirect/GCPTearsheet.aspx?CompanyId=51181914" xr:uid="{00000000-0004-0000-0D00-000065000000}"/>
    <hyperlink ref="I119" r:id="rId103" display="https://www.capitaliq.com/CIQDotNet/RatingsDirect/GCPTearsheet.aspx?CompanyId=28397289" xr:uid="{00000000-0004-0000-0D00-000066000000}"/>
    <hyperlink ref="I120" r:id="rId104" display="https://www.capitaliq.com/CIQDotNet/RatingsDirect/GCPTearsheet.aspx?CompanyId=31222402" xr:uid="{00000000-0004-0000-0D00-000067000000}"/>
    <hyperlink ref="I121" r:id="rId105" display="https://www.capitaliq.com/CIQDotNet/RatingsDirect/GCPTearsheet.aspx?CompanyId=32572239" xr:uid="{00000000-0004-0000-0D00-000068000000}"/>
    <hyperlink ref="I122" r:id="rId106" display="https://www.capitaliq.com/CIQDotNet/RatingsDirect/GCPTearsheet.aspx?CompanyId=84202515" xr:uid="{00000000-0004-0000-0D00-000069000000}"/>
    <hyperlink ref="I123" r:id="rId107" display="https://www.capitaliq.com/CIQDotNet/RatingsDirect/GCPTearsheet.aspx?CompanyId=31250052" xr:uid="{00000000-0004-0000-0D00-00006A000000}"/>
    <hyperlink ref="I124" r:id="rId108" display="https://www.capitaliq.com/CIQDotNet/RatingsDirect/GCPTearsheet.aspx?CompanyId=42398017" xr:uid="{00000000-0004-0000-0D00-00006B000000}"/>
    <hyperlink ref="I125" r:id="rId109" display="https://www.capitaliq.com/CIQDotNet/RatingsDirect/GCPTearsheet.aspx?CompanyId=27481510" xr:uid="{00000000-0004-0000-0D00-00006C000000}"/>
    <hyperlink ref="I127" r:id="rId110" display="https://www.capitaliq.com/CIQDotNet/RatingsDirect/GCPTearsheet.aspx?CompanyId=3590743" xr:uid="{00000000-0004-0000-0D00-00006D000000}"/>
    <hyperlink ref="I128" r:id="rId111" display="https://www.capitaliq.com/CIQDotNet/RatingsDirect/GCPTearsheet.aspx?CompanyId=3600380" xr:uid="{00000000-0004-0000-0D00-00006E000000}"/>
    <hyperlink ref="I129" r:id="rId112" display="https://www.capitaliq.com/CIQDotNet/RatingsDirect/GCPTearsheet.aspx?CompanyId=26956249" xr:uid="{00000000-0004-0000-0D00-00006F000000}"/>
    <hyperlink ref="I132" r:id="rId113" display="https://www.capitaliq.com/CIQDotNet/RatingsDirect/GCPTearsheet.aspx?CompanyId=26972915" xr:uid="{00000000-0004-0000-0D00-000070000000}"/>
    <hyperlink ref="I134" r:id="rId114" display="https://www.capitaliq.com/CIQDotNet/RatingsDirect/GCPTearsheet.aspx?CompanyId=20531158" xr:uid="{00000000-0004-0000-0D00-000071000000}"/>
    <hyperlink ref="I135" r:id="rId115" display="https://www.capitaliq.com/CIQDotNet/RatingsDirect/GCPTearsheet.aspx?CompanyId=29618341" xr:uid="{00000000-0004-0000-0D00-000072000000}"/>
    <hyperlink ref="I136" r:id="rId116" display="https://www.capitaliq.com/CIQDotNet/RatingsDirect/GCPTearsheet.aspx?CompanyId=26935624" xr:uid="{00000000-0004-0000-0D00-000073000000}"/>
    <hyperlink ref="I137" r:id="rId117" display="https://www.capitaliq.com/CIQDotNet/RatingsDirect/GCPTearsheet.aspx?CompanyId=26935624" xr:uid="{00000000-0004-0000-0D00-000074000000}"/>
    <hyperlink ref="I139" r:id="rId118" display="https://www.capitaliq.com/CIQDotNet/RatingsDirect/GCPTearsheet.aspx?CompanyId=3590614" xr:uid="{00000000-0004-0000-0D00-000075000000}"/>
    <hyperlink ref="I140" r:id="rId119" display="https://www.capitaliq.com/CIQDotNet/RatingsDirect/GCPTearsheet.aspx?CompanyId=12723131" xr:uid="{00000000-0004-0000-0D00-000076000000}"/>
    <hyperlink ref="I142" r:id="rId120" display="https://www.capitaliq.com/CIQDotNet/RatingsDirect/GCPTearsheet.aspx?CompanyId=3590635" xr:uid="{00000000-0004-0000-0D00-000077000000}"/>
    <hyperlink ref="I143" r:id="rId121" display="https://www.capitaliq.com/CIQDotNet/RatingsDirect/GCPTearsheet.aspx?CompanyId=49432987" xr:uid="{00000000-0004-0000-0D00-000078000000}"/>
    <hyperlink ref="I144" r:id="rId122" display="https://www.capitaliq.com/CIQDotNet/RatingsDirect/GCPTearsheet.aspx?CompanyId=32341616" xr:uid="{00000000-0004-0000-0D00-000079000000}"/>
    <hyperlink ref="I145" r:id="rId123" display="https://www.capitaliq.com/CIQDotNet/RatingsDirect/GCPTearsheet.aspx?CompanyId=26972625" xr:uid="{00000000-0004-0000-0D00-00007A000000}"/>
    <hyperlink ref="I147" r:id="rId124" display="https://www.capitaliq.com/CIQDotNet/RatingsDirect/GCPTearsheet.aspx?CompanyId=25809472" xr:uid="{00000000-0004-0000-0D00-00007B000000}"/>
    <hyperlink ref="I148" r:id="rId125" display="https://www.capitaliq.com/CIQDotNet/RatingsDirect/GCPTearsheet.aspx?CompanyId=12425677" xr:uid="{00000000-0004-0000-0D00-00007C000000}"/>
    <hyperlink ref="I149" r:id="rId126" display="https://www.capitaliq.com/CIQDotNet/RatingsDirect/GCPTearsheet.aspx?CompanyId=3611383" xr:uid="{00000000-0004-0000-0D00-00007D000000}"/>
    <hyperlink ref="I150" r:id="rId127" display="https://www.capitaliq.com/CIQDotNet/RatingsDirect/GCPTearsheet.aspx?CompanyId=3611384" xr:uid="{00000000-0004-0000-0D00-00007E000000}"/>
    <hyperlink ref="I151" r:id="rId128" display="https://www.capitaliq.com/CIQDotNet/RatingsDirect/GCPTearsheet.aspx?CompanyId=26935370" xr:uid="{00000000-0004-0000-0D00-00007F000000}"/>
    <hyperlink ref="I152" r:id="rId129" display="https://www.capitaliq.com/CIQDotNet/RatingsDirect/GCPTearsheet.aspx?CompanyId=33030526" xr:uid="{00000000-0004-0000-0D00-000080000000}"/>
    <hyperlink ref="I41" r:id="rId130" display="https://www.capitaliq.com/CIQDotNet/RatingsDirect/GCPTearsheet.aspx?CompanyId=143004518" xr:uid="{00000000-0004-0000-0D00-000081000000}"/>
    <hyperlink ref="I87" r:id="rId131" display="https://www.capitaliq.com/CIQDotNet/RatingsDirect/GCPTearsheet.aspx?CompanyId=30192242" xr:uid="{00000000-0004-0000-0D00-000082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73"/>
  <sheetViews>
    <sheetView topLeftCell="E136" workbookViewId="0">
      <selection activeCell="F142" sqref="F142"/>
    </sheetView>
  </sheetViews>
  <sheetFormatPr baseColWidth="10" defaultRowHeight="12"/>
  <cols>
    <col min="1" max="1" width="32.6640625" customWidth="1"/>
    <col min="5" max="5" width="32.83203125" bestFit="1" customWidth="1"/>
    <col min="8" max="8" width="26.1640625" customWidth="1"/>
    <col min="14" max="14" width="10.83203125" customWidth="1"/>
  </cols>
  <sheetData>
    <row r="1" spans="1:9" ht="17">
      <c r="A1" s="85" t="s">
        <v>77</v>
      </c>
      <c r="B1" s="58" t="s">
        <v>367</v>
      </c>
      <c r="E1" s="199" t="s">
        <v>77</v>
      </c>
      <c r="F1" s="200" t="s">
        <v>572</v>
      </c>
      <c r="H1" s="202" t="s">
        <v>484</v>
      </c>
      <c r="I1" s="203">
        <v>0.28210000000000002</v>
      </c>
    </row>
    <row r="2" spans="1:9" ht="16">
      <c r="A2" s="57" t="str">
        <f>'Ratings worksheet'!A2</f>
        <v>Abu Dhabi</v>
      </c>
      <c r="B2" s="58">
        <v>0</v>
      </c>
      <c r="E2" s="188" t="s">
        <v>430</v>
      </c>
      <c r="F2" s="201">
        <v>0.2</v>
      </c>
      <c r="H2" s="202" t="s">
        <v>485</v>
      </c>
      <c r="I2" s="203">
        <v>0.25659999999999999</v>
      </c>
    </row>
    <row r="3" spans="1:9" ht="16">
      <c r="A3" s="57" t="str">
        <f>'Ratings worksheet'!A3</f>
        <v>Albania</v>
      </c>
      <c r="B3" s="58">
        <f>15%</f>
        <v>0.15</v>
      </c>
      <c r="E3" s="188" t="s">
        <v>4</v>
      </c>
      <c r="F3" s="201">
        <v>0.15</v>
      </c>
      <c r="H3" s="202" t="s">
        <v>486</v>
      </c>
      <c r="I3" s="203">
        <v>0.21280000000000002</v>
      </c>
    </row>
    <row r="4" spans="1:9" ht="16">
      <c r="A4" s="57" t="str">
        <f>'Ratings worksheet'!A4</f>
        <v>Andorra (Principality of)</v>
      </c>
      <c r="B4" s="58">
        <v>0</v>
      </c>
      <c r="E4" s="188" t="s">
        <v>347</v>
      </c>
      <c r="F4" s="201">
        <v>0.26</v>
      </c>
      <c r="H4" s="202" t="s">
        <v>491</v>
      </c>
      <c r="I4" s="203">
        <v>0.21510000000000001</v>
      </c>
    </row>
    <row r="5" spans="1:9" ht="16">
      <c r="A5" s="57" t="str">
        <f>'Ratings worksheet'!A5</f>
        <v>Angola</v>
      </c>
      <c r="B5" s="58">
        <v>0.3</v>
      </c>
      <c r="E5" s="188" t="s">
        <v>204</v>
      </c>
      <c r="F5" s="201">
        <v>0.1</v>
      </c>
      <c r="H5" s="202" t="s">
        <v>487</v>
      </c>
      <c r="I5" s="203">
        <v>0.19539999999999999</v>
      </c>
    </row>
    <row r="6" spans="1:9" ht="16">
      <c r="A6" s="57" t="str">
        <f>'Ratings worksheet'!A6</f>
        <v>Argentina</v>
      </c>
      <c r="B6" s="58">
        <v>0.35</v>
      </c>
      <c r="E6" s="188" t="s">
        <v>133</v>
      </c>
      <c r="F6" s="201">
        <v>0.3</v>
      </c>
      <c r="H6" s="202" t="s">
        <v>493</v>
      </c>
      <c r="I6" s="203">
        <v>0.24249999999999999</v>
      </c>
    </row>
    <row r="7" spans="1:9" ht="16">
      <c r="A7" s="57" t="str">
        <f>'Ratings worksheet'!A7</f>
        <v>Armenia</v>
      </c>
      <c r="B7" s="58">
        <v>0.2</v>
      </c>
      <c r="E7" s="188" t="s">
        <v>573</v>
      </c>
      <c r="F7" s="201">
        <v>0</v>
      </c>
      <c r="H7" s="202" t="s">
        <v>490</v>
      </c>
      <c r="I7" s="203">
        <v>0.27979999999999999</v>
      </c>
    </row>
    <row r="8" spans="1:9" ht="16">
      <c r="A8" s="57" t="str">
        <f>'Ratings worksheet'!A8</f>
        <v>Aruba</v>
      </c>
      <c r="B8" s="58">
        <f>K8</f>
        <v>0</v>
      </c>
      <c r="E8" s="188" t="s">
        <v>456</v>
      </c>
      <c r="F8" s="201">
        <v>0.25</v>
      </c>
      <c r="H8" s="202" t="s">
        <v>489</v>
      </c>
      <c r="I8" s="203">
        <v>0.23749999999999999</v>
      </c>
    </row>
    <row r="9" spans="1:9" ht="16">
      <c r="A9" s="57" t="str">
        <f>'Ratings worksheet'!A9</f>
        <v>Australia</v>
      </c>
      <c r="B9" s="58">
        <v>0.3</v>
      </c>
      <c r="E9" s="188" t="s">
        <v>86</v>
      </c>
      <c r="F9" s="201">
        <v>0.35</v>
      </c>
      <c r="H9" s="202" t="s">
        <v>488</v>
      </c>
      <c r="I9" s="203">
        <v>0.28670000000000001</v>
      </c>
    </row>
    <row r="10" spans="1:9" ht="16">
      <c r="A10" s="57" t="str">
        <f>'Ratings worksheet'!A10</f>
        <v>Austria</v>
      </c>
      <c r="B10" s="58">
        <v>0.25</v>
      </c>
      <c r="E10" s="188" t="s">
        <v>19</v>
      </c>
      <c r="F10" s="201">
        <v>0.2</v>
      </c>
      <c r="H10" s="202" t="s">
        <v>492</v>
      </c>
      <c r="I10" s="203">
        <v>0.2407</v>
      </c>
    </row>
    <row r="11" spans="1:9" ht="16">
      <c r="A11" s="57" t="str">
        <f>'Ratings worksheet'!A11</f>
        <v>Azerbaijan</v>
      </c>
      <c r="B11" s="103">
        <v>0.2</v>
      </c>
      <c r="E11" s="188" t="s">
        <v>208</v>
      </c>
      <c r="F11" s="201">
        <v>0.25</v>
      </c>
      <c r="H11" s="202" t="s">
        <v>580</v>
      </c>
      <c r="I11" s="203">
        <v>0.27979999999999999</v>
      </c>
    </row>
    <row r="12" spans="1:9" ht="16">
      <c r="A12" s="57" t="str">
        <f>'Ratings worksheet'!A12</f>
        <v>Bahamas</v>
      </c>
      <c r="B12" s="58">
        <v>0</v>
      </c>
      <c r="E12" s="188" t="s">
        <v>87</v>
      </c>
      <c r="F12" s="201">
        <v>0.3</v>
      </c>
    </row>
    <row r="13" spans="1:9" ht="16">
      <c r="A13" s="57" t="str">
        <f>'Ratings worksheet'!A13</f>
        <v>Bahrain</v>
      </c>
      <c r="B13" s="58">
        <v>0</v>
      </c>
      <c r="E13" s="188" t="s">
        <v>182</v>
      </c>
      <c r="F13" s="201">
        <v>0.25</v>
      </c>
    </row>
    <row r="14" spans="1:9" ht="16">
      <c r="A14" s="57" t="str">
        <f>'Ratings worksheet'!A14</f>
        <v>Bangladesh</v>
      </c>
      <c r="B14" s="58">
        <v>0.25</v>
      </c>
      <c r="E14" s="188" t="s">
        <v>20</v>
      </c>
      <c r="F14" s="201">
        <v>0.2</v>
      </c>
    </row>
    <row r="15" spans="1:9" ht="16">
      <c r="A15" s="57" t="str">
        <f>'Ratings worksheet'!A15</f>
        <v>Barbados</v>
      </c>
      <c r="B15" s="58">
        <v>0.25</v>
      </c>
      <c r="E15" s="188" t="s">
        <v>88</v>
      </c>
      <c r="F15" s="201">
        <v>0</v>
      </c>
    </row>
    <row r="16" spans="1:9" ht="16">
      <c r="A16" s="57" t="str">
        <f>'Ratings worksheet'!A16</f>
        <v>Belarus</v>
      </c>
      <c r="B16" s="58">
        <v>0.18</v>
      </c>
      <c r="E16" s="188" t="s">
        <v>89</v>
      </c>
      <c r="F16" s="201">
        <v>0</v>
      </c>
    </row>
    <row r="17" spans="1:6" ht="16">
      <c r="A17" s="57" t="str">
        <f>'Ratings worksheet'!A17</f>
        <v>Belgium</v>
      </c>
      <c r="B17" s="58">
        <v>0.33989999999999998</v>
      </c>
      <c r="E17" s="188" t="s">
        <v>134</v>
      </c>
      <c r="F17" s="201">
        <v>0.25</v>
      </c>
    </row>
    <row r="18" spans="1:6" ht="16">
      <c r="A18" s="57" t="str">
        <f>'Ratings worksheet'!A18</f>
        <v>Belize</v>
      </c>
      <c r="B18" s="102">
        <v>0.28210000000000002</v>
      </c>
      <c r="E18" s="188" t="s">
        <v>90</v>
      </c>
      <c r="F18" s="201">
        <v>0.25</v>
      </c>
    </row>
    <row r="19" spans="1:6" ht="16">
      <c r="A19" s="57" t="str">
        <f>'Ratings worksheet'!A19</f>
        <v>Bermuda</v>
      </c>
      <c r="B19" s="58">
        <v>0</v>
      </c>
      <c r="E19" s="188" t="s">
        <v>5</v>
      </c>
      <c r="F19" s="201">
        <v>0.18</v>
      </c>
    </row>
    <row r="20" spans="1:6" ht="16">
      <c r="A20" s="57" t="str">
        <f>'Ratings worksheet'!A20</f>
        <v>Bolivia</v>
      </c>
      <c r="B20" s="58">
        <v>0.25</v>
      </c>
      <c r="E20" s="188" t="s">
        <v>183</v>
      </c>
      <c r="F20" s="201">
        <v>0.33989999999999998</v>
      </c>
    </row>
    <row r="21" spans="1:6" ht="16">
      <c r="A21" s="57" t="str">
        <f>'Ratings worksheet'!A21</f>
        <v>Bosnia and Herzegovina</v>
      </c>
      <c r="B21" s="58">
        <v>0.1</v>
      </c>
      <c r="E21" s="188" t="s">
        <v>215</v>
      </c>
      <c r="F21" s="201">
        <v>0.3</v>
      </c>
    </row>
    <row r="22" spans="1:6" ht="16">
      <c r="A22" s="57" t="str">
        <f>'Ratings worksheet'!A22</f>
        <v>Botswana</v>
      </c>
      <c r="B22" s="58">
        <v>0.22</v>
      </c>
      <c r="E22" s="188" t="s">
        <v>92</v>
      </c>
      <c r="F22" s="201">
        <v>0</v>
      </c>
    </row>
    <row r="23" spans="1:6" ht="16">
      <c r="A23" s="57" t="str">
        <f>'Ratings worksheet'!A23</f>
        <v>Brazil</v>
      </c>
      <c r="B23" s="58">
        <v>0.34</v>
      </c>
      <c r="E23" s="188" t="s">
        <v>93</v>
      </c>
      <c r="F23" s="201">
        <v>0.25</v>
      </c>
    </row>
    <row r="24" spans="1:6" ht="16">
      <c r="A24" s="57" t="str">
        <f>'Ratings worksheet'!A24</f>
        <v>Bulgaria</v>
      </c>
      <c r="B24" s="58">
        <v>0.1</v>
      </c>
      <c r="E24" s="188" t="s">
        <v>475</v>
      </c>
      <c r="F24" s="201">
        <v>0.25</v>
      </c>
    </row>
    <row r="25" spans="1:6" ht="16">
      <c r="A25" s="57" t="str">
        <f>'Ratings worksheet'!A25</f>
        <v>Burkina Faso</v>
      </c>
      <c r="B25" s="103">
        <v>0.27500000000000002</v>
      </c>
      <c r="E25" s="188" t="s">
        <v>7</v>
      </c>
      <c r="F25" s="201">
        <v>0.1</v>
      </c>
    </row>
    <row r="26" spans="1:6" ht="16">
      <c r="A26" s="57" t="str">
        <f>'Ratings worksheet'!A26</f>
        <v>Cambodia</v>
      </c>
      <c r="B26" s="58">
        <v>0.2</v>
      </c>
      <c r="E26" s="188" t="s">
        <v>125</v>
      </c>
      <c r="F26" s="201">
        <v>0.22</v>
      </c>
    </row>
    <row r="27" spans="1:6" ht="16">
      <c r="A27" s="57" t="str">
        <f>'Ratings worksheet'!A27</f>
        <v>Cameroon</v>
      </c>
      <c r="B27" s="58">
        <v>0.33</v>
      </c>
      <c r="E27" s="188" t="s">
        <v>94</v>
      </c>
      <c r="F27" s="201">
        <v>0.34</v>
      </c>
    </row>
    <row r="28" spans="1:6" ht="16">
      <c r="A28" s="57" t="str">
        <f>'Ratings worksheet'!A28</f>
        <v>Canada</v>
      </c>
      <c r="B28" s="58">
        <v>0.26500000000000001</v>
      </c>
      <c r="E28" s="188" t="s">
        <v>431</v>
      </c>
      <c r="F28" s="201">
        <v>0.185</v>
      </c>
    </row>
    <row r="29" spans="1:6" ht="16">
      <c r="A29" s="57" t="str">
        <f>'Ratings worksheet'!A29</f>
        <v>Cape Verde</v>
      </c>
      <c r="B29" s="58">
        <v>0</v>
      </c>
      <c r="E29" s="188" t="s">
        <v>96</v>
      </c>
      <c r="F29" s="201">
        <v>0.1</v>
      </c>
    </row>
    <row r="30" spans="1:6" ht="16">
      <c r="A30" s="57" t="str">
        <f>'Ratings worksheet'!A30</f>
        <v>Cayman Islands</v>
      </c>
      <c r="B30" s="103">
        <v>0.28210000000000002</v>
      </c>
      <c r="E30" s="188" t="s">
        <v>218</v>
      </c>
      <c r="F30" s="201">
        <v>0.27500000000000002</v>
      </c>
    </row>
    <row r="31" spans="1:6" ht="16">
      <c r="A31" s="57" t="str">
        <f>'Ratings worksheet'!A31</f>
        <v>Chile</v>
      </c>
      <c r="B31" s="58">
        <v>0.255</v>
      </c>
      <c r="E31" s="188" t="s">
        <v>445</v>
      </c>
      <c r="F31" s="201">
        <v>0.3</v>
      </c>
    </row>
    <row r="32" spans="1:6" ht="16">
      <c r="A32" s="57" t="str">
        <f>'Ratings worksheet'!A32</f>
        <v>China</v>
      </c>
      <c r="B32" s="58">
        <v>0.25</v>
      </c>
      <c r="E32" s="188" t="s">
        <v>6</v>
      </c>
      <c r="F32" s="201">
        <v>0.2</v>
      </c>
    </row>
    <row r="33" spans="1:6" ht="16">
      <c r="A33" s="57" t="str">
        <f>'Ratings worksheet'!A33</f>
        <v>Colombia</v>
      </c>
      <c r="B33" s="58">
        <v>0.34</v>
      </c>
      <c r="E33" s="188" t="s">
        <v>219</v>
      </c>
      <c r="F33" s="201">
        <v>0.33</v>
      </c>
    </row>
    <row r="34" spans="1:6" ht="16">
      <c r="A34" s="57" t="str">
        <f>'Ratings worksheet'!A34</f>
        <v>Congo (Democratic Republic of)</v>
      </c>
      <c r="B34" s="103">
        <v>0.35</v>
      </c>
      <c r="E34" s="188" t="s">
        <v>97</v>
      </c>
      <c r="F34" s="201">
        <v>0.26500000000000001</v>
      </c>
    </row>
    <row r="35" spans="1:6" ht="16">
      <c r="A35" s="57" t="str">
        <f>'Ratings worksheet'!A35</f>
        <v>Congo (Republic of)</v>
      </c>
      <c r="B35" s="102">
        <v>0.28210000000000002</v>
      </c>
      <c r="E35" s="188" t="s">
        <v>56</v>
      </c>
      <c r="F35" s="201">
        <v>0</v>
      </c>
    </row>
    <row r="36" spans="1:6" ht="16">
      <c r="A36" s="57" t="str">
        <f>'Ratings worksheet'!A36</f>
        <v>Cook Islands</v>
      </c>
      <c r="B36" s="103">
        <v>0</v>
      </c>
      <c r="E36" s="188" t="s">
        <v>98</v>
      </c>
      <c r="F36" s="201">
        <v>0.255</v>
      </c>
    </row>
    <row r="37" spans="1:6" ht="16">
      <c r="A37" s="57" t="str">
        <f>'Ratings worksheet'!A37</f>
        <v>Costa Rica</v>
      </c>
      <c r="B37" s="58">
        <v>0.3</v>
      </c>
      <c r="E37" s="188" t="s">
        <v>99</v>
      </c>
      <c r="F37" s="201">
        <v>0.25</v>
      </c>
    </row>
    <row r="38" spans="1:6" ht="16">
      <c r="A38" s="57" t="str">
        <f>'Ratings worksheet'!A38</f>
        <v>Côte d'Ivoire</v>
      </c>
      <c r="B38" s="204">
        <v>0.25</v>
      </c>
      <c r="E38" s="188" t="s">
        <v>51</v>
      </c>
      <c r="F38" s="201">
        <v>0.34</v>
      </c>
    </row>
    <row r="39" spans="1:6" ht="16">
      <c r="A39" s="57" t="str">
        <f>'Ratings worksheet'!A39</f>
        <v>Croatia</v>
      </c>
      <c r="B39" s="58">
        <v>0.2</v>
      </c>
      <c r="E39" s="188" t="s">
        <v>574</v>
      </c>
      <c r="F39" s="201">
        <v>0.35</v>
      </c>
    </row>
    <row r="40" spans="1:6" ht="16">
      <c r="A40" s="57" t="str">
        <f>'Ratings worksheet'!A40</f>
        <v>Cuba</v>
      </c>
      <c r="B40" s="102">
        <v>0.27979999999999999</v>
      </c>
      <c r="E40" s="188" t="s">
        <v>57</v>
      </c>
      <c r="F40" s="201">
        <v>0.3</v>
      </c>
    </row>
    <row r="41" spans="1:6" ht="16">
      <c r="A41" s="57" t="str">
        <f>'Ratings worksheet'!A41</f>
        <v>Curacao</v>
      </c>
      <c r="B41" s="58">
        <v>0.22</v>
      </c>
      <c r="E41" s="188" t="s">
        <v>100</v>
      </c>
      <c r="F41" s="201">
        <v>0.2</v>
      </c>
    </row>
    <row r="42" spans="1:6" ht="16">
      <c r="A42" s="57" t="str">
        <f>'Ratings worksheet'!A42</f>
        <v>Cyprus</v>
      </c>
      <c r="B42" s="58">
        <v>0.125</v>
      </c>
      <c r="E42" s="188" t="s">
        <v>224</v>
      </c>
      <c r="F42" s="201">
        <v>0.22</v>
      </c>
    </row>
    <row r="43" spans="1:6" ht="16">
      <c r="A43" s="57" t="str">
        <f>'Ratings worksheet'!A43</f>
        <v>Czech Republic</v>
      </c>
      <c r="B43" s="58">
        <v>0.19</v>
      </c>
      <c r="E43" s="188" t="s">
        <v>184</v>
      </c>
      <c r="F43" s="201">
        <v>0.125</v>
      </c>
    </row>
    <row r="44" spans="1:6" ht="16">
      <c r="A44" s="57" t="str">
        <f>'Ratings worksheet'!A44</f>
        <v>Denmark</v>
      </c>
      <c r="B44" s="58">
        <v>0.22</v>
      </c>
      <c r="E44" s="188" t="s">
        <v>103</v>
      </c>
      <c r="F44" s="201">
        <v>0.19</v>
      </c>
    </row>
    <row r="45" spans="1:6" ht="16">
      <c r="A45" s="57" t="str">
        <f>'Ratings worksheet'!A45</f>
        <v>Dominican Republic</v>
      </c>
      <c r="B45" s="58">
        <v>0.27</v>
      </c>
      <c r="E45" s="188" t="s">
        <v>104</v>
      </c>
      <c r="F45" s="201">
        <v>0.22</v>
      </c>
    </row>
    <row r="46" spans="1:6" ht="16">
      <c r="A46" s="57" t="str">
        <f>'Ratings worksheet'!A46</f>
        <v>Ecuador</v>
      </c>
      <c r="B46" s="58">
        <v>0.22</v>
      </c>
      <c r="E46" s="188" t="s">
        <v>450</v>
      </c>
      <c r="F46" s="201">
        <v>0.25</v>
      </c>
    </row>
    <row r="47" spans="1:6" ht="16">
      <c r="A47" s="57" t="str">
        <f>'Ratings worksheet'!A47</f>
        <v>Egypt</v>
      </c>
      <c r="B47" s="58">
        <v>0.22500000000000001</v>
      </c>
      <c r="E47" s="188" t="s">
        <v>465</v>
      </c>
      <c r="F47" s="201">
        <v>0.25</v>
      </c>
    </row>
    <row r="48" spans="1:6" ht="16">
      <c r="A48" s="57" t="str">
        <f>'Ratings worksheet'!A48</f>
        <v>El Salvador</v>
      </c>
      <c r="B48" s="58">
        <v>0.3</v>
      </c>
      <c r="E48" s="188" t="s">
        <v>105</v>
      </c>
      <c r="F48" s="201">
        <v>0.27</v>
      </c>
    </row>
    <row r="49" spans="1:6" ht="16">
      <c r="A49" s="57" t="str">
        <f>'Ratings worksheet'!A49</f>
        <v>Estonia</v>
      </c>
      <c r="B49" s="58">
        <v>0.2</v>
      </c>
      <c r="E49" s="188" t="s">
        <v>106</v>
      </c>
      <c r="F49" s="201">
        <v>0.22</v>
      </c>
    </row>
    <row r="50" spans="1:6" ht="16">
      <c r="A50" s="57" t="str">
        <f>'Ratings worksheet'!A50</f>
        <v>Ethiopia</v>
      </c>
      <c r="B50" s="103">
        <v>0.3</v>
      </c>
      <c r="E50" s="188" t="s">
        <v>107</v>
      </c>
      <c r="F50" s="201">
        <v>0.22500000000000001</v>
      </c>
    </row>
    <row r="51" spans="1:6" ht="16">
      <c r="A51" s="57" t="str">
        <f>'Ratings worksheet'!A51</f>
        <v>Fiji</v>
      </c>
      <c r="B51" s="58">
        <v>0.2</v>
      </c>
      <c r="E51" s="188" t="s">
        <v>31</v>
      </c>
      <c r="F51" s="201">
        <v>0.3</v>
      </c>
    </row>
    <row r="52" spans="1:6" ht="16">
      <c r="A52" s="57" t="str">
        <f>'Ratings worksheet'!A52</f>
        <v>Finland</v>
      </c>
      <c r="B52" s="58">
        <v>0.2</v>
      </c>
      <c r="E52" s="188" t="s">
        <v>108</v>
      </c>
      <c r="F52" s="201">
        <v>0.2</v>
      </c>
    </row>
    <row r="53" spans="1:6" ht="16">
      <c r="A53" s="57" t="str">
        <f>'Ratings worksheet'!A53</f>
        <v>France</v>
      </c>
      <c r="B53" s="58">
        <v>0.33329999999999999</v>
      </c>
      <c r="E53" s="188" t="s">
        <v>293</v>
      </c>
      <c r="F53" s="201">
        <v>0.3</v>
      </c>
    </row>
    <row r="54" spans="1:6" ht="16">
      <c r="A54" s="57" t="str">
        <f>'Ratings worksheet'!A54</f>
        <v>Gabon</v>
      </c>
      <c r="B54" s="103">
        <v>0.3</v>
      </c>
      <c r="E54" s="188" t="s">
        <v>226</v>
      </c>
      <c r="F54" s="201">
        <v>0.2</v>
      </c>
    </row>
    <row r="55" spans="1:6" ht="16">
      <c r="A55" s="57" t="str">
        <f>'Ratings worksheet'!A55</f>
        <v>Georgia</v>
      </c>
      <c r="B55" s="58">
        <v>0.15</v>
      </c>
      <c r="E55" s="188" t="s">
        <v>185</v>
      </c>
      <c r="F55" s="201">
        <v>0.2</v>
      </c>
    </row>
    <row r="56" spans="1:6" ht="16">
      <c r="A56" s="57" t="str">
        <f>'Ratings worksheet'!A56</f>
        <v>Germany</v>
      </c>
      <c r="B56" s="58">
        <v>0.2979</v>
      </c>
      <c r="E56" s="188" t="s">
        <v>186</v>
      </c>
      <c r="F56" s="201">
        <v>0.33329999999999999</v>
      </c>
    </row>
    <row r="57" spans="1:6" ht="16">
      <c r="A57" s="57" t="str">
        <f>'Ratings worksheet'!A57</f>
        <v>Ghana</v>
      </c>
      <c r="B57" s="58">
        <v>0.25</v>
      </c>
      <c r="E57" s="188" t="s">
        <v>227</v>
      </c>
      <c r="F57" s="201">
        <v>0.3</v>
      </c>
    </row>
    <row r="58" spans="1:6" ht="16">
      <c r="A58" s="57" t="str">
        <f>'Ratings worksheet'!A58</f>
        <v>Greece</v>
      </c>
      <c r="B58" s="58">
        <v>0.28999999999999998</v>
      </c>
      <c r="E58" s="188" t="s">
        <v>344</v>
      </c>
      <c r="F58" s="201">
        <v>0.31</v>
      </c>
    </row>
    <row r="59" spans="1:6" ht="16">
      <c r="A59" s="57" t="str">
        <f>'Ratings worksheet'!A59</f>
        <v>Guatemala</v>
      </c>
      <c r="B59" s="58">
        <v>0.25</v>
      </c>
      <c r="E59" s="188" t="s">
        <v>135</v>
      </c>
      <c r="F59" s="201">
        <v>0.15</v>
      </c>
    </row>
    <row r="60" spans="1:6" ht="16">
      <c r="A60" s="57" t="str">
        <f>'Ratings worksheet'!A60</f>
        <v>Guernsey (States of)</v>
      </c>
      <c r="B60" s="58">
        <v>0</v>
      </c>
      <c r="E60" s="188" t="s">
        <v>187</v>
      </c>
      <c r="F60" s="201">
        <v>0.2979</v>
      </c>
    </row>
    <row r="61" spans="1:6" ht="16">
      <c r="A61" s="57" t="str">
        <f>'Ratings worksheet'!A61</f>
        <v>Honduras</v>
      </c>
      <c r="B61" s="58">
        <v>0.25</v>
      </c>
      <c r="E61" s="188" t="s">
        <v>228</v>
      </c>
      <c r="F61" s="201">
        <v>0.25</v>
      </c>
    </row>
    <row r="62" spans="1:6" ht="16">
      <c r="A62" s="57" t="str">
        <f>'Ratings worksheet'!A62</f>
        <v>Hong Kong</v>
      </c>
      <c r="B62" s="58">
        <v>0.16500000000000001</v>
      </c>
      <c r="E62" s="188" t="s">
        <v>476</v>
      </c>
      <c r="F62" s="201">
        <v>0.1</v>
      </c>
    </row>
    <row r="63" spans="1:6" ht="16">
      <c r="A63" s="57" t="str">
        <f>'Ratings worksheet'!A63</f>
        <v>Hungary</v>
      </c>
      <c r="B63" s="58">
        <v>0.09</v>
      </c>
      <c r="E63" s="188" t="s">
        <v>188</v>
      </c>
      <c r="F63" s="201">
        <v>0.28999999999999998</v>
      </c>
    </row>
    <row r="64" spans="1:6" ht="16">
      <c r="A64" s="57" t="str">
        <f>'Ratings worksheet'!A64</f>
        <v>Iceland</v>
      </c>
      <c r="B64" s="58">
        <v>0.2</v>
      </c>
      <c r="E64" s="188" t="s">
        <v>458</v>
      </c>
      <c r="F64" s="201">
        <v>0.3</v>
      </c>
    </row>
    <row r="65" spans="1:6" ht="16">
      <c r="A65" s="57" t="str">
        <f>'Ratings worksheet'!A65</f>
        <v>India</v>
      </c>
      <c r="B65" s="58">
        <v>0.3</v>
      </c>
      <c r="E65" s="188" t="s">
        <v>109</v>
      </c>
      <c r="F65" s="201">
        <v>0.25</v>
      </c>
    </row>
    <row r="66" spans="1:6" ht="16">
      <c r="A66" s="57" t="str">
        <f>'Ratings worksheet'!A66</f>
        <v>Indonesia</v>
      </c>
      <c r="B66" s="58">
        <v>0.25</v>
      </c>
      <c r="E66" s="188" t="s">
        <v>477</v>
      </c>
      <c r="F66" s="201">
        <v>0</v>
      </c>
    </row>
    <row r="67" spans="1:6" ht="16">
      <c r="A67" s="57" t="s">
        <v>341</v>
      </c>
      <c r="B67" s="58">
        <v>0.15</v>
      </c>
      <c r="E67" s="188" t="s">
        <v>110</v>
      </c>
      <c r="F67" s="201">
        <v>0.25</v>
      </c>
    </row>
    <row r="68" spans="1:6" ht="16">
      <c r="A68" s="57" t="str">
        <f>'Ratings worksheet'!A68</f>
        <v>Ireland</v>
      </c>
      <c r="B68" s="58">
        <v>0.125</v>
      </c>
      <c r="E68" s="188" t="s">
        <v>478</v>
      </c>
      <c r="F68" s="201">
        <v>0.16500000000000001</v>
      </c>
    </row>
    <row r="69" spans="1:6" ht="16">
      <c r="A69" s="57" t="str">
        <f>'Ratings worksheet'!A69</f>
        <v>Isle of Man</v>
      </c>
      <c r="B69" s="58">
        <v>0</v>
      </c>
      <c r="E69" s="188" t="s">
        <v>111</v>
      </c>
      <c r="F69" s="201">
        <v>0.09</v>
      </c>
    </row>
    <row r="70" spans="1:6" ht="16">
      <c r="A70" s="57" t="str">
        <f>'Ratings worksheet'!A70</f>
        <v>Israel</v>
      </c>
      <c r="B70" s="58">
        <v>0.24</v>
      </c>
      <c r="E70" s="188" t="s">
        <v>112</v>
      </c>
      <c r="F70" s="201">
        <v>0.2</v>
      </c>
    </row>
    <row r="71" spans="1:6" ht="16">
      <c r="A71" s="57" t="str">
        <f>'Ratings worksheet'!A71</f>
        <v>Italy</v>
      </c>
      <c r="B71" s="58">
        <v>0.24</v>
      </c>
      <c r="E71" s="188" t="s">
        <v>113</v>
      </c>
      <c r="F71" s="201">
        <v>0.3</v>
      </c>
    </row>
    <row r="72" spans="1:6" ht="16">
      <c r="A72" s="57" t="str">
        <f>'Ratings worksheet'!A72</f>
        <v>Jamaica</v>
      </c>
      <c r="B72" s="58">
        <v>0.25</v>
      </c>
      <c r="E72" s="188" t="s">
        <v>114</v>
      </c>
      <c r="F72" s="201">
        <v>0.25</v>
      </c>
    </row>
    <row r="73" spans="1:6" ht="16">
      <c r="A73" s="57" t="str">
        <f>'Ratings worksheet'!A73</f>
        <v>Japan</v>
      </c>
      <c r="B73" s="58">
        <v>0.30859999999999999</v>
      </c>
      <c r="E73" s="188" t="s">
        <v>341</v>
      </c>
      <c r="F73" s="201">
        <v>0.15</v>
      </c>
    </row>
    <row r="74" spans="1:6" ht="16">
      <c r="A74" s="57" t="str">
        <f>'Ratings worksheet'!A74</f>
        <v>Jersey (States of)</v>
      </c>
      <c r="B74" s="58">
        <v>0.2</v>
      </c>
      <c r="E74" s="188" t="s">
        <v>189</v>
      </c>
      <c r="F74" s="201">
        <v>0.125</v>
      </c>
    </row>
    <row r="75" spans="1:6" ht="16">
      <c r="A75" s="57" t="str">
        <f>'Ratings worksheet'!A75</f>
        <v>Jordan</v>
      </c>
      <c r="B75" s="58">
        <v>0.2</v>
      </c>
      <c r="E75" s="188" t="s">
        <v>115</v>
      </c>
      <c r="F75" s="201">
        <v>0</v>
      </c>
    </row>
    <row r="76" spans="1:6" ht="16">
      <c r="A76" s="57" t="str">
        <f>'Ratings worksheet'!A76</f>
        <v>Kazakhstan</v>
      </c>
      <c r="B76" s="58">
        <v>0.2</v>
      </c>
      <c r="E76" s="188" t="s">
        <v>116</v>
      </c>
      <c r="F76" s="201">
        <v>0.24</v>
      </c>
    </row>
    <row r="77" spans="1:6" ht="16">
      <c r="A77" s="57" t="str">
        <f>'Ratings worksheet'!A77</f>
        <v>Kenya</v>
      </c>
      <c r="B77" s="58">
        <v>0.3</v>
      </c>
      <c r="E77" s="188" t="s">
        <v>147</v>
      </c>
      <c r="F77" s="201">
        <v>0.24</v>
      </c>
    </row>
    <row r="78" spans="1:6" ht="16">
      <c r="A78" s="57" t="str">
        <f>'Ratings worksheet'!A78</f>
        <v>Korea</v>
      </c>
      <c r="B78" s="58">
        <v>0.22</v>
      </c>
      <c r="E78" s="188" t="s">
        <v>575</v>
      </c>
      <c r="F78" s="201">
        <v>0.25</v>
      </c>
    </row>
    <row r="79" spans="1:6" ht="16">
      <c r="A79" t="s">
        <v>122</v>
      </c>
      <c r="B79" s="58">
        <v>0.15</v>
      </c>
      <c r="E79" s="188" t="s">
        <v>117</v>
      </c>
      <c r="F79" s="201">
        <v>0.25</v>
      </c>
    </row>
    <row r="80" spans="1:6" ht="16">
      <c r="A80" s="57" t="str">
        <f>'Ratings worksheet'!A80</f>
        <v>Kyrgyzstan</v>
      </c>
      <c r="B80" s="58">
        <v>0.15</v>
      </c>
      <c r="E80" s="188" t="s">
        <v>118</v>
      </c>
      <c r="F80" s="201">
        <v>0.30859999999999999</v>
      </c>
    </row>
    <row r="81" spans="1:6" ht="16">
      <c r="A81" s="57" t="str">
        <f>'Ratings worksheet'!A81</f>
        <v>Latvia</v>
      </c>
      <c r="B81" s="58">
        <v>0.15</v>
      </c>
      <c r="E81" s="188" t="s">
        <v>479</v>
      </c>
      <c r="F81" s="201">
        <v>0.2</v>
      </c>
    </row>
    <row r="82" spans="1:6" ht="16">
      <c r="A82" s="57" t="str">
        <f>'Ratings worksheet'!A82</f>
        <v>Lebanon</v>
      </c>
      <c r="B82" s="58">
        <v>0.15</v>
      </c>
      <c r="E82" s="188" t="s">
        <v>119</v>
      </c>
      <c r="F82" s="201">
        <v>0.2</v>
      </c>
    </row>
    <row r="83" spans="1:6" ht="16">
      <c r="A83" s="57" t="str">
        <f>'Ratings worksheet'!A83</f>
        <v>Liechtenstein</v>
      </c>
      <c r="B83" s="58">
        <v>0.125</v>
      </c>
      <c r="E83" s="188" t="s">
        <v>120</v>
      </c>
      <c r="F83" s="201">
        <v>0.2</v>
      </c>
    </row>
    <row r="84" spans="1:6" ht="16">
      <c r="A84" s="57" t="str">
        <f>'Ratings worksheet'!A84</f>
        <v>Lithuania</v>
      </c>
      <c r="B84" s="58">
        <v>0.15</v>
      </c>
      <c r="E84" s="188" t="s">
        <v>190</v>
      </c>
      <c r="F84" s="201">
        <v>0.3</v>
      </c>
    </row>
    <row r="85" spans="1:6" ht="16">
      <c r="A85" s="57" t="str">
        <f>'Ratings worksheet'!A85</f>
        <v>Luxembourg</v>
      </c>
      <c r="B85" s="58">
        <v>0.27079999999999999</v>
      </c>
      <c r="E85" s="188" t="s">
        <v>480</v>
      </c>
      <c r="F85" s="201">
        <v>0.22</v>
      </c>
    </row>
    <row r="86" spans="1:6" ht="16">
      <c r="A86" s="57" t="str">
        <f>'Ratings worksheet'!A86</f>
        <v>Macao</v>
      </c>
      <c r="B86" s="58">
        <v>0.12</v>
      </c>
      <c r="E86" s="188" t="s">
        <v>122</v>
      </c>
      <c r="F86" s="201">
        <v>0.15</v>
      </c>
    </row>
    <row r="87" spans="1:6" ht="16">
      <c r="A87" s="57" t="str">
        <f>'Ratings worksheet'!A87</f>
        <v>Macedonia</v>
      </c>
      <c r="B87" s="58">
        <v>0.1</v>
      </c>
      <c r="E87" s="188" t="s">
        <v>363</v>
      </c>
      <c r="F87" s="201">
        <v>0.1</v>
      </c>
    </row>
    <row r="88" spans="1:6" ht="16">
      <c r="A88" s="57" t="str">
        <f>'Ratings worksheet'!A88</f>
        <v>Malaysia</v>
      </c>
      <c r="B88" s="58">
        <v>0.24</v>
      </c>
      <c r="E88" s="188" t="s">
        <v>123</v>
      </c>
      <c r="F88" s="201">
        <v>0.15</v>
      </c>
    </row>
    <row r="89" spans="1:6" ht="16">
      <c r="A89" s="57" t="str">
        <f>'Ratings worksheet'!A90</f>
        <v>Malta</v>
      </c>
      <c r="B89" s="58">
        <v>0.35</v>
      </c>
      <c r="E89" s="188" t="s">
        <v>124</v>
      </c>
      <c r="F89" s="201">
        <v>0.15</v>
      </c>
    </row>
    <row r="90" spans="1:6" ht="16">
      <c r="A90" s="57" t="str">
        <f>'Ratings worksheet'!A91</f>
        <v>Mauritius</v>
      </c>
      <c r="B90" s="58">
        <v>0.15</v>
      </c>
      <c r="E90" s="188" t="s">
        <v>332</v>
      </c>
      <c r="F90" s="201">
        <v>0.2</v>
      </c>
    </row>
    <row r="91" spans="1:6" ht="16">
      <c r="A91" s="57" t="str">
        <f>'Ratings worksheet'!A92</f>
        <v>Mexico</v>
      </c>
      <c r="B91" s="58">
        <v>0.3</v>
      </c>
      <c r="E91" s="188" t="s">
        <v>230</v>
      </c>
      <c r="F91" s="201">
        <v>0.125</v>
      </c>
    </row>
    <row r="92" spans="1:6" ht="16">
      <c r="A92" s="57" t="str">
        <f>'Ratings worksheet'!A93</f>
        <v>Moldova</v>
      </c>
      <c r="B92" s="58">
        <v>0.12</v>
      </c>
      <c r="E92" s="188" t="s">
        <v>13</v>
      </c>
      <c r="F92" s="201">
        <v>0.15</v>
      </c>
    </row>
    <row r="93" spans="1:6" ht="16">
      <c r="A93" s="57" t="str">
        <f>'Ratings worksheet'!A94</f>
        <v>Mongolia</v>
      </c>
      <c r="B93" s="103">
        <v>0.25</v>
      </c>
      <c r="E93" s="188" t="s">
        <v>191</v>
      </c>
      <c r="F93" s="201">
        <v>0.27079999999999999</v>
      </c>
    </row>
    <row r="94" spans="1:6" ht="16">
      <c r="A94" s="57" t="str">
        <f>'Ratings worksheet'!A95</f>
        <v>Montenegro</v>
      </c>
      <c r="B94" s="58">
        <v>0.09</v>
      </c>
      <c r="E94" s="188" t="s">
        <v>365</v>
      </c>
      <c r="F94" s="201">
        <v>0.12</v>
      </c>
    </row>
    <row r="95" spans="1:6" ht="16">
      <c r="A95" s="57" t="str">
        <f>'Ratings worksheet'!A96</f>
        <v>Montserrat</v>
      </c>
      <c r="B95" s="102">
        <v>0.27979999999999999</v>
      </c>
      <c r="E95" s="188" t="s">
        <v>148</v>
      </c>
      <c r="F95" s="201">
        <v>0.1</v>
      </c>
    </row>
    <row r="96" spans="1:6" ht="16">
      <c r="A96" s="57" t="str">
        <f>'Ratings worksheet'!A97</f>
        <v>Morocco</v>
      </c>
      <c r="B96" s="58">
        <v>0.31</v>
      </c>
      <c r="E96" s="188" t="s">
        <v>346</v>
      </c>
      <c r="F96" s="201">
        <v>0.2</v>
      </c>
    </row>
    <row r="97" spans="1:6" ht="16">
      <c r="A97" s="57" t="str">
        <f>'Ratings worksheet'!A98</f>
        <v>Mozambique</v>
      </c>
      <c r="B97" s="58">
        <v>0.32</v>
      </c>
      <c r="E97" s="188" t="s">
        <v>337</v>
      </c>
      <c r="F97" s="201">
        <v>0.3</v>
      </c>
    </row>
    <row r="98" spans="1:6" ht="16">
      <c r="A98" s="57" t="str">
        <f>'Ratings worksheet'!A99</f>
        <v>Namibia</v>
      </c>
      <c r="B98" s="58">
        <v>0.32</v>
      </c>
      <c r="E98" s="188" t="s">
        <v>14</v>
      </c>
      <c r="F98" s="201">
        <v>0.24</v>
      </c>
    </row>
    <row r="99" spans="1:6" ht="16">
      <c r="A99" s="57"/>
      <c r="B99" s="58"/>
      <c r="E99" s="188" t="s">
        <v>444</v>
      </c>
      <c r="F99" s="201">
        <v>0.21279999999999999</v>
      </c>
    </row>
    <row r="100" spans="1:6" ht="16">
      <c r="A100" s="57" t="str">
        <f>'Ratings worksheet'!A100</f>
        <v>Netherlands</v>
      </c>
      <c r="B100" s="58">
        <v>0.25</v>
      </c>
      <c r="E100" s="188" t="s">
        <v>192</v>
      </c>
      <c r="F100" s="201">
        <v>0.35</v>
      </c>
    </row>
    <row r="101" spans="1:6" ht="16">
      <c r="A101" s="57" t="str">
        <f>'Ratings worksheet'!A101</f>
        <v>New Zealand</v>
      </c>
      <c r="B101" s="58">
        <v>0.28000000000000003</v>
      </c>
      <c r="E101" s="188" t="s">
        <v>15</v>
      </c>
      <c r="F101" s="201">
        <v>0.15</v>
      </c>
    </row>
    <row r="102" spans="1:6" ht="16">
      <c r="A102" s="57" t="str">
        <f>'Ratings worksheet'!A102</f>
        <v>Nicaragua</v>
      </c>
      <c r="B102" s="103">
        <v>0.3</v>
      </c>
      <c r="E102" s="188" t="s">
        <v>16</v>
      </c>
      <c r="F102" s="201">
        <v>0.3</v>
      </c>
    </row>
    <row r="103" spans="1:6" ht="16">
      <c r="A103" s="57" t="str">
        <f>'Ratings worksheet'!A103</f>
        <v>Nigeria</v>
      </c>
      <c r="B103" s="58">
        <v>0.3</v>
      </c>
      <c r="E103" s="188" t="s">
        <v>17</v>
      </c>
      <c r="F103" s="201">
        <v>0.12</v>
      </c>
    </row>
    <row r="104" spans="1:6" ht="16">
      <c r="A104" s="57" t="str">
        <f>'Ratings worksheet'!A104</f>
        <v>Norway</v>
      </c>
      <c r="B104" s="58">
        <v>0.24</v>
      </c>
      <c r="E104" s="188" t="s">
        <v>535</v>
      </c>
      <c r="F104" s="201">
        <v>0.33329999999999999</v>
      </c>
    </row>
    <row r="105" spans="1:6" ht="16">
      <c r="A105" s="57" t="str">
        <f>'Ratings worksheet'!A105</f>
        <v>Oman</v>
      </c>
      <c r="B105" s="58">
        <v>0.15</v>
      </c>
      <c r="E105" s="188" t="s">
        <v>64</v>
      </c>
      <c r="F105" s="201">
        <v>0.25</v>
      </c>
    </row>
    <row r="106" spans="1:6" ht="16">
      <c r="A106" s="57" t="str">
        <f>'Ratings worksheet'!A106</f>
        <v>Pakistan</v>
      </c>
      <c r="B106" s="58">
        <v>0.31</v>
      </c>
      <c r="E106" s="188" t="s">
        <v>8</v>
      </c>
      <c r="F106" s="201">
        <v>0.09</v>
      </c>
    </row>
    <row r="107" spans="1:6" ht="16">
      <c r="A107" s="57" t="str">
        <f>'Ratings worksheet'!A107</f>
        <v>Panama</v>
      </c>
      <c r="B107" s="58">
        <v>0.25</v>
      </c>
      <c r="E107" s="188" t="s">
        <v>18</v>
      </c>
      <c r="F107" s="201">
        <v>0.31</v>
      </c>
    </row>
    <row r="108" spans="1:6" ht="16">
      <c r="A108" s="57" t="str">
        <f>'Ratings worksheet'!A108</f>
        <v>Papua New Guinea</v>
      </c>
      <c r="B108" s="58">
        <v>0.3</v>
      </c>
      <c r="E108" s="188" t="s">
        <v>233</v>
      </c>
      <c r="F108" s="201">
        <v>0.32</v>
      </c>
    </row>
    <row r="109" spans="1:6" ht="16">
      <c r="A109" s="57" t="str">
        <f>'Ratings worksheet'!A109</f>
        <v>Paraguay</v>
      </c>
      <c r="B109" s="58">
        <v>0.1</v>
      </c>
      <c r="E109" s="188" t="s">
        <v>345</v>
      </c>
      <c r="F109" s="201">
        <v>0.25</v>
      </c>
    </row>
    <row r="110" spans="1:6" ht="16">
      <c r="A110" s="57" t="str">
        <f>'Ratings worksheet'!A110</f>
        <v>Peru</v>
      </c>
      <c r="B110" s="58">
        <v>0.29499999999999998</v>
      </c>
      <c r="E110" s="188" t="s">
        <v>138</v>
      </c>
      <c r="F110" s="201">
        <v>0.32</v>
      </c>
    </row>
    <row r="111" spans="1:6" ht="16">
      <c r="A111" s="57" t="str">
        <f>'Ratings worksheet'!A111</f>
        <v>Philippines</v>
      </c>
      <c r="B111" s="58">
        <v>0.3</v>
      </c>
      <c r="E111" s="188" t="s">
        <v>193</v>
      </c>
      <c r="F111" s="201">
        <v>0.25</v>
      </c>
    </row>
    <row r="112" spans="1:6" ht="16">
      <c r="A112" s="57" t="str">
        <f>'Ratings worksheet'!A112</f>
        <v>Poland</v>
      </c>
      <c r="B112" s="58">
        <v>0.19</v>
      </c>
      <c r="E112" s="188" t="s">
        <v>21</v>
      </c>
      <c r="F112" s="201">
        <v>0.28000000000000003</v>
      </c>
    </row>
    <row r="113" spans="1:6" ht="16">
      <c r="A113" s="57" t="str">
        <f>'Ratings worksheet'!A113</f>
        <v>Portugal</v>
      </c>
      <c r="B113" s="58">
        <v>0.21</v>
      </c>
      <c r="E113" s="188" t="s">
        <v>22</v>
      </c>
      <c r="F113" s="201">
        <v>0.3</v>
      </c>
    </row>
    <row r="114" spans="1:6" ht="16">
      <c r="A114" s="57" t="str">
        <f>'Ratings worksheet'!A114</f>
        <v>Qatar</v>
      </c>
      <c r="B114" s="58">
        <v>0.1</v>
      </c>
      <c r="E114" s="188" t="s">
        <v>194</v>
      </c>
      <c r="F114" s="201">
        <v>0.3</v>
      </c>
    </row>
    <row r="115" spans="1:6" ht="16">
      <c r="A115" s="57" t="str">
        <f>'Ratings worksheet'!A115</f>
        <v>Ras Al Khaimah (Emirate of)</v>
      </c>
      <c r="B115" s="58">
        <v>0</v>
      </c>
      <c r="E115" s="188" t="s">
        <v>23</v>
      </c>
      <c r="F115" s="201">
        <v>0.24</v>
      </c>
    </row>
    <row r="116" spans="1:6" ht="16">
      <c r="A116" s="57" t="str">
        <f>'Ratings worksheet'!A116</f>
        <v>Romania</v>
      </c>
      <c r="B116" s="58">
        <v>0.16</v>
      </c>
      <c r="E116" s="188" t="s">
        <v>24</v>
      </c>
      <c r="F116" s="201">
        <v>0.15</v>
      </c>
    </row>
    <row r="117" spans="1:6" ht="16">
      <c r="A117" s="57" t="str">
        <f>'Ratings worksheet'!A117</f>
        <v>Russia</v>
      </c>
      <c r="B117" s="58">
        <v>0.2</v>
      </c>
      <c r="E117" s="188" t="s">
        <v>25</v>
      </c>
      <c r="F117" s="201">
        <v>0.31</v>
      </c>
    </row>
    <row r="118" spans="1:6" ht="16">
      <c r="A118" s="57" t="str">
        <f>'Ratings worksheet'!A118</f>
        <v>Rwanda</v>
      </c>
      <c r="B118" s="103">
        <v>0.3</v>
      </c>
      <c r="E118" s="188" t="s">
        <v>576</v>
      </c>
      <c r="F118" s="201">
        <v>0.15</v>
      </c>
    </row>
    <row r="119" spans="1:6" ht="16">
      <c r="A119" s="57" t="str">
        <f>'Ratings worksheet'!A119</f>
        <v>Saudi Arabia</v>
      </c>
      <c r="B119" s="58">
        <v>0.2</v>
      </c>
      <c r="E119" s="188" t="s">
        <v>26</v>
      </c>
      <c r="F119" s="201">
        <v>0.25</v>
      </c>
    </row>
    <row r="120" spans="1:6" ht="16">
      <c r="A120" s="57" t="str">
        <f>'Ratings worksheet'!A120</f>
        <v>Senegal</v>
      </c>
      <c r="B120" s="103">
        <v>0.3</v>
      </c>
      <c r="E120" s="188" t="s">
        <v>9</v>
      </c>
      <c r="F120" s="201">
        <v>0.3</v>
      </c>
    </row>
    <row r="121" spans="1:6" ht="16">
      <c r="A121" s="57" t="str">
        <f>'Ratings worksheet'!A121</f>
        <v>Serbia</v>
      </c>
      <c r="B121" s="58">
        <v>0.15</v>
      </c>
      <c r="E121" s="188" t="s">
        <v>27</v>
      </c>
      <c r="F121" s="201">
        <v>0.1</v>
      </c>
    </row>
    <row r="122" spans="1:6" ht="16">
      <c r="A122" s="57" t="str">
        <f>'Ratings worksheet'!A122</f>
        <v>Sharjah</v>
      </c>
      <c r="B122" s="58">
        <v>0</v>
      </c>
      <c r="E122" s="188" t="s">
        <v>28</v>
      </c>
      <c r="F122" s="201">
        <v>0.29499999999999998</v>
      </c>
    </row>
    <row r="123" spans="1:6" ht="16">
      <c r="A123" s="57" t="str">
        <f>'Ratings worksheet'!A123</f>
        <v>Singapore</v>
      </c>
      <c r="B123" s="58">
        <v>0.17</v>
      </c>
      <c r="E123" s="188" t="s">
        <v>29</v>
      </c>
      <c r="F123" s="201">
        <v>0.3</v>
      </c>
    </row>
    <row r="124" spans="1:6" ht="16">
      <c r="A124" s="57" t="str">
        <f>'Ratings worksheet'!A124</f>
        <v>Slovakia</v>
      </c>
      <c r="B124" s="58">
        <v>0.21</v>
      </c>
      <c r="E124" s="188" t="s">
        <v>30</v>
      </c>
      <c r="F124" s="201">
        <v>0.19</v>
      </c>
    </row>
    <row r="125" spans="1:6" ht="16">
      <c r="A125" s="57" t="str">
        <f>'Ratings worksheet'!A125</f>
        <v>Slovenia</v>
      </c>
      <c r="B125" s="58">
        <v>0.19</v>
      </c>
      <c r="E125" s="188" t="s">
        <v>195</v>
      </c>
      <c r="F125" s="201">
        <v>0.21</v>
      </c>
    </row>
    <row r="126" spans="1:6" ht="16">
      <c r="A126" s="57" t="str">
        <f>'Ratings worksheet'!A127</f>
        <v>South Africa</v>
      </c>
      <c r="B126" s="58">
        <v>0.28000000000000003</v>
      </c>
      <c r="E126" s="188" t="s">
        <v>76</v>
      </c>
      <c r="F126" s="201">
        <v>0.1</v>
      </c>
    </row>
    <row r="127" spans="1:6" ht="16">
      <c r="A127" s="57" t="str">
        <f>'Ratings worksheet'!A128</f>
        <v>Spain</v>
      </c>
      <c r="B127" s="58">
        <v>0.25</v>
      </c>
      <c r="E127" s="188" t="s">
        <v>0</v>
      </c>
      <c r="F127" s="201">
        <v>0.16</v>
      </c>
    </row>
    <row r="128" spans="1:6" ht="16">
      <c r="A128" s="57" t="str">
        <f>'Ratings worksheet'!A129</f>
        <v>Sri Lanka</v>
      </c>
      <c r="B128" s="58">
        <v>0.28000000000000003</v>
      </c>
      <c r="E128" s="188" t="s">
        <v>1</v>
      </c>
      <c r="F128" s="201">
        <v>0.2</v>
      </c>
    </row>
    <row r="129" spans="1:6" ht="16">
      <c r="A129" s="57" t="str">
        <f>'Ratings worksheet'!A130</f>
        <v>St. Maarten</v>
      </c>
      <c r="B129" s="58">
        <v>0.34499999999999997</v>
      </c>
      <c r="E129" s="188" t="s">
        <v>234</v>
      </c>
      <c r="F129" s="201">
        <v>0.3</v>
      </c>
    </row>
    <row r="130" spans="1:6" ht="16">
      <c r="A130" s="57" t="str">
        <f>'Ratings worksheet'!A131</f>
        <v>St. Vincent &amp; the Grenadines</v>
      </c>
      <c r="B130" s="102">
        <v>0.27979999999999999</v>
      </c>
      <c r="E130" s="188" t="s">
        <v>577</v>
      </c>
      <c r="F130" s="201">
        <v>0.33</v>
      </c>
    </row>
    <row r="131" spans="1:6" ht="16">
      <c r="A131" s="57" t="str">
        <f>'Ratings worksheet'!A132</f>
        <v>Suriname</v>
      </c>
      <c r="B131" s="103">
        <v>0.36</v>
      </c>
      <c r="E131" s="188" t="s">
        <v>578</v>
      </c>
      <c r="F131" s="201">
        <v>0.3</v>
      </c>
    </row>
    <row r="132" spans="1:6" ht="16">
      <c r="A132" s="57" t="s">
        <v>443</v>
      </c>
      <c r="B132" s="103">
        <v>0.27500000000000002</v>
      </c>
      <c r="E132" s="188" t="s">
        <v>579</v>
      </c>
      <c r="F132" s="201">
        <v>0.32500000000000001</v>
      </c>
    </row>
    <row r="133" spans="1:6" ht="16">
      <c r="A133" s="57" t="str">
        <f>'Ratings worksheet'!A134</f>
        <v>Sweden</v>
      </c>
      <c r="B133" s="58">
        <v>0.22</v>
      </c>
      <c r="E133" s="188" t="s">
        <v>461</v>
      </c>
      <c r="F133" s="201">
        <v>0.27</v>
      </c>
    </row>
    <row r="134" spans="1:6" ht="16">
      <c r="A134" s="57" t="str">
        <f>'Ratings worksheet'!A135</f>
        <v>Switzerland</v>
      </c>
      <c r="B134" s="58">
        <v>0.1777</v>
      </c>
      <c r="E134" s="188" t="s">
        <v>2</v>
      </c>
      <c r="F134" s="201">
        <v>0.2</v>
      </c>
    </row>
    <row r="135" spans="1:6" ht="16">
      <c r="A135" s="57" t="str">
        <f>'Ratings worksheet'!A136</f>
        <v>Taiwan</v>
      </c>
      <c r="B135" s="58">
        <v>0.17</v>
      </c>
      <c r="E135" s="188" t="s">
        <v>137</v>
      </c>
      <c r="F135" s="201">
        <v>0.3</v>
      </c>
    </row>
    <row r="136" spans="1:6" ht="16">
      <c r="A136" s="57" t="s">
        <v>440</v>
      </c>
      <c r="B136" s="58">
        <v>0</v>
      </c>
      <c r="E136" s="188" t="s">
        <v>149</v>
      </c>
      <c r="F136" s="201">
        <v>0.15</v>
      </c>
    </row>
    <row r="137" spans="1:6" ht="16">
      <c r="A137" s="57" t="str">
        <f>'Ratings worksheet'!A139</f>
        <v>Thailand</v>
      </c>
      <c r="B137" s="58">
        <v>0.2</v>
      </c>
      <c r="E137" s="188" t="s">
        <v>339</v>
      </c>
      <c r="F137" s="201">
        <v>0.3</v>
      </c>
    </row>
    <row r="138" spans="1:6" ht="16">
      <c r="A138" s="57" t="str">
        <f>'Ratings worksheet'!A140</f>
        <v>Trinidad and Tobago</v>
      </c>
      <c r="B138" s="58">
        <v>0.25</v>
      </c>
      <c r="E138" s="188" t="s">
        <v>3</v>
      </c>
      <c r="F138" s="201">
        <v>0.17</v>
      </c>
    </row>
    <row r="139" spans="1:6" ht="16">
      <c r="A139" s="57" t="str">
        <f>'Ratings worksheet'!A141</f>
        <v>Tunisia</v>
      </c>
      <c r="B139" s="58">
        <v>0.25</v>
      </c>
      <c r="E139" s="188" t="s">
        <v>481</v>
      </c>
      <c r="F139" s="201">
        <v>0.34499999999999997</v>
      </c>
    </row>
    <row r="140" spans="1:6" ht="16">
      <c r="A140" s="57" t="str">
        <f>'Ratings worksheet'!A142</f>
        <v>Turkey</v>
      </c>
      <c r="B140" s="58">
        <v>0.2</v>
      </c>
      <c r="E140" s="188" t="s">
        <v>62</v>
      </c>
      <c r="F140" s="201">
        <v>0.21</v>
      </c>
    </row>
    <row r="141" spans="1:6" ht="16">
      <c r="A141" s="57" t="str">
        <f>'Ratings worksheet'!A143</f>
        <v>Turks and Caicos Islands</v>
      </c>
      <c r="B141" s="102">
        <v>0</v>
      </c>
      <c r="E141" s="188" t="s">
        <v>196</v>
      </c>
      <c r="F141" s="201">
        <v>0.19</v>
      </c>
    </row>
    <row r="142" spans="1:6" ht="16">
      <c r="A142" s="57" t="str">
        <f>'Ratings worksheet'!A144</f>
        <v>Uganda</v>
      </c>
      <c r="B142" s="58">
        <v>0.3</v>
      </c>
      <c r="E142" s="188" t="s">
        <v>457</v>
      </c>
      <c r="F142" s="201">
        <v>0.3</v>
      </c>
    </row>
    <row r="143" spans="1:6" ht="16">
      <c r="A143" s="57" t="str">
        <f>'Ratings worksheet'!A145</f>
        <v>Ukraine</v>
      </c>
      <c r="B143" s="58">
        <v>0.18</v>
      </c>
      <c r="E143" s="188" t="s">
        <v>78</v>
      </c>
      <c r="F143" s="201">
        <v>0.28000000000000003</v>
      </c>
    </row>
    <row r="144" spans="1:6" ht="16">
      <c r="A144" s="57" t="str">
        <f>'Ratings worksheet'!A146</f>
        <v>United Arab Emirates</v>
      </c>
      <c r="B144" s="58">
        <v>0.55000000000000004</v>
      </c>
      <c r="E144" s="188" t="s">
        <v>140</v>
      </c>
      <c r="F144" s="201">
        <v>0.25</v>
      </c>
    </row>
    <row r="145" spans="1:6" ht="16">
      <c r="A145" s="57" t="str">
        <f>'Ratings worksheet'!A147</f>
        <v>United Kingdom</v>
      </c>
      <c r="B145" s="58">
        <v>0.2</v>
      </c>
      <c r="E145" s="188" t="s">
        <v>136</v>
      </c>
      <c r="F145" s="201">
        <v>0.28000000000000003</v>
      </c>
    </row>
    <row r="146" spans="1:6" ht="16">
      <c r="A146" s="57" t="str">
        <f>'Ratings worksheet'!A148</f>
        <v>United States</v>
      </c>
      <c r="B146" s="58">
        <v>0.21</v>
      </c>
      <c r="E146" s="188" t="s">
        <v>482</v>
      </c>
      <c r="F146" s="201">
        <v>0.34499999999999997</v>
      </c>
    </row>
    <row r="147" spans="1:6" ht="16">
      <c r="A147" s="57" t="str">
        <f>'Ratings worksheet'!A149</f>
        <v>Uruguay</v>
      </c>
      <c r="B147" s="58">
        <v>0.25</v>
      </c>
      <c r="E147" s="188" t="s">
        <v>329</v>
      </c>
      <c r="F147" s="201">
        <v>0.35</v>
      </c>
    </row>
    <row r="148" spans="1:6" ht="16">
      <c r="A148" s="57" t="str">
        <f>'Ratings worksheet'!A150</f>
        <v>Venezuela</v>
      </c>
      <c r="B148" s="58">
        <v>0.34</v>
      </c>
      <c r="E148" s="188" t="s">
        <v>33</v>
      </c>
      <c r="F148" s="201">
        <v>0.36</v>
      </c>
    </row>
    <row r="149" spans="1:6" ht="16">
      <c r="A149" s="57" t="str">
        <f>'Ratings worksheet'!A151</f>
        <v>Vietnam</v>
      </c>
      <c r="B149" s="58">
        <v>0.2</v>
      </c>
      <c r="E149" s="188" t="s">
        <v>443</v>
      </c>
      <c r="F149" s="201">
        <v>0.27500000000000002</v>
      </c>
    </row>
    <row r="150" spans="1:6" ht="16">
      <c r="A150" t="s">
        <v>198</v>
      </c>
      <c r="B150" s="58">
        <v>0.35</v>
      </c>
      <c r="E150" s="188" t="s">
        <v>34</v>
      </c>
      <c r="F150" s="201">
        <v>0.22</v>
      </c>
    </row>
    <row r="151" spans="1:6" ht="16">
      <c r="E151" s="188" t="s">
        <v>35</v>
      </c>
      <c r="F151" s="201">
        <v>0.1777</v>
      </c>
    </row>
    <row r="152" spans="1:6" ht="16">
      <c r="E152" s="188" t="s">
        <v>326</v>
      </c>
      <c r="F152" s="201">
        <v>0.28000000000000003</v>
      </c>
    </row>
    <row r="153" spans="1:6" ht="16">
      <c r="E153" s="188" t="s">
        <v>65</v>
      </c>
      <c r="F153" s="201">
        <v>0.17</v>
      </c>
    </row>
    <row r="154" spans="1:6" ht="16">
      <c r="E154" s="188" t="s">
        <v>342</v>
      </c>
      <c r="F154" s="201">
        <v>0.3</v>
      </c>
    </row>
    <row r="155" spans="1:6" ht="16">
      <c r="E155" s="188" t="s">
        <v>66</v>
      </c>
      <c r="F155" s="201">
        <v>0.2</v>
      </c>
    </row>
    <row r="156" spans="1:6" ht="16">
      <c r="E156" s="188" t="s">
        <v>11</v>
      </c>
      <c r="F156" s="201">
        <v>0.25</v>
      </c>
    </row>
    <row r="157" spans="1:6" ht="16">
      <c r="E157" s="188" t="s">
        <v>79</v>
      </c>
      <c r="F157" s="201">
        <v>0.25</v>
      </c>
    </row>
    <row r="158" spans="1:6" ht="16">
      <c r="E158" s="188" t="s">
        <v>67</v>
      </c>
      <c r="F158" s="201">
        <v>0.2</v>
      </c>
    </row>
    <row r="159" spans="1:6" ht="16">
      <c r="E159" s="188" t="s">
        <v>68</v>
      </c>
      <c r="F159" s="201">
        <v>0.2</v>
      </c>
    </row>
    <row r="160" spans="1:6" ht="16">
      <c r="E160" s="188" t="s">
        <v>301</v>
      </c>
      <c r="F160" s="201">
        <v>0</v>
      </c>
    </row>
    <row r="161" spans="5:6" ht="16">
      <c r="E161" s="188" t="s">
        <v>235</v>
      </c>
      <c r="F161" s="201">
        <v>0.3</v>
      </c>
    </row>
    <row r="162" spans="5:6" ht="16">
      <c r="E162" s="188" t="s">
        <v>69</v>
      </c>
      <c r="F162" s="201">
        <v>0.18</v>
      </c>
    </row>
    <row r="163" spans="5:6" ht="16">
      <c r="E163" s="188" t="s">
        <v>61</v>
      </c>
      <c r="F163" s="201">
        <v>0.55000000000000004</v>
      </c>
    </row>
    <row r="164" spans="5:6" ht="16">
      <c r="E164" s="188" t="s">
        <v>58</v>
      </c>
      <c r="F164" s="201">
        <v>0.19</v>
      </c>
    </row>
    <row r="165" spans="5:6" ht="16">
      <c r="E165" s="188" t="s">
        <v>366</v>
      </c>
      <c r="F165" s="201">
        <v>0.24</v>
      </c>
    </row>
    <row r="166" spans="5:6" ht="16">
      <c r="E166" s="188" t="s">
        <v>70</v>
      </c>
      <c r="F166" s="201">
        <v>0.25</v>
      </c>
    </row>
    <row r="167" spans="5:6" ht="16">
      <c r="E167" s="188" t="s">
        <v>425</v>
      </c>
      <c r="F167" s="201">
        <v>7.4999999999999997E-2</v>
      </c>
    </row>
    <row r="168" spans="5:6" ht="16">
      <c r="E168" s="188" t="s">
        <v>462</v>
      </c>
      <c r="F168" s="201">
        <v>0</v>
      </c>
    </row>
    <row r="169" spans="5:6" ht="16">
      <c r="E169" s="188" t="s">
        <v>71</v>
      </c>
      <c r="F169" s="201">
        <v>0.34</v>
      </c>
    </row>
    <row r="170" spans="5:6" ht="16">
      <c r="E170" s="188" t="s">
        <v>72</v>
      </c>
      <c r="F170" s="201">
        <v>0.2</v>
      </c>
    </row>
    <row r="171" spans="5:6" ht="16">
      <c r="E171" s="188" t="s">
        <v>483</v>
      </c>
      <c r="F171" s="201">
        <v>0.2</v>
      </c>
    </row>
    <row r="172" spans="5:6" ht="16">
      <c r="E172" s="188" t="s">
        <v>198</v>
      </c>
      <c r="F172" s="201">
        <v>0.35</v>
      </c>
    </row>
    <row r="173" spans="5:6" ht="16">
      <c r="E173" s="188" t="s">
        <v>330</v>
      </c>
      <c r="F173" s="201">
        <v>0.25</v>
      </c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3"/>
  <sheetViews>
    <sheetView workbookViewId="0">
      <selection activeCell="B14" sqref="B14"/>
    </sheetView>
  </sheetViews>
  <sheetFormatPr baseColWidth="10" defaultRowHeight="16"/>
  <cols>
    <col min="1" max="1" width="26.83203125" style="118" bestFit="1" customWidth="1"/>
    <col min="2" max="2" width="14.33203125" style="51" customWidth="1"/>
    <col min="3" max="4" width="22.1640625" style="23" customWidth="1"/>
    <col min="5" max="6" width="20.83203125" style="32" customWidth="1"/>
    <col min="7" max="7" width="20.83203125" style="59" customWidth="1"/>
    <col min="25" max="25" width="22.6640625" customWidth="1"/>
  </cols>
  <sheetData>
    <row r="1" spans="1:13">
      <c r="A1" s="134" t="s">
        <v>77</v>
      </c>
      <c r="B1" s="134" t="s">
        <v>359</v>
      </c>
      <c r="C1" s="134" t="s">
        <v>142</v>
      </c>
      <c r="D1" s="134" t="s">
        <v>141</v>
      </c>
      <c r="E1" s="94" t="s">
        <v>360</v>
      </c>
      <c r="F1" s="94" t="s">
        <v>367</v>
      </c>
      <c r="G1" s="94" t="s">
        <v>403</v>
      </c>
      <c r="H1" s="126"/>
      <c r="I1" s="226" t="s">
        <v>359</v>
      </c>
      <c r="J1" s="226"/>
      <c r="K1" s="17"/>
    </row>
    <row r="2" spans="1:13">
      <c r="A2" s="57" t="s">
        <v>280</v>
      </c>
      <c r="B2" s="131"/>
      <c r="C2" s="135">
        <f>'ERPs by country'!E8</f>
        <v>6.0710297204997758E-2</v>
      </c>
      <c r="D2" s="27">
        <f>'ERPs by country'!D8</f>
        <v>5.7377328840633162E-3</v>
      </c>
      <c r="E2" s="27">
        <f>C2</f>
        <v>6.0710297204997758E-2</v>
      </c>
      <c r="F2" s="75">
        <f>'Country Tax Rates'!B2</f>
        <v>0</v>
      </c>
      <c r="G2" s="75">
        <f>E2-'ERPs by country'!$E$3</f>
        <v>7.0102972049977605E-3</v>
      </c>
      <c r="I2" s="17" t="s">
        <v>357</v>
      </c>
      <c r="J2" s="17" t="s">
        <v>358</v>
      </c>
      <c r="K2" s="17" t="s">
        <v>322</v>
      </c>
      <c r="L2" s="163" t="s">
        <v>403</v>
      </c>
    </row>
    <row r="3" spans="1:13" ht="16" customHeight="1">
      <c r="A3" s="57" t="s">
        <v>4</v>
      </c>
      <c r="B3" s="132">
        <v>71.8</v>
      </c>
      <c r="C3" s="135">
        <f>'ERPs by country'!E9</f>
        <v>0.11730251464170696</v>
      </c>
      <c r="D3" s="27">
        <f>'ERPs by country'!D9</f>
        <v>5.2056885620865363E-2</v>
      </c>
      <c r="E3" s="27">
        <f t="shared" ref="E3:E66" si="0">C3</f>
        <v>0.11730251464170696</v>
      </c>
      <c r="F3" s="75">
        <f>'Country Tax Rates'!B3</f>
        <v>0.15</v>
      </c>
      <c r="G3" s="75">
        <f>E3-'ERPs by country'!$E$3</f>
        <v>6.3602514641706964E-2</v>
      </c>
      <c r="H3" s="96"/>
      <c r="I3" s="17">
        <v>0</v>
      </c>
      <c r="J3" s="136">
        <v>50</v>
      </c>
      <c r="K3" s="128">
        <f>$K$18+L3*'Relative Equity Volatility'!$B$4</f>
        <v>0.27362196611390255</v>
      </c>
      <c r="L3" s="58">
        <v>0.18</v>
      </c>
      <c r="M3" t="s">
        <v>501</v>
      </c>
    </row>
    <row r="4" spans="1:13">
      <c r="A4" s="57" t="s">
        <v>295</v>
      </c>
      <c r="B4" s="132"/>
      <c r="C4" s="135">
        <f>'ERPs by country'!E10</f>
        <v>8.0594049277355057E-2</v>
      </c>
      <c r="D4" s="27">
        <f>'ERPs by country'!D10</f>
        <v>2.201202979158836E-2</v>
      </c>
      <c r="E4" s="27">
        <f t="shared" si="0"/>
        <v>8.0594049277355057E-2</v>
      </c>
      <c r="F4" s="75">
        <f>'Country Tax Rates'!B4</f>
        <v>0</v>
      </c>
      <c r="G4" s="75">
        <f>E4-'ERPs by country'!$E$3</f>
        <v>2.6894049277355059E-2</v>
      </c>
      <c r="H4" s="96"/>
      <c r="I4" s="136">
        <v>50.000999999999998</v>
      </c>
      <c r="J4" s="136">
        <v>55</v>
      </c>
      <c r="K4" s="128">
        <f>$K$18+L4*'Relative Equity Volatility'!$B$4</f>
        <v>0.22322173241176405</v>
      </c>
      <c r="L4" s="58">
        <f>J40/10000</f>
        <v>0.13874881337825837</v>
      </c>
      <c r="M4" s="26" t="s">
        <v>500</v>
      </c>
    </row>
    <row r="5" spans="1:13">
      <c r="A5" s="57" t="s">
        <v>133</v>
      </c>
      <c r="B5" s="132">
        <v>55.5</v>
      </c>
      <c r="C5" s="135">
        <f>'ERPs by country'!E11</f>
        <v>0.14559862336006157</v>
      </c>
      <c r="D5" s="27">
        <f>'ERPs by country'!D11</f>
        <v>7.5216461989266389E-2</v>
      </c>
      <c r="E5" s="27">
        <f t="shared" si="0"/>
        <v>0.14559862336006157</v>
      </c>
      <c r="F5" s="75">
        <f>'Country Tax Rates'!B5</f>
        <v>0.3</v>
      </c>
      <c r="G5" s="75">
        <f>E5-'ERPs by country'!$E$3</f>
        <v>9.1898623360061577E-2</v>
      </c>
      <c r="H5" s="96"/>
      <c r="I5" s="136">
        <v>55.000999999999998</v>
      </c>
      <c r="J5" s="136">
        <v>57</v>
      </c>
      <c r="K5" s="128">
        <f>$K$18+L5*'Relative Equity Volatility'!$B$4</f>
        <v>0.19492562369340946</v>
      </c>
      <c r="L5" s="58">
        <f>J39/10000</f>
        <v>0.11558923700985736</v>
      </c>
      <c r="M5" t="s">
        <v>63</v>
      </c>
    </row>
    <row r="6" spans="1:13">
      <c r="A6" s="57" t="s">
        <v>86</v>
      </c>
      <c r="B6" s="132">
        <v>63.5</v>
      </c>
      <c r="C6" s="135">
        <f>'ERPs by country'!E12</f>
        <v>0.13145056900088425</v>
      </c>
      <c r="D6" s="27">
        <f>'ERPs by country'!D12</f>
        <v>6.3636673805065866E-2</v>
      </c>
      <c r="E6" s="27">
        <f t="shared" si="0"/>
        <v>0.13145056900088425</v>
      </c>
      <c r="F6" s="75">
        <f>'Country Tax Rates'!B6</f>
        <v>0.35</v>
      </c>
      <c r="G6" s="75">
        <f>E6-'ERPs by country'!$E$3</f>
        <v>7.7750569000884256E-2</v>
      </c>
      <c r="H6" s="96"/>
      <c r="I6" s="136">
        <v>57.000999999999998</v>
      </c>
      <c r="J6" s="136">
        <v>60</v>
      </c>
      <c r="K6" s="128">
        <f>$K$18+L6*'Relative Equity Volatility'!$B$4</f>
        <v>0.18090502928341393</v>
      </c>
      <c r="L6" s="58">
        <f>J38/10000</f>
        <v>0.10411377124173073</v>
      </c>
      <c r="M6" t="s">
        <v>59</v>
      </c>
    </row>
    <row r="7" spans="1:13">
      <c r="A7" s="57" t="s">
        <v>19</v>
      </c>
      <c r="B7" s="132">
        <v>65.3</v>
      </c>
      <c r="C7" s="135">
        <f>'ERPs by country'!E13</f>
        <v>0.11730251464170696</v>
      </c>
      <c r="D7" s="27">
        <f>'ERPs by country'!D13</f>
        <v>5.2056885620865363E-2</v>
      </c>
      <c r="E7" s="27">
        <f t="shared" si="0"/>
        <v>0.11730251464170696</v>
      </c>
      <c r="F7" s="75">
        <f>'Country Tax Rates'!B7</f>
        <v>0.2</v>
      </c>
      <c r="G7" s="75">
        <f>E7-'ERPs by country'!$E$3</f>
        <v>6.3602514641706964E-2</v>
      </c>
      <c r="H7" s="96"/>
      <c r="I7" s="136">
        <v>60.000999999999998</v>
      </c>
      <c r="J7" s="136">
        <v>62</v>
      </c>
      <c r="K7" s="128">
        <f>$K$18+L7*'Relative Equity Volatility'!$B$4</f>
        <v>0.15961921777005708</v>
      </c>
      <c r="L7" s="58">
        <f>J37/10000</f>
        <v>8.6691927757393011E-2</v>
      </c>
      <c r="M7" t="s">
        <v>102</v>
      </c>
    </row>
    <row r="8" spans="1:13">
      <c r="A8" s="57" t="s">
        <v>208</v>
      </c>
      <c r="B8" s="132"/>
      <c r="C8" s="135">
        <f>'ERPs by country'!E14</f>
        <v>7.6260411005174611E-2</v>
      </c>
      <c r="D8" s="27">
        <f>'ERPs by country'!D14</f>
        <v>1.846506764507649E-2</v>
      </c>
      <c r="E8" s="27">
        <f t="shared" si="0"/>
        <v>7.6260411005174611E-2</v>
      </c>
      <c r="F8" s="75">
        <f>'Country Tax Rates'!B8</f>
        <v>0</v>
      </c>
      <c r="G8" s="75">
        <f>E8-'ERPs by country'!$E$3</f>
        <v>2.2560411005174613E-2</v>
      </c>
      <c r="H8" s="96"/>
      <c r="I8" s="136">
        <v>62.000999999999998</v>
      </c>
      <c r="J8" s="136">
        <v>64</v>
      </c>
      <c r="K8" s="128">
        <f>$K$18+L8*'Relative Equity Volatility'!$B$4</f>
        <v>0.14559862336006157</v>
      </c>
      <c r="L8" s="58">
        <f>J36/10000</f>
        <v>7.5216461989266389E-2</v>
      </c>
      <c r="M8" t="s">
        <v>80</v>
      </c>
    </row>
    <row r="9" spans="1:13">
      <c r="A9" s="57" t="s">
        <v>87</v>
      </c>
      <c r="B9" s="132">
        <v>78</v>
      </c>
      <c r="C9" s="135">
        <f>'ERPs by country'!E15</f>
        <v>5.3699999999999998E-2</v>
      </c>
      <c r="D9" s="27">
        <f>'ERPs by country'!D15</f>
        <v>0</v>
      </c>
      <c r="E9" s="27">
        <f t="shared" si="0"/>
        <v>5.3699999999999998E-2</v>
      </c>
      <c r="F9" s="75">
        <f>'Country Tax Rates'!B9</f>
        <v>0.3</v>
      </c>
      <c r="G9" s="75">
        <f>E9-'ERPs by country'!$E$3</f>
        <v>0</v>
      </c>
      <c r="H9" s="96"/>
      <c r="I9" s="136">
        <v>64.001000000000005</v>
      </c>
      <c r="J9" s="136">
        <v>66</v>
      </c>
      <c r="K9" s="128">
        <f>$K$18+L9*'Relative Equity Volatility'!$B$4</f>
        <v>0.13145056900088425</v>
      </c>
      <c r="L9" s="58">
        <f>J35/10000</f>
        <v>6.3636673805065866E-2</v>
      </c>
      <c r="M9" t="s">
        <v>50</v>
      </c>
    </row>
    <row r="10" spans="1:13">
      <c r="A10" s="57" t="s">
        <v>182</v>
      </c>
      <c r="B10" s="132">
        <v>81</v>
      </c>
      <c r="C10" s="135">
        <f>'ERPs by country'!E16</f>
        <v>5.9308237763998205E-2</v>
      </c>
      <c r="D10" s="27">
        <f>'ERPs by country'!D16</f>
        <v>4.5901863072506524E-3</v>
      </c>
      <c r="E10" s="27">
        <f t="shared" si="0"/>
        <v>5.9308237763998205E-2</v>
      </c>
      <c r="F10" s="75">
        <f>'Country Tax Rates'!B10</f>
        <v>0.25</v>
      </c>
      <c r="G10" s="75">
        <f>E10-'ERPs by country'!$E$3</f>
        <v>5.608237763998207E-3</v>
      </c>
      <c r="H10" s="96"/>
      <c r="I10" s="136">
        <v>66.001000000000005</v>
      </c>
      <c r="J10" s="136">
        <v>68</v>
      </c>
      <c r="K10" s="128">
        <f>$K$18+L10*'Relative Equity Volatility'!$B$4</f>
        <v>0.11730251464170696</v>
      </c>
      <c r="L10" s="58">
        <f>J34/10000</f>
        <v>5.2056885620865363E-2</v>
      </c>
      <c r="M10" t="s">
        <v>49</v>
      </c>
    </row>
    <row r="11" spans="1:13">
      <c r="A11" s="57" t="s">
        <v>20</v>
      </c>
      <c r="B11" s="132">
        <v>69</v>
      </c>
      <c r="C11" s="135">
        <f>'ERPs by country'!E17</f>
        <v>9.6144163077531902E-2</v>
      </c>
      <c r="D11" s="27">
        <f>'ERPs by country'!D17</f>
        <v>3.4739364552601529E-2</v>
      </c>
      <c r="E11" s="27">
        <f t="shared" si="0"/>
        <v>9.6144163077531902E-2</v>
      </c>
      <c r="F11" s="75">
        <f>'Country Tax Rates'!B11</f>
        <v>0.2</v>
      </c>
      <c r="G11" s="75">
        <f>E11-'ERPs by country'!$E$3</f>
        <v>4.2444163077531905E-2</v>
      </c>
      <c r="H11" s="96"/>
      <c r="I11" s="136">
        <v>68.001000000000005</v>
      </c>
      <c r="J11" s="136">
        <v>69</v>
      </c>
      <c r="K11" s="128">
        <f>$K$18+L11*'Relative Equity Volatility'!$B$4</f>
        <v>0.10455651972352922</v>
      </c>
      <c r="L11" s="58">
        <f>J33/10000</f>
        <v>4.1624644013477513E-2</v>
      </c>
      <c r="M11" t="s">
        <v>83</v>
      </c>
    </row>
    <row r="12" spans="1:13">
      <c r="A12" s="57" t="s">
        <v>88</v>
      </c>
      <c r="B12" s="132">
        <v>76.3</v>
      </c>
      <c r="C12" s="135">
        <f>'ERPs by country'!E18</f>
        <v>8.4800227600353703E-2</v>
      </c>
      <c r="D12" s="27">
        <f>'ERPs by country'!D18</f>
        <v>2.5454669522026348E-2</v>
      </c>
      <c r="E12" s="27">
        <f t="shared" si="0"/>
        <v>8.4800227600353703E-2</v>
      </c>
      <c r="F12" s="75">
        <f>'Country Tax Rates'!B12</f>
        <v>0</v>
      </c>
      <c r="G12" s="75">
        <f>E12-'ERPs by country'!$E$3</f>
        <v>3.1100227600353705E-2</v>
      </c>
      <c r="H12" s="96"/>
      <c r="I12" s="136">
        <v>69.001000000000005</v>
      </c>
      <c r="J12" s="136">
        <v>72</v>
      </c>
      <c r="K12" s="128">
        <f>$K$18+L12*'Relative Equity Volatility'!$B$4</f>
        <v>9.6144163077531902E-2</v>
      </c>
      <c r="L12" s="58">
        <f>J32/10000</f>
        <v>3.4739364552601529E-2</v>
      </c>
      <c r="M12" t="s">
        <v>82</v>
      </c>
    </row>
    <row r="13" spans="1:13">
      <c r="A13" s="57" t="s">
        <v>89</v>
      </c>
      <c r="B13" s="132">
        <v>66.8</v>
      </c>
      <c r="C13" s="135">
        <f>'ERPs by country'!E19</f>
        <v>0.11730251464170696</v>
      </c>
      <c r="D13" s="27">
        <f>'ERPs by country'!D19</f>
        <v>5.2056885620865363E-2</v>
      </c>
      <c r="E13" s="27">
        <f t="shared" si="0"/>
        <v>0.11730251464170696</v>
      </c>
      <c r="F13" s="75">
        <f>'Country Tax Rates'!B13</f>
        <v>0</v>
      </c>
      <c r="G13" s="75">
        <f>E13-'ERPs by country'!$E$3</f>
        <v>6.3602514641706964E-2</v>
      </c>
      <c r="H13" s="96"/>
      <c r="I13" s="136">
        <v>72.001000000000005</v>
      </c>
      <c r="J13" s="136">
        <v>74</v>
      </c>
      <c r="K13" s="128">
        <f>$K$18+L13*'Relative Equity Volatility'!$B$4</f>
        <v>8.0594049277355057E-2</v>
      </c>
      <c r="L13" s="58">
        <f>J29/10000</f>
        <v>2.201202979158836E-2</v>
      </c>
      <c r="M13" t="s">
        <v>85</v>
      </c>
    </row>
    <row r="14" spans="1:13">
      <c r="A14" s="57" t="s">
        <v>134</v>
      </c>
      <c r="B14" s="132">
        <v>64.8</v>
      </c>
      <c r="C14" s="135">
        <f>'ERPs by country'!E20</f>
        <v>0.10455651972352922</v>
      </c>
      <c r="D14" s="27">
        <f>'ERPs by country'!D20</f>
        <v>4.1624644013477513E-2</v>
      </c>
      <c r="E14" s="27">
        <f t="shared" si="0"/>
        <v>0.10455651972352922</v>
      </c>
      <c r="F14" s="75">
        <f>'Country Tax Rates'!B14</f>
        <v>0.25</v>
      </c>
      <c r="G14" s="75">
        <f>E14-'ERPs by country'!$E$3</f>
        <v>5.0856519723529225E-2</v>
      </c>
      <c r="H14" s="96"/>
      <c r="I14" s="136">
        <v>74.001000000000005</v>
      </c>
      <c r="J14" s="136">
        <v>76</v>
      </c>
      <c r="K14" s="128">
        <f>$K$18+L14*'Relative Equity Volatility'!$B$4</f>
        <v>7.6260411005174611E-2</v>
      </c>
      <c r="L14" s="58">
        <f>J28/10000</f>
        <v>1.846506764507649E-2</v>
      </c>
      <c r="M14" t="s">
        <v>84</v>
      </c>
    </row>
    <row r="15" spans="1:13">
      <c r="A15" s="57" t="s">
        <v>90</v>
      </c>
      <c r="B15" s="132"/>
      <c r="C15" s="135">
        <f>'ERPs by country'!E21</f>
        <v>0.19492562369340946</v>
      </c>
      <c r="D15" s="27">
        <f>'ERPs by country'!D21</f>
        <v>0.11558923700985736</v>
      </c>
      <c r="E15" s="27">
        <f t="shared" si="0"/>
        <v>0.19492562369340946</v>
      </c>
      <c r="F15" s="75">
        <f>'Country Tax Rates'!B15</f>
        <v>0.25</v>
      </c>
      <c r="G15" s="75">
        <f>E15-'ERPs by country'!$E$3</f>
        <v>0.14122562369340946</v>
      </c>
      <c r="H15" s="96"/>
      <c r="I15" s="136">
        <v>76.001000000000005</v>
      </c>
      <c r="J15" s="136">
        <v>80</v>
      </c>
      <c r="K15" s="128">
        <f>$K$18+L15*'Relative Equity Volatility'!$B$4</f>
        <v>6.5681235223087081E-2</v>
      </c>
      <c r="L15" s="58">
        <f>J26/10000</f>
        <v>9.8063071109445767E-3</v>
      </c>
      <c r="M15" t="s">
        <v>43</v>
      </c>
    </row>
    <row r="16" spans="1:13">
      <c r="A16" s="57" t="s">
        <v>5</v>
      </c>
      <c r="B16" s="132">
        <v>66.3</v>
      </c>
      <c r="C16" s="135">
        <f>'ERPs by country'!E22</f>
        <v>0.14559862336006157</v>
      </c>
      <c r="D16" s="27">
        <f>'ERPs by country'!D22</f>
        <v>7.5216461989266389E-2</v>
      </c>
      <c r="E16" s="27">
        <f t="shared" si="0"/>
        <v>0.14559862336006157</v>
      </c>
      <c r="F16" s="75">
        <f>'Country Tax Rates'!B16</f>
        <v>0.18</v>
      </c>
      <c r="G16" s="75">
        <f>E16-'ERPs by country'!$E$3</f>
        <v>9.1898623360061577E-2</v>
      </c>
      <c r="H16" s="96"/>
      <c r="I16" s="136">
        <v>80.001000000000005</v>
      </c>
      <c r="J16" s="136">
        <v>82.5</v>
      </c>
      <c r="K16" s="128">
        <f>$K$18+L16*'Relative Equity Volatility'!$B$4</f>
        <v>6.3641876036178643E-2</v>
      </c>
      <c r="L16" s="58">
        <f>J25/10000</f>
        <v>8.1371484537625226E-3</v>
      </c>
      <c r="M16" t="s">
        <v>47</v>
      </c>
    </row>
    <row r="17" spans="1:13">
      <c r="A17" s="57" t="s">
        <v>183</v>
      </c>
      <c r="B17" s="132">
        <v>77.5</v>
      </c>
      <c r="C17" s="135">
        <f>'ERPs by country'!E23</f>
        <v>6.223981659517909E-2</v>
      </c>
      <c r="D17" s="27">
        <f>'ERPs by country'!D23</f>
        <v>6.9896018769498571E-3</v>
      </c>
      <c r="E17" s="27">
        <f t="shared" si="0"/>
        <v>6.223981659517909E-2</v>
      </c>
      <c r="F17" s="75">
        <f>'Country Tax Rates'!B17</f>
        <v>0.33989999999999998</v>
      </c>
      <c r="G17" s="75">
        <f>E17-'ERPs by country'!$E$3</f>
        <v>8.5398165951790922E-3</v>
      </c>
      <c r="H17" s="96"/>
      <c r="I17" s="136">
        <v>82.501000000000005</v>
      </c>
      <c r="J17" s="136">
        <v>85</v>
      </c>
      <c r="K17" s="128">
        <f>$K$18+L17*'Relative Equity Volatility'!$B$4</f>
        <v>5.9308237763998205E-2</v>
      </c>
      <c r="L17" s="58">
        <f>J22/10000</f>
        <v>4.5901863072506524E-3</v>
      </c>
      <c r="M17" t="s">
        <v>45</v>
      </c>
    </row>
    <row r="18" spans="1:13">
      <c r="A18" s="57" t="s">
        <v>91</v>
      </c>
      <c r="B18" s="132"/>
      <c r="C18" s="135">
        <f>'ERPs by country'!E24</f>
        <v>0.14559862336006157</v>
      </c>
      <c r="D18" s="27">
        <f>'ERPs by country'!D24</f>
        <v>7.5216461989266389E-2</v>
      </c>
      <c r="E18" s="27">
        <f t="shared" si="0"/>
        <v>0.14559862336006157</v>
      </c>
      <c r="F18" s="75">
        <f>'Country Tax Rates'!B18</f>
        <v>0.28210000000000002</v>
      </c>
      <c r="G18" s="75">
        <f>E18-'ERPs by country'!$E$3</f>
        <v>9.1898623360061577E-2</v>
      </c>
      <c r="H18" s="96"/>
      <c r="I18" s="136">
        <v>85.001000000000005</v>
      </c>
      <c r="J18" s="136">
        <v>90.000100000000003</v>
      </c>
      <c r="K18" s="128">
        <f>'ERPs by country'!E3</f>
        <v>5.3699999999999998E-2</v>
      </c>
      <c r="L18" s="58">
        <f>K18/10000</f>
        <v>5.3699999999999994E-6</v>
      </c>
      <c r="M18" t="s">
        <v>48</v>
      </c>
    </row>
    <row r="19" spans="1:13">
      <c r="A19" s="57" t="s">
        <v>92</v>
      </c>
      <c r="B19" s="132"/>
      <c r="C19" s="135">
        <f>'ERPs by country'!E25</f>
        <v>6.5681235223087081E-2</v>
      </c>
      <c r="D19" s="27">
        <f>'ERPs by country'!D25</f>
        <v>9.8063071109445767E-3</v>
      </c>
      <c r="E19" s="27">
        <f t="shared" si="0"/>
        <v>6.5681235223087081E-2</v>
      </c>
      <c r="F19" s="75">
        <f>'Country Tax Rates'!B19</f>
        <v>0</v>
      </c>
      <c r="G19" s="75">
        <f>E19-'ERPs by country'!$E$3</f>
        <v>1.1981235223087083E-2</v>
      </c>
      <c r="H19" s="96"/>
    </row>
    <row r="20" spans="1:13">
      <c r="A20" s="57" t="s">
        <v>93</v>
      </c>
      <c r="B20" s="132">
        <v>66</v>
      </c>
      <c r="C20" s="135">
        <f>'ERPs by country'!E26</f>
        <v>0.10455651972352922</v>
      </c>
      <c r="D20" s="27">
        <f>'ERPs by country'!D26</f>
        <v>4.1624644013477513E-2</v>
      </c>
      <c r="E20" s="27">
        <f t="shared" si="0"/>
        <v>0.10455651972352922</v>
      </c>
      <c r="F20" s="75">
        <f>'Country Tax Rates'!B20</f>
        <v>0.25</v>
      </c>
      <c r="G20" s="75">
        <f>E20-'ERPs by country'!$E$3</f>
        <v>5.0856519723529225E-2</v>
      </c>
      <c r="H20" s="96"/>
      <c r="I20" s="20" t="s">
        <v>40</v>
      </c>
      <c r="J20" s="17" t="s">
        <v>587</v>
      </c>
    </row>
    <row r="21" spans="1:13">
      <c r="A21" s="57" t="s">
        <v>7</v>
      </c>
      <c r="B21" s="132"/>
      <c r="C21" s="135">
        <f>'ERPs by country'!E27</f>
        <v>0.14559862336006157</v>
      </c>
      <c r="D21" s="27">
        <f>'ERPs by country'!D27</f>
        <v>7.5216461989266389E-2</v>
      </c>
      <c r="E21" s="27">
        <f t="shared" si="0"/>
        <v>0.14559862336006157</v>
      </c>
      <c r="F21" s="75">
        <f>'Country Tax Rates'!B21</f>
        <v>0.1</v>
      </c>
      <c r="G21" s="75">
        <f>E21-'ERPs by country'!$E$3</f>
        <v>9.1898623360061577E-2</v>
      </c>
      <c r="H21" s="96"/>
      <c r="I21" s="5" t="s">
        <v>48</v>
      </c>
      <c r="J21" s="104">
        <v>0</v>
      </c>
    </row>
    <row r="22" spans="1:13">
      <c r="A22" s="57" t="s">
        <v>125</v>
      </c>
      <c r="B22" s="132">
        <v>79.3</v>
      </c>
      <c r="C22" s="135">
        <f>'ERPs by country'!E28</f>
        <v>6.5681235223087081E-2</v>
      </c>
      <c r="D22" s="27">
        <f>'ERPs by country'!D28</f>
        <v>9.8063071109445767E-3</v>
      </c>
      <c r="E22" s="27">
        <f t="shared" si="0"/>
        <v>6.5681235223087081E-2</v>
      </c>
      <c r="F22" s="75">
        <f>'Country Tax Rates'!B22</f>
        <v>0.22</v>
      </c>
      <c r="G22" s="75">
        <f>E22-'ERPs by country'!$E$3</f>
        <v>1.1981235223087083E-2</v>
      </c>
      <c r="H22" s="96"/>
      <c r="I22" s="5" t="s">
        <v>45</v>
      </c>
      <c r="J22" s="104">
        <v>45.901863072506522</v>
      </c>
    </row>
    <row r="23" spans="1:13">
      <c r="A23" s="57" t="s">
        <v>94</v>
      </c>
      <c r="B23" s="132">
        <v>67.5</v>
      </c>
      <c r="C23" s="135">
        <f>'ERPs by country'!E29</f>
        <v>9.6144163077531902E-2</v>
      </c>
      <c r="D23" s="27">
        <f>'ERPs by country'!D29</f>
        <v>3.4739364552601529E-2</v>
      </c>
      <c r="E23" s="27">
        <f t="shared" si="0"/>
        <v>9.6144163077531902E-2</v>
      </c>
      <c r="F23" s="75">
        <f>'Country Tax Rates'!B23</f>
        <v>0.34</v>
      </c>
      <c r="G23" s="75">
        <f>E23-'ERPs by country'!$E$3</f>
        <v>4.2444163077531905E-2</v>
      </c>
      <c r="H23" s="96"/>
      <c r="I23" s="5" t="s">
        <v>46</v>
      </c>
      <c r="J23" s="104">
        <v>57.377328840633162</v>
      </c>
    </row>
    <row r="24" spans="1:13">
      <c r="A24" s="57" t="s">
        <v>96</v>
      </c>
      <c r="B24" s="132">
        <v>77</v>
      </c>
      <c r="C24" s="135">
        <f>'ERPs by country'!E30</f>
        <v>8.0594049277355057E-2</v>
      </c>
      <c r="D24" s="27">
        <f>'ERPs by country'!D30</f>
        <v>2.201202979158836E-2</v>
      </c>
      <c r="E24" s="27">
        <f t="shared" si="0"/>
        <v>8.0594049277355057E-2</v>
      </c>
      <c r="F24" s="75">
        <f>'Country Tax Rates'!B24</f>
        <v>0.1</v>
      </c>
      <c r="G24" s="75">
        <f>E24-'ERPs by country'!$E$3</f>
        <v>2.6894049277355059E-2</v>
      </c>
      <c r="H24" s="96"/>
      <c r="I24" s="5" t="s">
        <v>47</v>
      </c>
      <c r="J24" s="104">
        <v>69.896018769498568</v>
      </c>
    </row>
    <row r="25" spans="1:13">
      <c r="A25" s="57" t="s">
        <v>218</v>
      </c>
      <c r="B25" s="132">
        <v>64.8</v>
      </c>
      <c r="C25" s="135">
        <f>'ERPs by country'!E31</f>
        <v>0.13145056900088425</v>
      </c>
      <c r="D25" s="27">
        <f>'ERPs by country'!D31</f>
        <v>6.3636673805065866E-2</v>
      </c>
      <c r="E25" s="27">
        <f t="shared" si="0"/>
        <v>0.13145056900088425</v>
      </c>
      <c r="F25" s="75">
        <f>'Country Tax Rates'!B25</f>
        <v>0.27500000000000002</v>
      </c>
      <c r="G25" s="75">
        <f>E25-'ERPs by country'!$E$3</f>
        <v>7.7750569000884256E-2</v>
      </c>
      <c r="H25" s="96"/>
      <c r="I25" s="5" t="s">
        <v>42</v>
      </c>
      <c r="J25" s="104">
        <v>81.371484537625221</v>
      </c>
    </row>
    <row r="26" spans="1:13">
      <c r="A26" s="57" t="s">
        <v>6</v>
      </c>
      <c r="B26" s="132"/>
      <c r="C26" s="135">
        <f>'ERPs by country'!E32</f>
        <v>0.13145056900088425</v>
      </c>
      <c r="D26" s="27">
        <f>'ERPs by country'!D32</f>
        <v>6.3636673805065866E-2</v>
      </c>
      <c r="E26" s="27">
        <f t="shared" si="0"/>
        <v>0.13145056900088425</v>
      </c>
      <c r="F26" s="75">
        <f>'Country Tax Rates'!B26</f>
        <v>0.2</v>
      </c>
      <c r="G26" s="75">
        <f>E26-'ERPs by country'!$E$3</f>
        <v>7.7750569000884256E-2</v>
      </c>
      <c r="H26" s="96"/>
      <c r="I26" s="5" t="s">
        <v>43</v>
      </c>
      <c r="J26" s="104">
        <v>98.063071109445772</v>
      </c>
    </row>
    <row r="27" spans="1:13">
      <c r="A27" s="57" t="s">
        <v>219</v>
      </c>
      <c r="B27" s="132">
        <v>62.3</v>
      </c>
      <c r="C27" s="135">
        <f>'ERPs by country'!E33</f>
        <v>0.13145056900088425</v>
      </c>
      <c r="D27" s="27">
        <f>'ERPs by country'!D33</f>
        <v>6.3636673805065866E-2</v>
      </c>
      <c r="E27" s="27">
        <f t="shared" si="0"/>
        <v>0.13145056900088425</v>
      </c>
      <c r="F27" s="75">
        <f>'Country Tax Rates'!B27</f>
        <v>0.33</v>
      </c>
      <c r="G27" s="75">
        <f>E27-'ERPs by country'!$E$3</f>
        <v>7.7750569000884256E-2</v>
      </c>
      <c r="H27" s="96"/>
      <c r="I27" s="5" t="s">
        <v>44</v>
      </c>
      <c r="J27" s="104">
        <v>138.74881337825838</v>
      </c>
    </row>
    <row r="28" spans="1:13">
      <c r="A28" s="57" t="s">
        <v>97</v>
      </c>
      <c r="B28" s="132">
        <v>82.3</v>
      </c>
      <c r="C28" s="135">
        <f>'ERPs by country'!E34</f>
        <v>5.3699999999999998E-2</v>
      </c>
      <c r="D28" s="27">
        <f>'ERPs by country'!D34</f>
        <v>0</v>
      </c>
      <c r="E28" s="27">
        <f t="shared" si="0"/>
        <v>5.3699999999999998E-2</v>
      </c>
      <c r="F28" s="75">
        <f>'Country Tax Rates'!B28</f>
        <v>0.26500000000000001</v>
      </c>
      <c r="G28" s="75">
        <f>E28-'ERPs by country'!$E$3</f>
        <v>0</v>
      </c>
      <c r="H28" s="96"/>
      <c r="I28" s="5" t="s">
        <v>84</v>
      </c>
      <c r="J28" s="104">
        <v>184.65067645076491</v>
      </c>
    </row>
    <row r="29" spans="1:13">
      <c r="A29" s="57" t="s">
        <v>56</v>
      </c>
      <c r="B29" s="132"/>
      <c r="C29" s="135">
        <f>'ERPs by country'!E35</f>
        <v>0.13145056900088425</v>
      </c>
      <c r="D29" s="27">
        <f>'ERPs by country'!D35</f>
        <v>6.3636673805065866E-2</v>
      </c>
      <c r="E29" s="27">
        <f t="shared" si="0"/>
        <v>0.13145056900088425</v>
      </c>
      <c r="F29" s="75">
        <f>'Country Tax Rates'!B29</f>
        <v>0</v>
      </c>
      <c r="G29" s="75">
        <f>E29-'ERPs by country'!$E$3</f>
        <v>7.7750569000884256E-2</v>
      </c>
      <c r="H29" s="96"/>
      <c r="I29" s="5" t="s">
        <v>85</v>
      </c>
      <c r="J29" s="104">
        <v>220.12029791588358</v>
      </c>
    </row>
    <row r="30" spans="1:13">
      <c r="A30" s="57" t="s">
        <v>220</v>
      </c>
      <c r="B30" s="132"/>
      <c r="C30" s="135">
        <f>'ERPs by country'!E36</f>
        <v>6.223981659517909E-2</v>
      </c>
      <c r="D30" s="27">
        <f>'ERPs by country'!D36</f>
        <v>6.9896018769498571E-3</v>
      </c>
      <c r="E30" s="27">
        <f t="shared" si="0"/>
        <v>6.223981659517909E-2</v>
      </c>
      <c r="F30" s="75">
        <f>'Country Tax Rates'!B30</f>
        <v>0.28210000000000002</v>
      </c>
      <c r="G30" s="75">
        <f>E30-'ERPs by country'!$E$3</f>
        <v>8.5398165951790922E-3</v>
      </c>
      <c r="H30" s="96"/>
      <c r="I30" s="5" t="s">
        <v>126</v>
      </c>
      <c r="J30" s="104">
        <v>254.54669522026347</v>
      </c>
    </row>
    <row r="31" spans="1:13">
      <c r="A31" s="57" t="s">
        <v>98</v>
      </c>
      <c r="B31" s="132">
        <v>77.3</v>
      </c>
      <c r="C31" s="135">
        <f>'ERPs by country'!E37</f>
        <v>6.223981659517909E-2</v>
      </c>
      <c r="D31" s="27">
        <f>'ERPs by country'!D37</f>
        <v>6.9896018769498571E-3</v>
      </c>
      <c r="E31" s="27">
        <f t="shared" si="0"/>
        <v>6.223981659517909E-2</v>
      </c>
      <c r="F31" s="75">
        <f>'Country Tax Rates'!B31</f>
        <v>0.255</v>
      </c>
      <c r="G31" s="75">
        <f>E31-'ERPs by country'!$E$3</f>
        <v>8.5398165951790922E-3</v>
      </c>
      <c r="H31" s="96"/>
      <c r="I31" s="5" t="s">
        <v>81</v>
      </c>
      <c r="J31" s="104">
        <v>288.97309252464339</v>
      </c>
    </row>
    <row r="32" spans="1:13">
      <c r="A32" s="57" t="s">
        <v>99</v>
      </c>
      <c r="B32" s="132">
        <v>73.5</v>
      </c>
      <c r="C32" s="135">
        <f>'ERPs by country'!E38</f>
        <v>6.3641876036178643E-2</v>
      </c>
      <c r="D32" s="27">
        <f>'ERPs by country'!D38</f>
        <v>8.1371484537625226E-3</v>
      </c>
      <c r="E32" s="27">
        <f t="shared" si="0"/>
        <v>6.3641876036178643E-2</v>
      </c>
      <c r="F32" s="75">
        <f>'Country Tax Rates'!B32</f>
        <v>0.25</v>
      </c>
      <c r="G32" s="75">
        <f>E32-'ERPs by country'!$E$3</f>
        <v>9.9418760361786457E-3</v>
      </c>
      <c r="H32" s="96"/>
      <c r="I32" s="5" t="s">
        <v>82</v>
      </c>
      <c r="J32" s="104">
        <v>347.39364552601529</v>
      </c>
    </row>
    <row r="33" spans="1:11">
      <c r="A33" s="57" t="s">
        <v>51</v>
      </c>
      <c r="B33" s="132">
        <v>68.8</v>
      </c>
      <c r="C33" s="135">
        <f>'ERPs by country'!E39</f>
        <v>8.0594049277355057E-2</v>
      </c>
      <c r="D33" s="27">
        <f>'ERPs by country'!D39</f>
        <v>2.201202979158836E-2</v>
      </c>
      <c r="E33" s="27">
        <f t="shared" si="0"/>
        <v>8.0594049277355057E-2</v>
      </c>
      <c r="F33" s="75">
        <f>'Country Tax Rates'!B33</f>
        <v>0.34</v>
      </c>
      <c r="G33" s="75">
        <f>E33-'ERPs by country'!$E$3</f>
        <v>2.6894049277355059E-2</v>
      </c>
      <c r="H33" s="96"/>
      <c r="I33" s="5" t="s">
        <v>83</v>
      </c>
      <c r="J33" s="104">
        <v>416.24644013477513</v>
      </c>
    </row>
    <row r="34" spans="1:11">
      <c r="A34" s="57" t="s">
        <v>296</v>
      </c>
      <c r="B34" s="132">
        <v>54.3</v>
      </c>
      <c r="C34" s="135">
        <f>'ERPs by country'!E40</f>
        <v>0.14559862336006157</v>
      </c>
      <c r="D34" s="27">
        <f>'ERPs by country'!D40</f>
        <v>7.5216461989266389E-2</v>
      </c>
      <c r="E34" s="27">
        <f t="shared" si="0"/>
        <v>0.14559862336006157</v>
      </c>
      <c r="F34" s="75">
        <f>'Country Tax Rates'!B34</f>
        <v>0.35</v>
      </c>
      <c r="G34" s="75">
        <f>E34-'ERPs by country'!$E$3</f>
        <v>9.1898623360061577E-2</v>
      </c>
      <c r="H34" s="96"/>
      <c r="I34" s="5" t="s">
        <v>49</v>
      </c>
      <c r="J34" s="104">
        <v>520.56885620865364</v>
      </c>
    </row>
    <row r="35" spans="1:11">
      <c r="A35" s="57" t="s">
        <v>297</v>
      </c>
      <c r="B35" s="132">
        <v>61.3</v>
      </c>
      <c r="C35" s="135">
        <f>'ERPs by country'!E41</f>
        <v>0.18090502928341393</v>
      </c>
      <c r="D35" s="27">
        <f>'ERPs by country'!D41</f>
        <v>0.10411377124173073</v>
      </c>
      <c r="E35" s="27">
        <f t="shared" si="0"/>
        <v>0.18090502928341393</v>
      </c>
      <c r="F35" s="75">
        <f>'Country Tax Rates'!B35</f>
        <v>0.28210000000000002</v>
      </c>
      <c r="G35" s="75">
        <f>E35-'ERPs by country'!$E$3</f>
        <v>0.12720502928341393</v>
      </c>
      <c r="H35" s="96"/>
      <c r="I35" s="5" t="s">
        <v>50</v>
      </c>
      <c r="J35" s="104">
        <v>636.36673805065868</v>
      </c>
    </row>
    <row r="36" spans="1:11">
      <c r="A36" s="57" t="s">
        <v>221</v>
      </c>
      <c r="B36" s="132"/>
      <c r="C36" s="135">
        <f>'ERPs by country'!E42</f>
        <v>0.11730251464170696</v>
      </c>
      <c r="D36" s="27">
        <f>'ERPs by country'!D42</f>
        <v>5.2056885620865363E-2</v>
      </c>
      <c r="E36" s="27">
        <f t="shared" si="0"/>
        <v>0.11730251464170696</v>
      </c>
      <c r="F36" s="75">
        <f>'Country Tax Rates'!B36</f>
        <v>0</v>
      </c>
      <c r="G36" s="75">
        <f>E36-'ERPs by country'!$E$3</f>
        <v>6.3602514641706964E-2</v>
      </c>
      <c r="H36" s="96"/>
      <c r="I36" s="5" t="s">
        <v>80</v>
      </c>
      <c r="J36" s="104">
        <v>752.16461989266384</v>
      </c>
    </row>
    <row r="37" spans="1:11">
      <c r="A37" s="57" t="s">
        <v>57</v>
      </c>
      <c r="B37" s="132">
        <v>74.3</v>
      </c>
      <c r="C37" s="135">
        <f>'ERPs by country'!E43</f>
        <v>9.6144163077531902E-2</v>
      </c>
      <c r="D37" s="27">
        <f>'ERPs by country'!D43</f>
        <v>3.4739364552601529E-2</v>
      </c>
      <c r="E37" s="27">
        <f t="shared" si="0"/>
        <v>9.6144163077531902E-2</v>
      </c>
      <c r="F37" s="75">
        <f>'Country Tax Rates'!B37</f>
        <v>0.3</v>
      </c>
      <c r="G37" s="75">
        <f>E37-'ERPs by country'!$E$3</f>
        <v>4.2444163077531905E-2</v>
      </c>
      <c r="H37" s="96"/>
      <c r="I37" s="5" t="s">
        <v>102</v>
      </c>
      <c r="J37" s="104">
        <v>866.91927757393012</v>
      </c>
    </row>
    <row r="38" spans="1:11">
      <c r="A38" s="57" t="s">
        <v>292</v>
      </c>
      <c r="B38" s="132">
        <v>63.8</v>
      </c>
      <c r="C38" s="135">
        <f>'ERPs by country'!E44</f>
        <v>0.10455651972352922</v>
      </c>
      <c r="D38" s="27">
        <f>'ERPs by country'!D44</f>
        <v>4.1624644013477513E-2</v>
      </c>
      <c r="E38" s="27">
        <f t="shared" si="0"/>
        <v>0.10455651972352922</v>
      </c>
      <c r="F38" s="75">
        <f>'Country Tax Rates'!B38</f>
        <v>0.25</v>
      </c>
      <c r="G38" s="75">
        <f>E38-'ERPs by country'!$E$3</f>
        <v>5.0856519723529225E-2</v>
      </c>
      <c r="H38" s="96"/>
      <c r="I38" s="8" t="s">
        <v>59</v>
      </c>
      <c r="J38" s="104">
        <v>1041.1377124173073</v>
      </c>
    </row>
    <row r="39" spans="1:11">
      <c r="A39" s="57" t="s">
        <v>100</v>
      </c>
      <c r="B39" s="132">
        <v>75.3</v>
      </c>
      <c r="C39" s="135">
        <f>'ERPs by country'!E45</f>
        <v>9.6144163077531902E-2</v>
      </c>
      <c r="D39" s="27">
        <f>'ERPs by country'!D45</f>
        <v>3.4739364552601529E-2</v>
      </c>
      <c r="E39" s="27">
        <f t="shared" si="0"/>
        <v>9.6144163077531902E-2</v>
      </c>
      <c r="F39" s="75">
        <f>'Country Tax Rates'!B39</f>
        <v>0.2</v>
      </c>
      <c r="G39" s="75">
        <f>E39-'ERPs by country'!$E$3</f>
        <v>4.2444163077531905E-2</v>
      </c>
      <c r="H39" s="96"/>
      <c r="I39" s="8" t="s">
        <v>63</v>
      </c>
      <c r="J39" s="104">
        <v>1155.8923700985736</v>
      </c>
    </row>
    <row r="40" spans="1:11">
      <c r="A40" s="57" t="s">
        <v>101</v>
      </c>
      <c r="B40" s="132">
        <v>68.8</v>
      </c>
      <c r="C40" s="135">
        <f>'ERPs by country'!E46</f>
        <v>0.18090502928341393</v>
      </c>
      <c r="D40" s="27">
        <f>'ERPs by country'!D46</f>
        <v>0.10411377124173073</v>
      </c>
      <c r="E40" s="27">
        <f t="shared" si="0"/>
        <v>0.18090502928341393</v>
      </c>
      <c r="F40" s="75">
        <f>'Country Tax Rates'!B40</f>
        <v>0.27979999999999999</v>
      </c>
      <c r="G40" s="75">
        <f>E40-'ERPs by country'!$E$3</f>
        <v>0.12720502928341393</v>
      </c>
      <c r="H40" s="96"/>
      <c r="I40" s="8" t="s">
        <v>356</v>
      </c>
      <c r="J40" s="104">
        <v>1387.4881337825836</v>
      </c>
    </row>
    <row r="41" spans="1:11">
      <c r="A41" s="57" t="s">
        <v>224</v>
      </c>
      <c r="B41" s="132"/>
      <c r="C41" s="135">
        <f>'ERPs by country'!E47</f>
        <v>7.0652173241176397E-2</v>
      </c>
      <c r="D41" s="27">
        <f>'ERPs by country'!D47</f>
        <v>1.3874881337825837E-2</v>
      </c>
      <c r="E41" s="27">
        <f t="shared" si="0"/>
        <v>7.0652173241176397E-2</v>
      </c>
      <c r="F41" s="75">
        <f>'Country Tax Rates'!B41</f>
        <v>0.22</v>
      </c>
      <c r="G41" s="75">
        <f>E41-'ERPs by country'!$E$3</f>
        <v>1.6952173241176399E-2</v>
      </c>
      <c r="H41" s="96"/>
      <c r="K41" s="190"/>
    </row>
    <row r="42" spans="1:11">
      <c r="A42" s="57" t="s">
        <v>184</v>
      </c>
      <c r="B42" s="132">
        <v>75.8</v>
      </c>
      <c r="C42" s="135">
        <f>'ERPs by country'!E48</f>
        <v>0.10455651972352922</v>
      </c>
      <c r="D42" s="27">
        <f>'ERPs by country'!D48</f>
        <v>4.1624644013477513E-2</v>
      </c>
      <c r="E42" s="27">
        <f t="shared" si="0"/>
        <v>0.10455651972352922</v>
      </c>
      <c r="F42" s="75">
        <f>'Country Tax Rates'!B42</f>
        <v>0.125</v>
      </c>
      <c r="G42" s="75">
        <f>E42-'ERPs by country'!$E$3</f>
        <v>5.0856519723529225E-2</v>
      </c>
      <c r="H42" s="96"/>
    </row>
    <row r="43" spans="1:11">
      <c r="A43" s="57" t="s">
        <v>103</v>
      </c>
      <c r="B43" s="132">
        <v>81</v>
      </c>
      <c r="C43" s="135">
        <f>'ERPs by country'!E49</f>
        <v>6.3641876036178643E-2</v>
      </c>
      <c r="D43" s="27">
        <f>'ERPs by country'!D49</f>
        <v>8.1371484537625226E-3</v>
      </c>
      <c r="E43" s="27">
        <f t="shared" si="0"/>
        <v>6.3641876036178643E-2</v>
      </c>
      <c r="F43" s="75">
        <f>'Country Tax Rates'!B43</f>
        <v>0.19</v>
      </c>
      <c r="G43" s="75">
        <f>E43-'ERPs by country'!$E$3</f>
        <v>9.9418760361786457E-3</v>
      </c>
      <c r="H43" s="96"/>
    </row>
    <row r="44" spans="1:11">
      <c r="A44" s="57" t="s">
        <v>104</v>
      </c>
      <c r="B44" s="132">
        <v>84</v>
      </c>
      <c r="C44" s="135">
        <f>'ERPs by country'!E50</f>
        <v>5.3699999999999998E-2</v>
      </c>
      <c r="D44" s="27">
        <f>'ERPs by country'!D50</f>
        <v>0</v>
      </c>
      <c r="E44" s="27">
        <f t="shared" si="0"/>
        <v>5.3699999999999998E-2</v>
      </c>
      <c r="F44" s="75">
        <f>'Country Tax Rates'!B44</f>
        <v>0.22</v>
      </c>
      <c r="G44" s="75">
        <f>E44-'ERPs by country'!$E$3</f>
        <v>0</v>
      </c>
      <c r="H44" s="96"/>
    </row>
    <row r="45" spans="1:11">
      <c r="A45" s="57" t="s">
        <v>105</v>
      </c>
      <c r="B45" s="132">
        <v>71.3</v>
      </c>
      <c r="C45" s="135">
        <f>'ERPs by country'!E51</f>
        <v>0.10455651972352922</v>
      </c>
      <c r="D45" s="27">
        <f>'ERPs by country'!D51</f>
        <v>4.1624644013477513E-2</v>
      </c>
      <c r="E45" s="27">
        <f t="shared" si="0"/>
        <v>0.10455651972352922</v>
      </c>
      <c r="F45" s="75">
        <f>'Country Tax Rates'!B45</f>
        <v>0.27</v>
      </c>
      <c r="G45" s="75">
        <f>E45-'ERPs by country'!$E$3</f>
        <v>5.0856519723529225E-2</v>
      </c>
      <c r="H45" s="96"/>
    </row>
    <row r="46" spans="1:11">
      <c r="A46" s="57" t="s">
        <v>106</v>
      </c>
      <c r="B46" s="132">
        <v>64.3</v>
      </c>
      <c r="C46" s="135">
        <f>'ERPs by country'!E52</f>
        <v>0.14559862336006157</v>
      </c>
      <c r="D46" s="27">
        <f>'ERPs by country'!D52</f>
        <v>7.5216461989266389E-2</v>
      </c>
      <c r="E46" s="27">
        <f t="shared" si="0"/>
        <v>0.14559862336006157</v>
      </c>
      <c r="F46" s="75">
        <f>'Country Tax Rates'!B46</f>
        <v>0.22</v>
      </c>
      <c r="G46" s="75">
        <f>E46-'ERPs by country'!$E$3</f>
        <v>9.1898623360061577E-2</v>
      </c>
      <c r="H46" s="96"/>
    </row>
    <row r="47" spans="1:11">
      <c r="A47" s="57" t="s">
        <v>107</v>
      </c>
      <c r="B47" s="132">
        <v>61.3</v>
      </c>
      <c r="C47" s="135">
        <f>'ERPs by country'!E53</f>
        <v>0.14559862336006157</v>
      </c>
      <c r="D47" s="27">
        <f>'ERPs by country'!D53</f>
        <v>7.5216461989266389E-2</v>
      </c>
      <c r="E47" s="27">
        <f t="shared" si="0"/>
        <v>0.14559862336006157</v>
      </c>
      <c r="F47" s="75">
        <f>'Country Tax Rates'!B47</f>
        <v>0.22500000000000001</v>
      </c>
      <c r="G47" s="75">
        <f>E47-'ERPs by country'!$E$3</f>
        <v>9.1898623360061577E-2</v>
      </c>
      <c r="H47" s="96"/>
    </row>
    <row r="48" spans="1:11">
      <c r="A48" s="57" t="s">
        <v>31</v>
      </c>
      <c r="B48" s="132">
        <v>68.5</v>
      </c>
      <c r="C48" s="135">
        <f>'ERPs by country'!E54</f>
        <v>0.15961921777005708</v>
      </c>
      <c r="D48" s="27">
        <f>'ERPs by country'!D54</f>
        <v>8.6691927757393011E-2</v>
      </c>
      <c r="E48" s="27">
        <f t="shared" si="0"/>
        <v>0.15961921777005708</v>
      </c>
      <c r="F48" s="75">
        <f>'Country Tax Rates'!B48</f>
        <v>0.3</v>
      </c>
      <c r="G48" s="75">
        <f>E48-'ERPs by country'!$E$3</f>
        <v>0.10591921777005708</v>
      </c>
      <c r="H48" s="96"/>
    </row>
    <row r="49" spans="1:8">
      <c r="A49" s="57" t="s">
        <v>108</v>
      </c>
      <c r="B49" s="132">
        <v>75.5</v>
      </c>
      <c r="C49" s="135">
        <f>'ERPs by country'!E55</f>
        <v>6.3641876036178643E-2</v>
      </c>
      <c r="D49" s="27">
        <f>'ERPs by country'!D55</f>
        <v>8.1371484537625226E-3</v>
      </c>
      <c r="E49" s="27">
        <f t="shared" si="0"/>
        <v>6.3641876036178643E-2</v>
      </c>
      <c r="F49" s="75">
        <f>'Country Tax Rates'!B49</f>
        <v>0.2</v>
      </c>
      <c r="G49" s="75">
        <f>E49-'ERPs by country'!$E$3</f>
        <v>9.9418760361786457E-3</v>
      </c>
      <c r="H49" s="96"/>
    </row>
    <row r="50" spans="1:8">
      <c r="A50" s="57" t="s">
        <v>293</v>
      </c>
      <c r="B50" s="132">
        <v>57</v>
      </c>
      <c r="C50" s="135">
        <f>'ERPs by country'!E56</f>
        <v>0.11730251464170696</v>
      </c>
      <c r="D50" s="27">
        <f>'ERPs by country'!D56</f>
        <v>5.2056885620865363E-2</v>
      </c>
      <c r="E50" s="27">
        <f t="shared" si="0"/>
        <v>0.11730251464170696</v>
      </c>
      <c r="F50" s="75">
        <f>'Country Tax Rates'!B50</f>
        <v>0.3</v>
      </c>
      <c r="G50" s="75">
        <f>E50-'ERPs by country'!$E$3</f>
        <v>6.3602514641706964E-2</v>
      </c>
      <c r="H50" s="96"/>
    </row>
    <row r="51" spans="1:8">
      <c r="A51" s="57" t="s">
        <v>226</v>
      </c>
      <c r="B51" s="132"/>
      <c r="C51" s="135">
        <f>'ERPs by country'!E57</f>
        <v>0.10455651972352922</v>
      </c>
      <c r="D51" s="27">
        <f>'ERPs by country'!D57</f>
        <v>4.1624644013477513E-2</v>
      </c>
      <c r="E51" s="27">
        <f t="shared" si="0"/>
        <v>0.10455651972352922</v>
      </c>
      <c r="F51" s="75">
        <f>'Country Tax Rates'!B51</f>
        <v>0.2</v>
      </c>
      <c r="G51" s="75">
        <f>E51-'ERPs by country'!$E$3</f>
        <v>5.0856519723529225E-2</v>
      </c>
      <c r="H51" s="96"/>
    </row>
    <row r="52" spans="1:8">
      <c r="A52" s="57" t="s">
        <v>185</v>
      </c>
      <c r="B52" s="132">
        <v>83.3</v>
      </c>
      <c r="C52" s="135">
        <f>'ERPs by country'!E58</f>
        <v>5.9308237763998205E-2</v>
      </c>
      <c r="D52" s="27">
        <f>'ERPs by country'!D58</f>
        <v>4.5901863072506524E-3</v>
      </c>
      <c r="E52" s="27">
        <f t="shared" si="0"/>
        <v>5.9308237763998205E-2</v>
      </c>
      <c r="F52" s="75">
        <f>'Country Tax Rates'!B52</f>
        <v>0.2</v>
      </c>
      <c r="G52" s="75">
        <f>E52-'ERPs by country'!$E$3</f>
        <v>5.608237763998207E-3</v>
      </c>
      <c r="H52" s="96"/>
    </row>
    <row r="53" spans="1:8">
      <c r="A53" s="57" t="s">
        <v>186</v>
      </c>
      <c r="B53" s="132">
        <v>75</v>
      </c>
      <c r="C53" s="135">
        <f>'ERPs by country'!E59</f>
        <v>6.0710297204997758E-2</v>
      </c>
      <c r="D53" s="27">
        <f>'ERPs by country'!D59</f>
        <v>5.7377328840633162E-3</v>
      </c>
      <c r="E53" s="27">
        <f t="shared" si="0"/>
        <v>6.0710297204997758E-2</v>
      </c>
      <c r="F53" s="75">
        <f>'Country Tax Rates'!B53</f>
        <v>0.33329999999999999</v>
      </c>
      <c r="G53" s="75">
        <f>E53-'ERPs by country'!$E$3</f>
        <v>7.0102972049977605E-3</v>
      </c>
      <c r="H53" s="96"/>
    </row>
    <row r="54" spans="1:8">
      <c r="A54" s="57" t="s">
        <v>227</v>
      </c>
      <c r="B54" s="132">
        <v>64.8</v>
      </c>
      <c r="C54" s="135">
        <f>'ERPs by country'!E60</f>
        <v>0.15961921777005708</v>
      </c>
      <c r="D54" s="27">
        <f>'ERPs by country'!D60</f>
        <v>8.6691927757393011E-2</v>
      </c>
      <c r="E54" s="27">
        <f t="shared" si="0"/>
        <v>0.15961921777005708</v>
      </c>
      <c r="F54" s="75">
        <f>'Country Tax Rates'!B54</f>
        <v>0.3</v>
      </c>
      <c r="G54" s="75">
        <f>E54-'ERPs by country'!$E$3</f>
        <v>0.10591921777005708</v>
      </c>
      <c r="H54" s="96"/>
    </row>
    <row r="55" spans="1:8">
      <c r="A55" s="57" t="s">
        <v>135</v>
      </c>
      <c r="B55" s="132"/>
      <c r="C55" s="135">
        <f>'ERPs by country'!E61</f>
        <v>9.6144163077531902E-2</v>
      </c>
      <c r="D55" s="27">
        <f>'ERPs by country'!D61</f>
        <v>3.4739364552601529E-2</v>
      </c>
      <c r="E55" s="27">
        <f t="shared" si="0"/>
        <v>9.6144163077531902E-2</v>
      </c>
      <c r="F55" s="75">
        <f>'Country Tax Rates'!B55</f>
        <v>0.15</v>
      </c>
      <c r="G55" s="75">
        <f>E55-'ERPs by country'!$E$3</f>
        <v>4.2444163077531905E-2</v>
      </c>
      <c r="H55" s="96"/>
    </row>
    <row r="56" spans="1:8">
      <c r="A56" s="57" t="s">
        <v>187</v>
      </c>
      <c r="B56" s="132">
        <v>84</v>
      </c>
      <c r="C56" s="135">
        <f>'ERPs by country'!E62</f>
        <v>5.3699999999999998E-2</v>
      </c>
      <c r="D56" s="27">
        <f>'ERPs by country'!D62</f>
        <v>0</v>
      </c>
      <c r="E56" s="27">
        <f t="shared" si="0"/>
        <v>5.3699999999999998E-2</v>
      </c>
      <c r="F56" s="75">
        <f>'Country Tax Rates'!B56</f>
        <v>0.2979</v>
      </c>
      <c r="G56" s="75">
        <f>E56-'ERPs by country'!$E$3</f>
        <v>0</v>
      </c>
      <c r="H56" s="96"/>
    </row>
    <row r="57" spans="1:8">
      <c r="A57" s="57" t="s">
        <v>228</v>
      </c>
      <c r="B57" s="132">
        <v>68.8</v>
      </c>
      <c r="C57" s="135">
        <f>'ERPs by country'!E63</f>
        <v>0.14559862336006157</v>
      </c>
      <c r="D57" s="27">
        <f>'ERPs by country'!D63</f>
        <v>7.5216461989266389E-2</v>
      </c>
      <c r="E57" s="27">
        <f t="shared" si="0"/>
        <v>0.14559862336006157</v>
      </c>
      <c r="F57" s="75">
        <f>'Country Tax Rates'!B57</f>
        <v>0.25</v>
      </c>
      <c r="G57" s="75">
        <f>E57-'ERPs by country'!$E$3</f>
        <v>9.1898623360061577E-2</v>
      </c>
      <c r="H57" s="96"/>
    </row>
    <row r="58" spans="1:8">
      <c r="A58" s="57" t="s">
        <v>188</v>
      </c>
      <c r="B58" s="132">
        <v>70.5</v>
      </c>
      <c r="C58" s="135">
        <f>'ERPs by country'!E64</f>
        <v>0.14559862336006157</v>
      </c>
      <c r="D58" s="27">
        <f>'ERPs by country'!D64</f>
        <v>7.5216461989266389E-2</v>
      </c>
      <c r="E58" s="27">
        <f t="shared" si="0"/>
        <v>0.14559862336006157</v>
      </c>
      <c r="F58" s="75">
        <f>'Country Tax Rates'!B58</f>
        <v>0.28999999999999998</v>
      </c>
      <c r="G58" s="75">
        <f>E58-'ERPs by country'!$E$3</f>
        <v>9.1898623360061577E-2</v>
      </c>
      <c r="H58" s="96"/>
    </row>
    <row r="59" spans="1:8">
      <c r="A59" s="57" t="s">
        <v>109</v>
      </c>
      <c r="B59" s="132">
        <v>71</v>
      </c>
      <c r="C59" s="135">
        <f>'ERPs by country'!E65</f>
        <v>8.9006405923352364E-2</v>
      </c>
      <c r="D59" s="27">
        <f>'ERPs by country'!D65</f>
        <v>2.8897309252464341E-2</v>
      </c>
      <c r="E59" s="27">
        <f t="shared" si="0"/>
        <v>8.9006405923352364E-2</v>
      </c>
      <c r="F59" s="75">
        <f>'Country Tax Rates'!B59</f>
        <v>0.25</v>
      </c>
      <c r="G59" s="75">
        <f>E59-'ERPs by country'!$E$3</f>
        <v>3.5306405923352366E-2</v>
      </c>
      <c r="H59" s="96"/>
    </row>
    <row r="60" spans="1:8">
      <c r="A60" s="57" t="s">
        <v>298</v>
      </c>
      <c r="B60" s="132"/>
      <c r="C60" s="135">
        <f>'ERPs by country'!E66</f>
        <v>6.223981659517909E-2</v>
      </c>
      <c r="D60" s="27">
        <f>'ERPs by country'!D66</f>
        <v>6.9896018769498571E-3</v>
      </c>
      <c r="E60" s="27">
        <f t="shared" si="0"/>
        <v>6.223981659517909E-2</v>
      </c>
      <c r="F60" s="75">
        <f>'Country Tax Rates'!B60</f>
        <v>0</v>
      </c>
      <c r="G60" s="75">
        <f>E60-'ERPs by country'!$E$3</f>
        <v>8.5398165951790922E-3</v>
      </c>
      <c r="H60" s="96"/>
    </row>
    <row r="61" spans="1:8">
      <c r="A61" s="57" t="s">
        <v>110</v>
      </c>
      <c r="B61" s="132">
        <v>67.5</v>
      </c>
      <c r="C61" s="135">
        <f>'ERPs by country'!E67</f>
        <v>0.11730251464170696</v>
      </c>
      <c r="D61" s="27">
        <f>'ERPs by country'!D67</f>
        <v>5.2056885620865363E-2</v>
      </c>
      <c r="E61" s="27">
        <f t="shared" si="0"/>
        <v>0.11730251464170696</v>
      </c>
      <c r="F61" s="75">
        <f>'Country Tax Rates'!B61</f>
        <v>0.25</v>
      </c>
      <c r="G61" s="75">
        <f>E61-'ERPs by country'!$E$3</f>
        <v>6.3602514641706964E-2</v>
      </c>
      <c r="H61" s="96"/>
    </row>
    <row r="62" spans="1:8">
      <c r="A62" s="57" t="s">
        <v>60</v>
      </c>
      <c r="B62" s="132">
        <v>82.5</v>
      </c>
      <c r="C62" s="135">
        <f>'ERPs by country'!E68</f>
        <v>6.0710297204997758E-2</v>
      </c>
      <c r="D62" s="27">
        <f>'ERPs by country'!D68</f>
        <v>5.7377328840633162E-3</v>
      </c>
      <c r="E62" s="27">
        <f t="shared" si="0"/>
        <v>6.0710297204997758E-2</v>
      </c>
      <c r="F62" s="75">
        <f>'Country Tax Rates'!B62</f>
        <v>0.16500000000000001</v>
      </c>
      <c r="G62" s="75">
        <f>E62-'ERPs by country'!$E$3</f>
        <v>7.0102972049977605E-3</v>
      </c>
      <c r="H62" s="96"/>
    </row>
    <row r="63" spans="1:8">
      <c r="A63" s="57" t="s">
        <v>111</v>
      </c>
      <c r="B63" s="132">
        <v>78.5</v>
      </c>
      <c r="C63" s="135">
        <f>'ERPs by country'!E69</f>
        <v>8.4800227600353703E-2</v>
      </c>
      <c r="D63" s="27">
        <f>'ERPs by country'!D69</f>
        <v>2.5454669522026348E-2</v>
      </c>
      <c r="E63" s="27">
        <f t="shared" si="0"/>
        <v>8.4800227600353703E-2</v>
      </c>
      <c r="F63" s="75">
        <f>'Country Tax Rates'!B63</f>
        <v>0.09</v>
      </c>
      <c r="G63" s="75">
        <f>E63-'ERPs by country'!$E$3</f>
        <v>3.1100227600353705E-2</v>
      </c>
      <c r="H63" s="96"/>
    </row>
    <row r="64" spans="1:8">
      <c r="A64" s="57" t="s">
        <v>112</v>
      </c>
      <c r="B64" s="132">
        <v>84.3</v>
      </c>
      <c r="C64" s="135">
        <f>'ERPs by country'!E70</f>
        <v>7.0652173241176397E-2</v>
      </c>
      <c r="D64" s="27">
        <f>'ERPs by country'!D70</f>
        <v>1.3874881337825837E-2</v>
      </c>
      <c r="E64" s="27">
        <f t="shared" si="0"/>
        <v>7.0652173241176397E-2</v>
      </c>
      <c r="F64" s="75">
        <f>'Country Tax Rates'!B64</f>
        <v>0.2</v>
      </c>
      <c r="G64" s="75">
        <f>E64-'ERPs by country'!$E$3</f>
        <v>1.6952173241176399E-2</v>
      </c>
      <c r="H64" s="96"/>
    </row>
    <row r="65" spans="1:8">
      <c r="A65" s="57" t="s">
        <v>113</v>
      </c>
      <c r="B65" s="132">
        <v>70.3</v>
      </c>
      <c r="C65" s="135">
        <f>'ERPs by country'!E71</f>
        <v>8.0594049277355057E-2</v>
      </c>
      <c r="D65" s="27">
        <f>'ERPs by country'!D71</f>
        <v>2.201202979158836E-2</v>
      </c>
      <c r="E65" s="27">
        <f t="shared" si="0"/>
        <v>8.0594049277355057E-2</v>
      </c>
      <c r="F65" s="75">
        <f>'Country Tax Rates'!B65</f>
        <v>0.3</v>
      </c>
      <c r="G65" s="75">
        <f>E65-'ERPs by country'!$E$3</f>
        <v>2.6894049277355059E-2</v>
      </c>
      <c r="H65" s="96"/>
    </row>
    <row r="66" spans="1:8">
      <c r="A66" s="57" t="s">
        <v>114</v>
      </c>
      <c r="B66" s="132">
        <v>68.5</v>
      </c>
      <c r="C66" s="135">
        <f>'ERPs by country'!E72</f>
        <v>8.0594049277355057E-2</v>
      </c>
      <c r="D66" s="27">
        <f>'ERPs by country'!D72</f>
        <v>2.201202979158836E-2</v>
      </c>
      <c r="E66" s="27">
        <f t="shared" si="0"/>
        <v>8.0594049277355057E-2</v>
      </c>
      <c r="F66" s="75">
        <f>'Country Tax Rates'!B66</f>
        <v>0.25</v>
      </c>
      <c r="G66" s="75">
        <f>E66-'ERPs by country'!$E$3</f>
        <v>2.6894049277355059E-2</v>
      </c>
      <c r="H66" s="96"/>
    </row>
    <row r="67" spans="1:8">
      <c r="A67" s="57" t="s">
        <v>341</v>
      </c>
      <c r="B67" s="132">
        <v>62.3</v>
      </c>
      <c r="C67" s="135">
        <f>'ERPs by country'!E73</f>
        <v>0.15961921777005708</v>
      </c>
      <c r="D67" s="27">
        <f>'ERPs by country'!D73</f>
        <v>8.6691927757393011E-2</v>
      </c>
      <c r="E67" s="27">
        <f t="shared" ref="E67:E131" si="1">C67</f>
        <v>0.15961921777005708</v>
      </c>
      <c r="F67" s="75">
        <f>'Country Tax Rates'!B67</f>
        <v>0.15</v>
      </c>
      <c r="G67" s="75">
        <f>E67-'ERPs by country'!$E$3</f>
        <v>0.10591921777005708</v>
      </c>
      <c r="H67" s="96"/>
    </row>
    <row r="68" spans="1:8">
      <c r="A68" s="57" t="s">
        <v>189</v>
      </c>
      <c r="B68" s="132">
        <v>84.3</v>
      </c>
      <c r="C68" s="135">
        <f>'ERPs by country'!E74</f>
        <v>6.5681235223087081E-2</v>
      </c>
      <c r="D68" s="27">
        <f>'ERPs by country'!D74</f>
        <v>9.8063071109445767E-3</v>
      </c>
      <c r="E68" s="27">
        <f t="shared" si="1"/>
        <v>6.5681235223087081E-2</v>
      </c>
      <c r="F68" s="75">
        <f>'Country Tax Rates'!B68</f>
        <v>0.125</v>
      </c>
      <c r="G68" s="75">
        <f>E68-'ERPs by country'!$E$3</f>
        <v>1.1981235223087083E-2</v>
      </c>
      <c r="H68" s="96"/>
    </row>
    <row r="69" spans="1:8">
      <c r="A69" s="57" t="s">
        <v>115</v>
      </c>
      <c r="B69" s="132"/>
      <c r="C69" s="135">
        <f>'ERPs by country'!E75</f>
        <v>6.0710297204997758E-2</v>
      </c>
      <c r="D69" s="27">
        <f>'ERPs by country'!D75</f>
        <v>5.7377328840633162E-3</v>
      </c>
      <c r="E69" s="27">
        <f t="shared" si="1"/>
        <v>6.0710297204997758E-2</v>
      </c>
      <c r="F69" s="75">
        <f>'Country Tax Rates'!B69</f>
        <v>0</v>
      </c>
      <c r="G69" s="75">
        <f>E69-'ERPs by country'!$E$3</f>
        <v>7.0102972049977605E-3</v>
      </c>
      <c r="H69" s="96"/>
    </row>
    <row r="70" spans="1:8">
      <c r="A70" s="57" t="s">
        <v>116</v>
      </c>
      <c r="B70" s="132">
        <v>78</v>
      </c>
      <c r="C70" s="135">
        <f>'ERPs by country'!E76</f>
        <v>6.3641876036178643E-2</v>
      </c>
      <c r="D70" s="27">
        <f>'ERPs by country'!D76</f>
        <v>8.1371484537625226E-3</v>
      </c>
      <c r="E70" s="27">
        <f t="shared" si="1"/>
        <v>6.3641876036178643E-2</v>
      </c>
      <c r="F70" s="75">
        <f>'Country Tax Rates'!B70</f>
        <v>0.24</v>
      </c>
      <c r="G70" s="75">
        <f>E70-'ERPs by country'!$E$3</f>
        <v>9.9418760361786457E-3</v>
      </c>
      <c r="H70" s="96"/>
    </row>
    <row r="71" spans="1:8">
      <c r="A71" s="57" t="s">
        <v>147</v>
      </c>
      <c r="B71" s="132">
        <v>76.3</v>
      </c>
      <c r="C71" s="135">
        <f>'ERPs by country'!E77</f>
        <v>8.0594049277355057E-2</v>
      </c>
      <c r="D71" s="27">
        <f>'ERPs by country'!D77</f>
        <v>2.201202979158836E-2</v>
      </c>
      <c r="E71" s="27">
        <f t="shared" si="1"/>
        <v>8.0594049277355057E-2</v>
      </c>
      <c r="F71" s="75">
        <f>'Country Tax Rates'!B71</f>
        <v>0.24</v>
      </c>
      <c r="G71" s="75">
        <f>E71-'ERPs by country'!$E$3</f>
        <v>2.6894049277355059E-2</v>
      </c>
      <c r="H71" s="96"/>
    </row>
    <row r="72" spans="1:8">
      <c r="A72" s="57" t="s">
        <v>117</v>
      </c>
      <c r="B72" s="132">
        <v>70.5</v>
      </c>
      <c r="C72" s="135">
        <f>'ERPs by country'!E78</f>
        <v>0.14559862336006157</v>
      </c>
      <c r="D72" s="27">
        <f>'ERPs by country'!D78</f>
        <v>7.5216461989266389E-2</v>
      </c>
      <c r="E72" s="27">
        <f t="shared" si="1"/>
        <v>0.14559862336006157</v>
      </c>
      <c r="F72" s="75">
        <f>'Country Tax Rates'!B72</f>
        <v>0.25</v>
      </c>
      <c r="G72" s="75">
        <f>E72-'ERPs by country'!$E$3</f>
        <v>9.1898623360061577E-2</v>
      </c>
      <c r="H72" s="96"/>
    </row>
    <row r="73" spans="1:8">
      <c r="A73" s="57" t="s">
        <v>118</v>
      </c>
      <c r="B73" s="132">
        <v>81.8</v>
      </c>
      <c r="C73" s="135">
        <f>'ERPs by country'!E79</f>
        <v>6.3641876036178643E-2</v>
      </c>
      <c r="D73" s="27">
        <f>'ERPs by country'!D79</f>
        <v>8.1371484537625226E-3</v>
      </c>
      <c r="E73" s="27">
        <f t="shared" si="1"/>
        <v>6.3641876036178643E-2</v>
      </c>
      <c r="F73" s="75">
        <f>'Country Tax Rates'!B73</f>
        <v>0.30859999999999999</v>
      </c>
      <c r="G73" s="75">
        <f>E73-'ERPs by country'!$E$3</f>
        <v>9.9418760361786457E-3</v>
      </c>
      <c r="H73" s="96"/>
    </row>
    <row r="74" spans="1:8">
      <c r="A74" s="57" t="s">
        <v>299</v>
      </c>
      <c r="B74" s="132"/>
      <c r="C74" s="135">
        <f>'ERPs by country'!E80</f>
        <v>6.223981659517909E-2</v>
      </c>
      <c r="D74" s="27">
        <f>'ERPs by country'!D80</f>
        <v>6.9896018769498571E-3</v>
      </c>
      <c r="E74" s="27">
        <f t="shared" si="1"/>
        <v>6.223981659517909E-2</v>
      </c>
      <c r="F74" s="75">
        <f>'Country Tax Rates'!B74</f>
        <v>0.2</v>
      </c>
      <c r="G74" s="75">
        <f>E74-'ERPs by country'!$E$3</f>
        <v>8.5398165951790922E-3</v>
      </c>
      <c r="H74" s="96"/>
    </row>
    <row r="75" spans="1:8">
      <c r="A75" s="57" t="s">
        <v>119</v>
      </c>
      <c r="B75" s="132">
        <v>63.5</v>
      </c>
      <c r="C75" s="135">
        <f>'ERPs by country'!E81</f>
        <v>0.11730251464170696</v>
      </c>
      <c r="D75" s="27">
        <f>'ERPs by country'!D81</f>
        <v>5.2056885620865363E-2</v>
      </c>
      <c r="E75" s="27">
        <f t="shared" si="1"/>
        <v>0.11730251464170696</v>
      </c>
      <c r="F75" s="75">
        <f>'Country Tax Rates'!B75</f>
        <v>0.2</v>
      </c>
      <c r="G75" s="75">
        <f>E75-'ERPs by country'!$E$3</f>
        <v>6.3602514641706964E-2</v>
      </c>
      <c r="H75" s="96"/>
    </row>
    <row r="76" spans="1:8">
      <c r="A76" s="57" t="s">
        <v>120</v>
      </c>
      <c r="B76" s="132">
        <v>70</v>
      </c>
      <c r="C76" s="135">
        <f>'ERPs by country'!E82</f>
        <v>8.4800227600353703E-2</v>
      </c>
      <c r="D76" s="27">
        <f>'ERPs by country'!D82</f>
        <v>2.5454669522026348E-2</v>
      </c>
      <c r="E76" s="27">
        <f t="shared" si="1"/>
        <v>8.4800227600353703E-2</v>
      </c>
      <c r="F76" s="75">
        <f>'Country Tax Rates'!B76</f>
        <v>0.2</v>
      </c>
      <c r="G76" s="75">
        <f>E76-'ERPs by country'!$E$3</f>
        <v>3.1100227600353705E-2</v>
      </c>
      <c r="H76" s="96"/>
    </row>
    <row r="77" spans="1:8">
      <c r="A77" s="57" t="s">
        <v>190</v>
      </c>
      <c r="B77" s="132">
        <v>64</v>
      </c>
      <c r="C77" s="135">
        <f>'ERPs by country'!E83</f>
        <v>0.13145056900088425</v>
      </c>
      <c r="D77" s="27">
        <f>'ERPs by country'!D83</f>
        <v>6.3636673805065866E-2</v>
      </c>
      <c r="E77" s="27">
        <f t="shared" si="1"/>
        <v>0.13145056900088425</v>
      </c>
      <c r="F77" s="75">
        <f>'Country Tax Rates'!B77</f>
        <v>0.3</v>
      </c>
      <c r="G77" s="75">
        <f>E77-'ERPs by country'!$E$3</f>
        <v>7.7750569000884256E-2</v>
      </c>
      <c r="H77" s="96"/>
    </row>
    <row r="78" spans="1:8">
      <c r="A78" s="57" t="s">
        <v>121</v>
      </c>
      <c r="B78" s="132">
        <v>83.8</v>
      </c>
      <c r="C78" s="135">
        <f>'ERPs by country'!E84</f>
        <v>6.0710297204997758E-2</v>
      </c>
      <c r="D78" s="27">
        <f>'ERPs by country'!D84</f>
        <v>5.7377328840633162E-3</v>
      </c>
      <c r="E78" s="27">
        <f t="shared" si="1"/>
        <v>6.0710297204997758E-2</v>
      </c>
      <c r="F78" s="75">
        <f>'Country Tax Rates'!B78</f>
        <v>0.22</v>
      </c>
      <c r="G78" s="75">
        <f>E78-'ERPs by country'!$E$3</f>
        <v>7.0102972049977605E-3</v>
      </c>
      <c r="H78" s="96"/>
    </row>
    <row r="79" spans="1:8">
      <c r="A79" s="57" t="s">
        <v>122</v>
      </c>
      <c r="B79" s="132">
        <v>75.8</v>
      </c>
      <c r="C79" s="135">
        <f>'ERPs by country'!E85</f>
        <v>6.0710297204997758E-2</v>
      </c>
      <c r="D79" s="27">
        <f>'ERPs by country'!D85</f>
        <v>5.7377328840633162E-3</v>
      </c>
      <c r="E79" s="27">
        <f t="shared" si="1"/>
        <v>6.0710297204997758E-2</v>
      </c>
      <c r="F79" s="75">
        <f>'Country Tax Rates'!B79</f>
        <v>0.15</v>
      </c>
      <c r="G79" s="75">
        <f>E79-'ERPs by country'!$E$3</f>
        <v>7.0102972049977605E-3</v>
      </c>
      <c r="H79" s="96"/>
    </row>
    <row r="80" spans="1:8">
      <c r="A80" s="57" t="s">
        <v>363</v>
      </c>
      <c r="B80" s="132"/>
      <c r="C80" s="135">
        <f>'ERPs by country'!E86</f>
        <v>0.13145056900088425</v>
      </c>
      <c r="D80" s="27">
        <f>'ERPs by country'!D86</f>
        <v>6.3636673805065866E-2</v>
      </c>
      <c r="E80" s="27">
        <f t="shared" si="1"/>
        <v>0.13145056900088425</v>
      </c>
      <c r="F80" s="75">
        <f>'Country Tax Rates'!B80</f>
        <v>0.15</v>
      </c>
      <c r="G80" s="75">
        <f>E80-'ERPs by country'!$E$3</f>
        <v>7.7750569000884256E-2</v>
      </c>
      <c r="H80" s="96"/>
    </row>
    <row r="81" spans="1:8">
      <c r="A81" s="57" t="s">
        <v>123</v>
      </c>
      <c r="B81" s="132">
        <v>73</v>
      </c>
      <c r="C81" s="135">
        <f>'ERPs by country'!E87</f>
        <v>7.0652173241176397E-2</v>
      </c>
      <c r="D81" s="27">
        <f>'ERPs by country'!D87</f>
        <v>1.3874881337825837E-2</v>
      </c>
      <c r="E81" s="27">
        <f t="shared" si="1"/>
        <v>7.0652173241176397E-2</v>
      </c>
      <c r="F81" s="75">
        <f>'Country Tax Rates'!B81</f>
        <v>0.15</v>
      </c>
      <c r="G81" s="75">
        <f>E81-'ERPs by country'!$E$3</f>
        <v>1.6952173241176399E-2</v>
      </c>
      <c r="H81" s="96"/>
    </row>
    <row r="82" spans="1:8">
      <c r="A82" s="57" t="s">
        <v>124</v>
      </c>
      <c r="B82" s="132">
        <v>58.3</v>
      </c>
      <c r="C82" s="135">
        <f>'ERPs by country'!E88</f>
        <v>0.14559862336006157</v>
      </c>
      <c r="D82" s="27">
        <f>'ERPs by country'!D88</f>
        <v>7.5216461989266389E-2</v>
      </c>
      <c r="E82" s="27">
        <f t="shared" si="1"/>
        <v>0.14559862336006157</v>
      </c>
      <c r="F82" s="75">
        <f>'Country Tax Rates'!B82</f>
        <v>0.15</v>
      </c>
      <c r="G82" s="75">
        <f>E82-'ERPs by country'!$E$3</f>
        <v>9.1898623360061577E-2</v>
      </c>
      <c r="H82" s="96"/>
    </row>
    <row r="83" spans="1:8">
      <c r="A83" s="57" t="s">
        <v>230</v>
      </c>
      <c r="B83" s="132"/>
      <c r="C83" s="135">
        <f>'ERPs by country'!E89</f>
        <v>5.3699999999999998E-2</v>
      </c>
      <c r="D83" s="27">
        <f>'ERPs by country'!D89</f>
        <v>0</v>
      </c>
      <c r="E83" s="27">
        <f t="shared" si="1"/>
        <v>5.3699999999999998E-2</v>
      </c>
      <c r="F83" s="75">
        <f>'Country Tax Rates'!B83</f>
        <v>0.125</v>
      </c>
      <c r="G83" s="75">
        <f>E83-'ERPs by country'!$E$3</f>
        <v>0</v>
      </c>
      <c r="H83" s="96"/>
    </row>
    <row r="84" spans="1:8">
      <c r="A84" s="57" t="s">
        <v>13</v>
      </c>
      <c r="B84" s="132">
        <v>73.3</v>
      </c>
      <c r="C84" s="135">
        <f>'ERPs by country'!E90</f>
        <v>7.0652173241176397E-2</v>
      </c>
      <c r="D84" s="27">
        <f>'ERPs by country'!D90</f>
        <v>1.3874881337825837E-2</v>
      </c>
      <c r="E84" s="27">
        <f t="shared" si="1"/>
        <v>7.0652173241176397E-2</v>
      </c>
      <c r="F84" s="75">
        <f>'Country Tax Rates'!B84</f>
        <v>0.15</v>
      </c>
      <c r="G84" s="75">
        <f>E84-'ERPs by country'!$E$3</f>
        <v>1.6952173241176399E-2</v>
      </c>
      <c r="H84" s="96"/>
    </row>
    <row r="85" spans="1:8">
      <c r="A85" s="57" t="s">
        <v>191</v>
      </c>
      <c r="B85" s="132">
        <v>87</v>
      </c>
      <c r="C85" s="135">
        <f>'ERPs by country'!E91</f>
        <v>5.3699999999999998E-2</v>
      </c>
      <c r="D85" s="27">
        <f>'ERPs by country'!D91</f>
        <v>0</v>
      </c>
      <c r="E85" s="27">
        <f t="shared" si="1"/>
        <v>5.3699999999999998E-2</v>
      </c>
      <c r="F85" s="75">
        <f>'Country Tax Rates'!B85</f>
        <v>0.27079999999999999</v>
      </c>
      <c r="G85" s="75">
        <f>E85-'ERPs by country'!$E$3</f>
        <v>0</v>
      </c>
      <c r="H85" s="96"/>
    </row>
    <row r="86" spans="1:8">
      <c r="A86" s="57" t="s">
        <v>32</v>
      </c>
      <c r="B86" s="133"/>
      <c r="C86" s="135">
        <f>'ERPs by country'!E92</f>
        <v>6.223981659517909E-2</v>
      </c>
      <c r="D86" s="27">
        <f>'ERPs by country'!D92</f>
        <v>6.9896018769498571E-3</v>
      </c>
      <c r="E86" s="27">
        <f t="shared" si="1"/>
        <v>6.223981659517909E-2</v>
      </c>
      <c r="F86" s="75">
        <f>'Country Tax Rates'!B86</f>
        <v>0.12</v>
      </c>
      <c r="G86" s="75">
        <f>E86-'ERPs by country'!$E$3</f>
        <v>8.5398165951790922E-3</v>
      </c>
      <c r="H86" s="96"/>
    </row>
    <row r="87" spans="1:8">
      <c r="A87" s="57" t="s">
        <v>148</v>
      </c>
      <c r="B87" s="133"/>
      <c r="C87" s="135">
        <f>'ERPs by country'!E93</f>
        <v>0.10455651972352922</v>
      </c>
      <c r="D87" s="27">
        <f>'ERPs by country'!D93</f>
        <v>4.1624644013477513E-2</v>
      </c>
      <c r="E87" s="27">
        <f t="shared" si="1"/>
        <v>0.10455651972352922</v>
      </c>
      <c r="F87" s="75">
        <f>'Country Tax Rates'!B87</f>
        <v>0.1</v>
      </c>
      <c r="G87" s="75">
        <f>E87-'ERPs by country'!$E$3</f>
        <v>5.0856519723529225E-2</v>
      </c>
      <c r="H87" s="96"/>
    </row>
    <row r="88" spans="1:8">
      <c r="A88" s="57" t="s">
        <v>14</v>
      </c>
      <c r="B88" s="132">
        <v>75.5</v>
      </c>
      <c r="C88" s="135">
        <f>'ERPs by country'!E94</f>
        <v>7.0652173241176397E-2</v>
      </c>
      <c r="D88" s="27">
        <f>'ERPs by country'!D94</f>
        <v>1.3874881337825837E-2</v>
      </c>
      <c r="E88" s="27">
        <f t="shared" si="1"/>
        <v>7.0652173241176397E-2</v>
      </c>
      <c r="F88" s="75">
        <f>'Country Tax Rates'!B88</f>
        <v>0.24</v>
      </c>
      <c r="G88" s="75">
        <f>E88-'ERPs by country'!$E$3</f>
        <v>1.6952173241176399E-2</v>
      </c>
      <c r="H88" s="96"/>
    </row>
    <row r="89" spans="1:8">
      <c r="A89" s="57" t="s">
        <v>192</v>
      </c>
      <c r="B89" s="132">
        <v>81</v>
      </c>
      <c r="C89" s="135">
        <f>'ERPs by country'!E96</f>
        <v>7.0652173241176397E-2</v>
      </c>
      <c r="D89" s="27">
        <f>'ERPs by country'!D96</f>
        <v>1.3874881337825837E-2</v>
      </c>
      <c r="E89" s="27">
        <f t="shared" si="1"/>
        <v>7.0652173241176397E-2</v>
      </c>
      <c r="F89" s="75">
        <f>'Country Tax Rates'!B89</f>
        <v>0.35</v>
      </c>
      <c r="G89" s="75">
        <f>E89-'ERPs by country'!$E$3</f>
        <v>1.6952173241176399E-2</v>
      </c>
      <c r="H89" s="96"/>
    </row>
    <row r="90" spans="1:8">
      <c r="A90" s="57" t="s">
        <v>15</v>
      </c>
      <c r="B90" s="132"/>
      <c r="C90" s="135">
        <f>'ERPs by country'!E97</f>
        <v>7.6260411005174611E-2</v>
      </c>
      <c r="D90" s="27">
        <f>'ERPs by country'!D97</f>
        <v>1.846506764507649E-2</v>
      </c>
      <c r="E90" s="27">
        <f t="shared" si="1"/>
        <v>7.6260411005174611E-2</v>
      </c>
      <c r="F90" s="75">
        <f>'Country Tax Rates'!B90</f>
        <v>0.15</v>
      </c>
      <c r="G90" s="75">
        <f>E90-'ERPs by country'!$E$3</f>
        <v>2.2560411005174613E-2</v>
      </c>
      <c r="H90" s="96"/>
    </row>
    <row r="91" spans="1:8">
      <c r="A91" s="57" t="s">
        <v>16</v>
      </c>
      <c r="B91" s="132">
        <v>66.3</v>
      </c>
      <c r="C91" s="135">
        <f>'ERPs by country'!E98</f>
        <v>7.0652173241176397E-2</v>
      </c>
      <c r="D91" s="27">
        <f>'ERPs by country'!D98</f>
        <v>1.3874881337825837E-2</v>
      </c>
      <c r="E91" s="27">
        <f t="shared" si="1"/>
        <v>7.0652173241176397E-2</v>
      </c>
      <c r="F91" s="75">
        <f>'Country Tax Rates'!B91</f>
        <v>0.3</v>
      </c>
      <c r="G91" s="75">
        <f>E91-'ERPs by country'!$E$3</f>
        <v>1.6952173241176399E-2</v>
      </c>
      <c r="H91" s="96"/>
    </row>
    <row r="92" spans="1:8">
      <c r="A92" s="57" t="s">
        <v>17</v>
      </c>
      <c r="B92" s="132">
        <v>64.8</v>
      </c>
      <c r="C92" s="135">
        <f>'ERPs by country'!E99</f>
        <v>0.14559862336006157</v>
      </c>
      <c r="D92" s="27">
        <f>'ERPs by country'!D99</f>
        <v>7.5216461989266389E-2</v>
      </c>
      <c r="E92" s="27">
        <f t="shared" si="1"/>
        <v>0.14559862336006157</v>
      </c>
      <c r="F92" s="75">
        <f>'Country Tax Rates'!B92</f>
        <v>0.12</v>
      </c>
      <c r="G92" s="75">
        <f>E92-'ERPs by country'!$E$3</f>
        <v>9.1898623360061577E-2</v>
      </c>
      <c r="H92" s="96"/>
    </row>
    <row r="93" spans="1:8">
      <c r="A93" s="57" t="s">
        <v>64</v>
      </c>
      <c r="B93" s="132">
        <v>66.5</v>
      </c>
      <c r="C93" s="135">
        <f>'ERPs by country'!E100</f>
        <v>0.14559862336006157</v>
      </c>
      <c r="D93" s="27">
        <f>'ERPs by country'!D100</f>
        <v>7.5216461989266389E-2</v>
      </c>
      <c r="E93" s="27">
        <f t="shared" si="1"/>
        <v>0.14559862336006157</v>
      </c>
      <c r="F93" s="75">
        <f>'Country Tax Rates'!B93</f>
        <v>0.25</v>
      </c>
      <c r="G93" s="75">
        <f>E93-'ERPs by country'!$E$3</f>
        <v>9.1898623360061577E-2</v>
      </c>
      <c r="H93" s="96"/>
    </row>
    <row r="94" spans="1:8">
      <c r="A94" s="57" t="s">
        <v>8</v>
      </c>
      <c r="B94" s="132"/>
      <c r="C94" s="135">
        <f>'ERPs by country'!E101</f>
        <v>0.11730251464170696</v>
      </c>
      <c r="D94" s="27">
        <f>'ERPs by country'!D101</f>
        <v>5.2056885620865363E-2</v>
      </c>
      <c r="E94" s="27">
        <f t="shared" si="1"/>
        <v>0.11730251464170696</v>
      </c>
      <c r="F94" s="75">
        <f>'Country Tax Rates'!B94</f>
        <v>0.09</v>
      </c>
      <c r="G94" s="75">
        <f>E94-'ERPs by country'!$E$3</f>
        <v>6.3602514641706964E-2</v>
      </c>
      <c r="H94" s="96"/>
    </row>
    <row r="95" spans="1:8">
      <c r="A95" s="57" t="s">
        <v>232</v>
      </c>
      <c r="B95" s="132"/>
      <c r="C95" s="135">
        <f>'ERPs by country'!E102</f>
        <v>8.4800227600353703E-2</v>
      </c>
      <c r="D95" s="27">
        <f>'ERPs by country'!D102</f>
        <v>2.5454669522026348E-2</v>
      </c>
      <c r="E95" s="27">
        <f t="shared" si="1"/>
        <v>8.4800227600353703E-2</v>
      </c>
      <c r="F95" s="75">
        <f>'Country Tax Rates'!B95</f>
        <v>0.27979999999999999</v>
      </c>
      <c r="G95" s="75">
        <f>E95-'ERPs by country'!$E$3</f>
        <v>3.1100227600353705E-2</v>
      </c>
      <c r="H95" s="96"/>
    </row>
    <row r="96" spans="1:8">
      <c r="A96" s="57" t="s">
        <v>18</v>
      </c>
      <c r="B96" s="132">
        <v>69.8</v>
      </c>
      <c r="C96" s="135">
        <f>'ERPs by country'!E103</f>
        <v>8.9006405923352364E-2</v>
      </c>
      <c r="D96" s="27">
        <f>'ERPs by country'!D103</f>
        <v>2.8897309252464341E-2</v>
      </c>
      <c r="E96" s="27">
        <f t="shared" si="1"/>
        <v>8.9006405923352364E-2</v>
      </c>
      <c r="F96" s="75">
        <f>'Country Tax Rates'!B96</f>
        <v>0.31</v>
      </c>
      <c r="G96" s="75">
        <f>E96-'ERPs by country'!$E$3</f>
        <v>3.5306405923352366E-2</v>
      </c>
      <c r="H96" s="96"/>
    </row>
    <row r="97" spans="1:8">
      <c r="A97" s="57" t="s">
        <v>233</v>
      </c>
      <c r="B97" s="132">
        <v>57.8</v>
      </c>
      <c r="C97" s="135">
        <f>'ERPs by country'!E104</f>
        <v>0.19492562369340946</v>
      </c>
      <c r="D97" s="27">
        <f>'ERPs by country'!D104</f>
        <v>0.11558923700985736</v>
      </c>
      <c r="E97" s="27">
        <f t="shared" si="1"/>
        <v>0.19492562369340946</v>
      </c>
      <c r="F97" s="75">
        <f>'Country Tax Rates'!B97</f>
        <v>0.32</v>
      </c>
      <c r="G97" s="75">
        <f>E97-'ERPs by country'!$E$3</f>
        <v>0.14122562369340946</v>
      </c>
      <c r="H97" s="96"/>
    </row>
    <row r="98" spans="1:8">
      <c r="A98" s="57" t="s">
        <v>138</v>
      </c>
      <c r="B98" s="132">
        <v>70</v>
      </c>
      <c r="C98" s="135">
        <f>'ERPs by country'!E105</f>
        <v>8.9006405923352364E-2</v>
      </c>
      <c r="D98" s="27">
        <f>'ERPs by country'!D105</f>
        <v>2.8897309252464341E-2</v>
      </c>
      <c r="E98" s="27">
        <f t="shared" si="1"/>
        <v>8.9006405923352364E-2</v>
      </c>
      <c r="F98" s="75">
        <f>'Country Tax Rates'!B98</f>
        <v>0.32</v>
      </c>
      <c r="G98" s="75">
        <f>E98-'ERPs by country'!$E$3</f>
        <v>3.5306405923352366E-2</v>
      </c>
      <c r="H98" s="96"/>
    </row>
    <row r="99" spans="1:8">
      <c r="A99" s="57" t="s">
        <v>193</v>
      </c>
      <c r="B99" s="132">
        <v>83.8</v>
      </c>
      <c r="C99" s="135">
        <f>'ERPs by country'!E106</f>
        <v>5.3699999999999998E-2</v>
      </c>
      <c r="D99" s="27">
        <f>'ERPs by country'!D106</f>
        <v>0</v>
      </c>
      <c r="E99" s="27">
        <f t="shared" si="1"/>
        <v>5.3699999999999998E-2</v>
      </c>
      <c r="F99" s="75">
        <f>'Country Tax Rates'!B100</f>
        <v>0.25</v>
      </c>
      <c r="G99" s="75">
        <f>E99-'ERPs by country'!$E$3</f>
        <v>0</v>
      </c>
      <c r="H99" s="96"/>
    </row>
    <row r="100" spans="1:8">
      <c r="A100" s="57" t="s">
        <v>21</v>
      </c>
      <c r="B100" s="132">
        <v>82.3</v>
      </c>
      <c r="C100" s="135">
        <f>'ERPs by country'!E107</f>
        <v>5.3699999999999998E-2</v>
      </c>
      <c r="D100" s="27">
        <f>'ERPs by country'!D107</f>
        <v>0</v>
      </c>
      <c r="E100" s="27">
        <f t="shared" si="1"/>
        <v>5.3699999999999998E-2</v>
      </c>
      <c r="F100" s="75">
        <f>'Country Tax Rates'!B101</f>
        <v>0.28000000000000003</v>
      </c>
      <c r="G100" s="75">
        <f>E100-'ERPs by country'!$E$3</f>
        <v>0</v>
      </c>
      <c r="H100" s="96"/>
    </row>
    <row r="101" spans="1:8">
      <c r="A101" s="57" t="s">
        <v>22</v>
      </c>
      <c r="B101" s="132">
        <v>61.8</v>
      </c>
      <c r="C101" s="135">
        <f>'ERPs by country'!E108</f>
        <v>0.13145056900088425</v>
      </c>
      <c r="D101" s="27">
        <f>'ERPs by country'!D108</f>
        <v>6.3636673805065866E-2</v>
      </c>
      <c r="E101" s="27">
        <f t="shared" si="1"/>
        <v>0.13145056900088425</v>
      </c>
      <c r="F101" s="75">
        <f>'Country Tax Rates'!B102</f>
        <v>0.3</v>
      </c>
      <c r="G101" s="75">
        <f>E101-'ERPs by country'!$E$3</f>
        <v>7.7750569000884256E-2</v>
      </c>
      <c r="H101" s="96"/>
    </row>
    <row r="102" spans="1:8">
      <c r="A102" s="57" t="s">
        <v>194</v>
      </c>
      <c r="B102" s="132">
        <v>61.8</v>
      </c>
      <c r="C102" s="135">
        <f>'ERPs by country'!E109</f>
        <v>0.13145056900088425</v>
      </c>
      <c r="D102" s="27">
        <f>'ERPs by country'!D109</f>
        <v>6.3636673805065866E-2</v>
      </c>
      <c r="E102" s="27">
        <f t="shared" si="1"/>
        <v>0.13145056900088425</v>
      </c>
      <c r="F102" s="75">
        <f>'Country Tax Rates'!B103</f>
        <v>0.3</v>
      </c>
      <c r="G102" s="75">
        <f>E102-'ERPs by country'!$E$3</f>
        <v>7.7750569000884256E-2</v>
      </c>
      <c r="H102" s="96"/>
    </row>
    <row r="103" spans="1:8">
      <c r="A103" s="57" t="s">
        <v>23</v>
      </c>
      <c r="B103" s="132">
        <v>90.5</v>
      </c>
      <c r="C103" s="135">
        <f>'ERPs by country'!E110</f>
        <v>5.3699999999999998E-2</v>
      </c>
      <c r="D103" s="27">
        <f>'ERPs by country'!D110</f>
        <v>0</v>
      </c>
      <c r="E103" s="27">
        <f t="shared" si="1"/>
        <v>5.3699999999999998E-2</v>
      </c>
      <c r="F103" s="75">
        <f>'Country Tax Rates'!B104</f>
        <v>0.24</v>
      </c>
      <c r="G103" s="75">
        <f>E103-'ERPs by country'!$E$3</f>
        <v>0</v>
      </c>
      <c r="H103" s="96"/>
    </row>
    <row r="104" spans="1:8">
      <c r="A104" s="57" t="s">
        <v>24</v>
      </c>
      <c r="B104" s="132">
        <v>73.3</v>
      </c>
      <c r="C104" s="135">
        <f>'ERPs by country'!E111</f>
        <v>8.4800227600353703E-2</v>
      </c>
      <c r="D104" s="27">
        <f>'ERPs by country'!D111</f>
        <v>2.5454669522026348E-2</v>
      </c>
      <c r="E104" s="27">
        <f t="shared" si="1"/>
        <v>8.4800227600353703E-2</v>
      </c>
      <c r="F104" s="75">
        <f>'Country Tax Rates'!B105</f>
        <v>0.15</v>
      </c>
      <c r="G104" s="75">
        <f>E104-'ERPs by country'!$E$3</f>
        <v>3.1100227600353705E-2</v>
      </c>
      <c r="H104" s="96"/>
    </row>
    <row r="105" spans="1:8">
      <c r="A105" s="57" t="s">
        <v>25</v>
      </c>
      <c r="B105" s="132">
        <v>59.8</v>
      </c>
      <c r="C105" s="135">
        <f>'ERPs by country'!E112</f>
        <v>0.14559862336006157</v>
      </c>
      <c r="D105" s="27">
        <f>'ERPs by country'!D112</f>
        <v>7.5216461989266389E-2</v>
      </c>
      <c r="E105" s="27">
        <f t="shared" si="1"/>
        <v>0.14559862336006157</v>
      </c>
      <c r="F105" s="75">
        <f>'Country Tax Rates'!B106</f>
        <v>0.31</v>
      </c>
      <c r="G105" s="75">
        <f>E105-'ERPs by country'!$E$3</f>
        <v>9.1898623360061577E-2</v>
      </c>
      <c r="H105" s="96"/>
    </row>
    <row r="106" spans="1:8">
      <c r="A106" s="57" t="s">
        <v>26</v>
      </c>
      <c r="B106" s="132">
        <v>75</v>
      </c>
      <c r="C106" s="135">
        <f>'ERPs by country'!E113</f>
        <v>8.0594049277355057E-2</v>
      </c>
      <c r="D106" s="27">
        <f>'ERPs by country'!D113</f>
        <v>2.201202979158836E-2</v>
      </c>
      <c r="E106" s="27">
        <f t="shared" si="1"/>
        <v>8.0594049277355057E-2</v>
      </c>
      <c r="F106" s="75">
        <f>'Country Tax Rates'!B107</f>
        <v>0.25</v>
      </c>
      <c r="G106" s="75">
        <f>E106-'ERPs by country'!$E$3</f>
        <v>2.6894049277355059E-2</v>
      </c>
      <c r="H106" s="96"/>
    </row>
    <row r="107" spans="1:8">
      <c r="A107" s="57" t="s">
        <v>9</v>
      </c>
      <c r="B107" s="132">
        <v>68.3</v>
      </c>
      <c r="C107" s="135">
        <f>'ERPs by country'!E114</f>
        <v>0.13145056900088425</v>
      </c>
      <c r="D107" s="27">
        <f>'ERPs by country'!D114</f>
        <v>6.3636673805065866E-2</v>
      </c>
      <c r="E107" s="27">
        <f t="shared" si="1"/>
        <v>0.13145056900088425</v>
      </c>
      <c r="F107" s="75">
        <f>'Country Tax Rates'!B108</f>
        <v>0.3</v>
      </c>
      <c r="G107" s="75">
        <f>E107-'ERPs by country'!$E$3</f>
        <v>7.7750569000884256E-2</v>
      </c>
      <c r="H107" s="96"/>
    </row>
    <row r="108" spans="1:8">
      <c r="A108" s="57" t="s">
        <v>27</v>
      </c>
      <c r="B108" s="132">
        <v>69.8</v>
      </c>
      <c r="C108" s="135">
        <f>'ERPs by country'!E115</f>
        <v>8.9006405923352364E-2</v>
      </c>
      <c r="D108" s="27">
        <f>'ERPs by country'!D115</f>
        <v>2.8897309252464341E-2</v>
      </c>
      <c r="E108" s="27">
        <f t="shared" si="1"/>
        <v>8.9006405923352364E-2</v>
      </c>
      <c r="F108" s="75">
        <f>'Country Tax Rates'!B109</f>
        <v>0.1</v>
      </c>
      <c r="G108" s="75">
        <f>E108-'ERPs by country'!$E$3</f>
        <v>3.5306405923352366E-2</v>
      </c>
      <c r="H108" s="96"/>
    </row>
    <row r="109" spans="1:8">
      <c r="A109" s="57" t="s">
        <v>28</v>
      </c>
      <c r="B109" s="132">
        <v>73</v>
      </c>
      <c r="C109" s="135">
        <f>'ERPs by country'!E116</f>
        <v>7.0652173241176397E-2</v>
      </c>
      <c r="D109" s="27">
        <f>'ERPs by country'!D116</f>
        <v>1.3874881337825837E-2</v>
      </c>
      <c r="E109" s="27">
        <f t="shared" si="1"/>
        <v>7.0652173241176397E-2</v>
      </c>
      <c r="F109" s="75">
        <f>'Country Tax Rates'!B110</f>
        <v>0.29499999999999998</v>
      </c>
      <c r="G109" s="75">
        <f>E109-'ERPs by country'!$E$3</f>
        <v>1.6952173241176399E-2</v>
      </c>
      <c r="H109" s="96"/>
    </row>
    <row r="110" spans="1:8">
      <c r="A110" s="57" t="s">
        <v>29</v>
      </c>
      <c r="B110" s="132">
        <v>70.8</v>
      </c>
      <c r="C110" s="135">
        <f>'ERPs by country'!E117</f>
        <v>8.0594049277355057E-2</v>
      </c>
      <c r="D110" s="27">
        <f>'ERPs by country'!D117</f>
        <v>2.201202979158836E-2</v>
      </c>
      <c r="E110" s="27">
        <f t="shared" si="1"/>
        <v>8.0594049277355057E-2</v>
      </c>
      <c r="F110" s="75">
        <f>'Country Tax Rates'!B111</f>
        <v>0.3</v>
      </c>
      <c r="G110" s="75">
        <f>E110-'ERPs by country'!$E$3</f>
        <v>2.6894049277355059E-2</v>
      </c>
      <c r="H110" s="96"/>
    </row>
    <row r="111" spans="1:8">
      <c r="A111" s="57" t="s">
        <v>30</v>
      </c>
      <c r="B111" s="132">
        <v>76.3</v>
      </c>
      <c r="C111" s="135">
        <f>'ERPs by country'!E118</f>
        <v>6.5681235223087081E-2</v>
      </c>
      <c r="D111" s="27">
        <f>'ERPs by country'!D118</f>
        <v>9.8063071109445767E-3</v>
      </c>
      <c r="E111" s="27">
        <f t="shared" si="1"/>
        <v>6.5681235223087081E-2</v>
      </c>
      <c r="F111" s="75">
        <f>'Country Tax Rates'!B112</f>
        <v>0.19</v>
      </c>
      <c r="G111" s="75">
        <f>E111-'ERPs by country'!$E$3</f>
        <v>1.1981235223087083E-2</v>
      </c>
      <c r="H111" s="96"/>
    </row>
    <row r="112" spans="1:8">
      <c r="A112" s="57" t="s">
        <v>195</v>
      </c>
      <c r="B112" s="132">
        <v>78.8</v>
      </c>
      <c r="C112" s="135">
        <f>'ERPs by country'!E119</f>
        <v>8.9006405923352364E-2</v>
      </c>
      <c r="D112" s="27">
        <f>'ERPs by country'!D119</f>
        <v>2.8897309252464341E-2</v>
      </c>
      <c r="E112" s="27">
        <f t="shared" si="1"/>
        <v>8.9006405923352364E-2</v>
      </c>
      <c r="F112" s="75">
        <f>'Country Tax Rates'!B113</f>
        <v>0.21</v>
      </c>
      <c r="G112" s="75">
        <f>E112-'ERPs by country'!$E$3</f>
        <v>3.5306405923352366E-2</v>
      </c>
      <c r="H112" s="96"/>
    </row>
    <row r="113" spans="1:8">
      <c r="A113" s="57" t="s">
        <v>76</v>
      </c>
      <c r="B113" s="132">
        <v>71</v>
      </c>
      <c r="C113" s="135">
        <f>'ERPs by country'!E120</f>
        <v>6.223981659517909E-2</v>
      </c>
      <c r="D113" s="27">
        <f>'ERPs by country'!D120</f>
        <v>6.9896018769498571E-3</v>
      </c>
      <c r="E113" s="27">
        <f t="shared" si="1"/>
        <v>6.223981659517909E-2</v>
      </c>
      <c r="F113" s="75">
        <f>'Country Tax Rates'!B114</f>
        <v>0.1</v>
      </c>
      <c r="G113" s="75">
        <f>E113-'ERPs by country'!$E$3</f>
        <v>8.5398165951790922E-3</v>
      </c>
      <c r="H113" s="96"/>
    </row>
    <row r="114" spans="1:8">
      <c r="A114" s="57" t="s">
        <v>300</v>
      </c>
      <c r="B114" s="132"/>
      <c r="C114" s="135">
        <f>'ERPs by country'!E121</f>
        <v>6.5681235223087081E-2</v>
      </c>
      <c r="D114" s="27">
        <f>'ERPs by country'!D121</f>
        <v>9.8063071109445767E-3</v>
      </c>
      <c r="E114" s="27">
        <f t="shared" si="1"/>
        <v>6.5681235223087081E-2</v>
      </c>
      <c r="F114" s="75">
        <f>'Country Tax Rates'!B115</f>
        <v>0</v>
      </c>
      <c r="G114" s="75">
        <f>E114-'ERPs by country'!$E$3</f>
        <v>1.1981235223087083E-2</v>
      </c>
      <c r="H114" s="96"/>
    </row>
    <row r="115" spans="1:8">
      <c r="A115" s="57" t="s">
        <v>0</v>
      </c>
      <c r="B115" s="132">
        <v>71</v>
      </c>
      <c r="C115" s="135">
        <f>'ERPs by country'!E122</f>
        <v>8.4800227600353703E-2</v>
      </c>
      <c r="D115" s="27">
        <f>'ERPs by country'!D122</f>
        <v>2.5454669522026348E-2</v>
      </c>
      <c r="E115" s="27">
        <f t="shared" si="1"/>
        <v>8.4800227600353703E-2</v>
      </c>
      <c r="F115" s="75">
        <f>'Country Tax Rates'!B116</f>
        <v>0.16</v>
      </c>
      <c r="G115" s="75">
        <f>E115-'ERPs by country'!$E$3</f>
        <v>3.1100227600353705E-2</v>
      </c>
      <c r="H115" s="96"/>
    </row>
    <row r="116" spans="1:8">
      <c r="A116" s="57" t="s">
        <v>1</v>
      </c>
      <c r="B116" s="132">
        <v>71.5</v>
      </c>
      <c r="C116" s="135">
        <f>'ERPs by country'!E123</f>
        <v>8.9006405923352364E-2</v>
      </c>
      <c r="D116" s="27">
        <f>'ERPs by country'!D123</f>
        <v>2.8897309252464341E-2</v>
      </c>
      <c r="E116" s="27">
        <f t="shared" si="1"/>
        <v>8.9006405923352364E-2</v>
      </c>
      <c r="F116" s="75">
        <f>'Country Tax Rates'!B117</f>
        <v>0.2</v>
      </c>
      <c r="G116" s="75">
        <f>E116-'ERPs by country'!$E$3</f>
        <v>3.5306405923352366E-2</v>
      </c>
      <c r="H116" s="96"/>
    </row>
    <row r="117" spans="1:8">
      <c r="A117" s="57" t="s">
        <v>234</v>
      </c>
      <c r="B117" s="132"/>
      <c r="C117" s="135">
        <f>'ERPs by country'!E124</f>
        <v>0.13145056900088425</v>
      </c>
      <c r="D117" s="27">
        <f>'ERPs by country'!D124</f>
        <v>6.3636673805065866E-2</v>
      </c>
      <c r="E117" s="27">
        <f t="shared" si="1"/>
        <v>0.13145056900088425</v>
      </c>
      <c r="F117" s="75">
        <f>'Country Tax Rates'!B118</f>
        <v>0.3</v>
      </c>
      <c r="G117" s="75">
        <f>E117-'ERPs by country'!$E$3</f>
        <v>7.7750569000884256E-2</v>
      </c>
      <c r="H117" s="96"/>
    </row>
    <row r="118" spans="1:8">
      <c r="A118" s="57" t="s">
        <v>2</v>
      </c>
      <c r="B118" s="132">
        <v>73.3</v>
      </c>
      <c r="C118" s="135">
        <f>'ERPs by country'!E125</f>
        <v>6.3641876036178643E-2</v>
      </c>
      <c r="D118" s="27">
        <f>'ERPs by country'!D125</f>
        <v>8.1371484537625226E-3</v>
      </c>
      <c r="E118" s="27">
        <f t="shared" si="1"/>
        <v>6.3641876036178643E-2</v>
      </c>
      <c r="F118" s="75">
        <f>'Country Tax Rates'!B119</f>
        <v>0.2</v>
      </c>
      <c r="G118" s="75">
        <f>E118-'ERPs by country'!$E$3</f>
        <v>9.9418760361786457E-3</v>
      </c>
      <c r="H118" s="96"/>
    </row>
    <row r="119" spans="1:8">
      <c r="A119" s="57" t="s">
        <v>137</v>
      </c>
      <c r="B119" s="132">
        <v>64.3</v>
      </c>
      <c r="C119" s="135">
        <f>'ERPs by country'!E126</f>
        <v>0.10455651972352922</v>
      </c>
      <c r="D119" s="27">
        <f>'ERPs by country'!D126</f>
        <v>4.1624644013477513E-2</v>
      </c>
      <c r="E119" s="27">
        <f t="shared" si="1"/>
        <v>0.10455651972352922</v>
      </c>
      <c r="F119" s="75">
        <f>'Country Tax Rates'!B120</f>
        <v>0.3</v>
      </c>
      <c r="G119" s="75">
        <f>E119-'ERPs by country'!$E$3</f>
        <v>5.0856519723529225E-2</v>
      </c>
      <c r="H119" s="96"/>
    </row>
    <row r="120" spans="1:8">
      <c r="A120" s="57" t="s">
        <v>149</v>
      </c>
      <c r="B120" s="132">
        <v>68.3</v>
      </c>
      <c r="C120" s="135">
        <f>'ERPs by country'!E127</f>
        <v>0.10455651972352922</v>
      </c>
      <c r="D120" s="27">
        <f>'ERPs by country'!D127</f>
        <v>4.1624644013477513E-2</v>
      </c>
      <c r="E120" s="27">
        <f t="shared" si="1"/>
        <v>0.10455651972352922</v>
      </c>
      <c r="F120" s="75">
        <f>'Country Tax Rates'!B121</f>
        <v>0.15</v>
      </c>
      <c r="G120" s="75">
        <f>E120-'ERPs by country'!$E$3</f>
        <v>5.0856519723529225E-2</v>
      </c>
      <c r="H120" s="96"/>
    </row>
    <row r="121" spans="1:8">
      <c r="A121" s="57" t="s">
        <v>294</v>
      </c>
      <c r="B121" s="133"/>
      <c r="C121" s="135">
        <f>'ERPs by country'!E128</f>
        <v>7.0652173241176397E-2</v>
      </c>
      <c r="D121" s="27">
        <f>'ERPs by country'!D128</f>
        <v>1.3874881337825837E-2</v>
      </c>
      <c r="E121" s="27">
        <f t="shared" si="1"/>
        <v>7.0652173241176397E-2</v>
      </c>
      <c r="F121" s="75">
        <f>'Country Tax Rates'!B122</f>
        <v>0</v>
      </c>
      <c r="G121" s="75">
        <f>E121-'ERPs by country'!$E$3</f>
        <v>1.6952173241176399E-2</v>
      </c>
      <c r="H121" s="96"/>
    </row>
    <row r="122" spans="1:8">
      <c r="A122" s="57" t="s">
        <v>3</v>
      </c>
      <c r="B122" s="132">
        <v>86.3</v>
      </c>
      <c r="C122" s="135">
        <f>'ERPs by country'!E129</f>
        <v>5.3699999999999998E-2</v>
      </c>
      <c r="D122" s="27">
        <f>'ERPs by country'!D129</f>
        <v>0</v>
      </c>
      <c r="E122" s="27">
        <f t="shared" si="1"/>
        <v>5.3699999999999998E-2</v>
      </c>
      <c r="F122" s="75">
        <f>'Country Tax Rates'!B123</f>
        <v>0.17</v>
      </c>
      <c r="G122" s="75">
        <f>E122-'ERPs by country'!$E$3</f>
        <v>0</v>
      </c>
      <c r="H122" s="96"/>
    </row>
    <row r="123" spans="1:8">
      <c r="A123" s="57" t="s">
        <v>62</v>
      </c>
      <c r="B123" s="132">
        <v>75</v>
      </c>
      <c r="C123" s="135">
        <f>'ERPs by country'!E130</f>
        <v>6.5681235223087081E-2</v>
      </c>
      <c r="D123" s="27">
        <f>'ERPs by country'!D130</f>
        <v>9.8063071109445767E-3</v>
      </c>
      <c r="E123" s="27">
        <f t="shared" si="1"/>
        <v>6.5681235223087081E-2</v>
      </c>
      <c r="F123" s="75">
        <f>'Country Tax Rates'!B124</f>
        <v>0.21</v>
      </c>
      <c r="G123" s="75">
        <f>E123-'ERPs by country'!$E$3</f>
        <v>1.1981235223087083E-2</v>
      </c>
      <c r="H123" s="96"/>
    </row>
    <row r="124" spans="1:8">
      <c r="A124" s="57" t="s">
        <v>196</v>
      </c>
      <c r="B124" s="132">
        <v>75.3</v>
      </c>
      <c r="C124" s="135">
        <f>'ERPs by country'!E131</f>
        <v>7.6260411005174611E-2</v>
      </c>
      <c r="D124" s="27">
        <f>'ERPs by country'!D131</f>
        <v>1.846506764507649E-2</v>
      </c>
      <c r="E124" s="27">
        <f t="shared" si="1"/>
        <v>7.6260411005174611E-2</v>
      </c>
      <c r="F124" s="75">
        <f>'Country Tax Rates'!B125</f>
        <v>0.19</v>
      </c>
      <c r="G124" s="75">
        <f>E124-'ERPs by country'!$E$3</f>
        <v>2.2560411005174613E-2</v>
      </c>
      <c r="H124" s="96"/>
    </row>
    <row r="125" spans="1:8">
      <c r="A125" s="57" t="s">
        <v>78</v>
      </c>
      <c r="B125" s="132">
        <v>70.5</v>
      </c>
      <c r="C125" s="135">
        <f>'ERPs by country'!E133</f>
        <v>8.4800227600353703E-2</v>
      </c>
      <c r="D125" s="27">
        <f>'ERPs by country'!D133</f>
        <v>2.5454669522026348E-2</v>
      </c>
      <c r="E125" s="27">
        <f t="shared" si="1"/>
        <v>8.4800227600353703E-2</v>
      </c>
      <c r="F125" s="75">
        <f>'Country Tax Rates'!B126</f>
        <v>0.28000000000000003</v>
      </c>
      <c r="G125" s="75">
        <f>E125-'ERPs by country'!$E$3</f>
        <v>3.1100227600353705E-2</v>
      </c>
      <c r="H125" s="96"/>
    </row>
    <row r="126" spans="1:8">
      <c r="A126" s="57" t="s">
        <v>140</v>
      </c>
      <c r="B126" s="132">
        <v>75.5</v>
      </c>
      <c r="C126" s="135">
        <f>'ERPs by country'!E134</f>
        <v>7.6260411005174611E-2</v>
      </c>
      <c r="D126" s="27">
        <f>'ERPs by country'!D134</f>
        <v>1.846506764507649E-2</v>
      </c>
      <c r="E126" s="27">
        <f t="shared" si="1"/>
        <v>7.6260411005174611E-2</v>
      </c>
      <c r="F126" s="75">
        <f>'Country Tax Rates'!B127</f>
        <v>0.25</v>
      </c>
      <c r="G126" s="75">
        <f>E126-'ERPs by country'!$E$3</f>
        <v>2.2560411005174613E-2</v>
      </c>
      <c r="H126" s="96"/>
    </row>
    <row r="127" spans="1:8">
      <c r="A127" s="57" t="s">
        <v>136</v>
      </c>
      <c r="B127" s="132">
        <v>64.8</v>
      </c>
      <c r="C127" s="135">
        <f>'ERPs by country'!E135</f>
        <v>0.11730251464170696</v>
      </c>
      <c r="D127" s="27">
        <f>'ERPs by country'!D135</f>
        <v>5.2056885620865363E-2</v>
      </c>
      <c r="E127" s="27">
        <f t="shared" si="1"/>
        <v>0.11730251464170696</v>
      </c>
      <c r="F127" s="75">
        <f>'Country Tax Rates'!B128</f>
        <v>0.28000000000000003</v>
      </c>
      <c r="G127" s="75">
        <f>E127-'ERPs by country'!$E$3</f>
        <v>6.3602514641706964E-2</v>
      </c>
      <c r="H127" s="96"/>
    </row>
    <row r="128" spans="1:8">
      <c r="A128" s="57" t="s">
        <v>197</v>
      </c>
      <c r="B128" s="133"/>
      <c r="C128" s="135">
        <f>'ERPs by country'!E136</f>
        <v>8.0594049277355057E-2</v>
      </c>
      <c r="D128" s="27">
        <f>'ERPs by country'!D136</f>
        <v>2.201202979158836E-2</v>
      </c>
      <c r="E128" s="27">
        <f t="shared" si="1"/>
        <v>8.0594049277355057E-2</v>
      </c>
      <c r="F128" s="75">
        <f>'Country Tax Rates'!B129</f>
        <v>0.34499999999999997</v>
      </c>
      <c r="G128" s="75">
        <f>E128-'ERPs by country'!$E$3</f>
        <v>2.6894049277355059E-2</v>
      </c>
      <c r="H128" s="96"/>
    </row>
    <row r="129" spans="1:8">
      <c r="A129" s="57" t="s">
        <v>10</v>
      </c>
      <c r="B129" s="133"/>
      <c r="C129" s="135">
        <f>'ERPs by country'!E137</f>
        <v>0.14559862336006157</v>
      </c>
      <c r="D129" s="27">
        <f>'ERPs by country'!D137</f>
        <v>7.5216461989266389E-2</v>
      </c>
      <c r="E129" s="27">
        <f t="shared" si="1"/>
        <v>0.14559862336006157</v>
      </c>
      <c r="F129" s="75">
        <f>'Country Tax Rates'!B130</f>
        <v>0.27979999999999999</v>
      </c>
      <c r="G129" s="75">
        <f>E129-'ERPs by country'!$E$3</f>
        <v>9.1898623360061577E-2</v>
      </c>
      <c r="H129" s="96"/>
    </row>
    <row r="130" spans="1:8">
      <c r="A130" s="57" t="s">
        <v>33</v>
      </c>
      <c r="B130" s="132">
        <v>63.8</v>
      </c>
      <c r="C130" s="135">
        <f>'ERPs by country'!E138</f>
        <v>0.13145056900088425</v>
      </c>
      <c r="D130" s="27">
        <f>'ERPs by country'!D138</f>
        <v>6.3636673805065866E-2</v>
      </c>
      <c r="E130" s="27">
        <f t="shared" si="1"/>
        <v>0.13145056900088425</v>
      </c>
      <c r="F130" s="75">
        <f>'Country Tax Rates'!B131</f>
        <v>0.36</v>
      </c>
      <c r="G130" s="75">
        <f>E130-'ERPs by country'!$E$3</f>
        <v>7.7750569000884256E-2</v>
      </c>
      <c r="H130" s="96"/>
    </row>
    <row r="131" spans="1:8">
      <c r="A131" s="57" t="s">
        <v>443</v>
      </c>
      <c r="B131" s="132"/>
      <c r="C131" s="135">
        <f>'ERPs by country'!E139</f>
        <v>0.13145056900088425</v>
      </c>
      <c r="D131" s="27">
        <f>'ERPs by country'!D139</f>
        <v>6.3636673805065866E-2</v>
      </c>
      <c r="E131" s="27">
        <f t="shared" si="1"/>
        <v>0.13145056900088425</v>
      </c>
      <c r="F131" s="75">
        <f>'Country Tax Rates'!B132</f>
        <v>0.27500000000000002</v>
      </c>
      <c r="G131" s="75">
        <f>E131-'ERPs by country'!$E$3</f>
        <v>7.7750569000884256E-2</v>
      </c>
      <c r="H131" s="96"/>
    </row>
    <row r="132" spans="1:8">
      <c r="A132" s="57" t="s">
        <v>34</v>
      </c>
      <c r="B132" s="132">
        <v>84.5</v>
      </c>
      <c r="C132" s="135">
        <f>'ERPs by country'!E140</f>
        <v>5.3699999999999998E-2</v>
      </c>
      <c r="D132" s="27">
        <f>'ERPs by country'!D140</f>
        <v>0</v>
      </c>
      <c r="E132" s="27">
        <f t="shared" ref="E132:E149" si="2">C132</f>
        <v>5.3699999999999998E-2</v>
      </c>
      <c r="F132" s="75">
        <f>'Country Tax Rates'!B133</f>
        <v>0.22</v>
      </c>
      <c r="G132" s="75">
        <f>E132-'ERPs by country'!$E$3</f>
        <v>0</v>
      </c>
      <c r="H132" s="96"/>
    </row>
    <row r="133" spans="1:8">
      <c r="A133" s="57" t="s">
        <v>35</v>
      </c>
      <c r="B133" s="132">
        <v>89.5</v>
      </c>
      <c r="C133" s="135">
        <f>'ERPs by country'!E141</f>
        <v>5.3699999999999998E-2</v>
      </c>
      <c r="D133" s="27">
        <f>'ERPs by country'!D141</f>
        <v>0</v>
      </c>
      <c r="E133" s="27">
        <f t="shared" si="2"/>
        <v>5.3699999999999998E-2</v>
      </c>
      <c r="F133" s="75">
        <f>'Country Tax Rates'!B134</f>
        <v>0.1777</v>
      </c>
      <c r="G133" s="75">
        <f>E133-'ERPs by country'!$E$3</f>
        <v>0</v>
      </c>
      <c r="H133" s="96"/>
    </row>
    <row r="134" spans="1:8">
      <c r="A134" s="57" t="s">
        <v>65</v>
      </c>
      <c r="B134" s="132">
        <v>85</v>
      </c>
      <c r="C134" s="135">
        <f>'ERPs by country'!E142</f>
        <v>6.223981659517909E-2</v>
      </c>
      <c r="D134" s="27">
        <f>'ERPs by country'!D142</f>
        <v>6.9896018769498571E-3</v>
      </c>
      <c r="E134" s="27">
        <f t="shared" si="2"/>
        <v>6.223981659517909E-2</v>
      </c>
      <c r="F134" s="75">
        <f>'Country Tax Rates'!B135</f>
        <v>0.17</v>
      </c>
      <c r="G134" s="75">
        <f>E134-'ERPs by country'!$E$3</f>
        <v>8.5398165951790922E-3</v>
      </c>
      <c r="H134" s="96"/>
    </row>
    <row r="135" spans="1:8">
      <c r="A135" s="57" t="s">
        <v>440</v>
      </c>
      <c r="B135" s="132"/>
      <c r="C135" s="135">
        <f>'ERPs by country'!E143</f>
        <v>0.14559862336006157</v>
      </c>
      <c r="D135" s="27">
        <f>'ERPs by country'!D143</f>
        <v>7.5216461989266389E-2</v>
      </c>
      <c r="E135" s="27">
        <f>C135</f>
        <v>0.14559862336006157</v>
      </c>
      <c r="F135" s="75">
        <f>'Country Tax Rates'!B136</f>
        <v>0</v>
      </c>
      <c r="G135" s="75">
        <f>E135-'ERPs by country'!$E$3</f>
        <v>9.1898623360061577E-2</v>
      </c>
      <c r="H135" s="96"/>
    </row>
    <row r="136" spans="1:8">
      <c r="A136" s="57" t="s">
        <v>66</v>
      </c>
      <c r="B136" s="132">
        <v>71.8</v>
      </c>
      <c r="C136" s="135">
        <f>'ERPs by country'!E145</f>
        <v>7.6260411005174611E-2</v>
      </c>
      <c r="D136" s="27">
        <f>'ERPs by country'!D145</f>
        <v>1.846506764507649E-2</v>
      </c>
      <c r="E136" s="27">
        <f t="shared" si="2"/>
        <v>7.6260411005174611E-2</v>
      </c>
      <c r="F136" s="75">
        <f>'Country Tax Rates'!B137</f>
        <v>0.2</v>
      </c>
      <c r="G136" s="75">
        <f>E136-'ERPs by country'!$E$3</f>
        <v>2.2560411005174613E-2</v>
      </c>
      <c r="H136" s="96"/>
    </row>
    <row r="137" spans="1:8">
      <c r="A137" s="57" t="s">
        <v>11</v>
      </c>
      <c r="B137" s="132">
        <v>70</v>
      </c>
      <c r="C137" s="135">
        <f>'ERPs by country'!E146</f>
        <v>8.9006405923352364E-2</v>
      </c>
      <c r="D137" s="27">
        <f>'ERPs by country'!D146</f>
        <v>2.8897309252464341E-2</v>
      </c>
      <c r="E137" s="27">
        <f t="shared" si="2"/>
        <v>8.9006405923352364E-2</v>
      </c>
      <c r="F137" s="75">
        <f>'Country Tax Rates'!B138</f>
        <v>0.25</v>
      </c>
      <c r="G137" s="75">
        <f>E137-'ERPs by country'!$E$3</f>
        <v>3.5306405923352366E-2</v>
      </c>
      <c r="H137" s="96"/>
    </row>
    <row r="138" spans="1:8">
      <c r="A138" s="57" t="s">
        <v>79</v>
      </c>
      <c r="B138" s="132">
        <v>62.8</v>
      </c>
      <c r="C138" s="135">
        <f>'ERPs by country'!E147</f>
        <v>0.13145056900088425</v>
      </c>
      <c r="D138" s="27">
        <f>'ERPs by country'!D147</f>
        <v>6.3636673805065866E-2</v>
      </c>
      <c r="E138" s="27">
        <f t="shared" si="2"/>
        <v>0.13145056900088425</v>
      </c>
      <c r="F138" s="75">
        <f>'Country Tax Rates'!B139</f>
        <v>0.25</v>
      </c>
      <c r="G138" s="75">
        <f>E138-'ERPs by country'!$E$3</f>
        <v>7.7750569000884256E-2</v>
      </c>
      <c r="H138" s="96"/>
    </row>
    <row r="139" spans="1:8">
      <c r="A139" s="57" t="s">
        <v>67</v>
      </c>
      <c r="B139" s="132">
        <v>60</v>
      </c>
      <c r="C139" s="135">
        <f>'ERPs by country'!E148</f>
        <v>9.6144163077531902E-2</v>
      </c>
      <c r="D139" s="27">
        <f>'ERPs by country'!D148</f>
        <v>3.4739364552601529E-2</v>
      </c>
      <c r="E139" s="27">
        <f t="shared" si="2"/>
        <v>9.6144163077531902E-2</v>
      </c>
      <c r="F139" s="75">
        <f>'Country Tax Rates'!B140</f>
        <v>0.2</v>
      </c>
      <c r="G139" s="75">
        <f>E139-'ERPs by country'!$E$3</f>
        <v>4.2444163077531905E-2</v>
      </c>
    </row>
    <row r="140" spans="1:8">
      <c r="A140" s="57" t="s">
        <v>301</v>
      </c>
      <c r="B140" s="132"/>
      <c r="C140" s="135">
        <f>'ERPs by country'!E149</f>
        <v>7.6260411005174611E-2</v>
      </c>
      <c r="D140" s="27">
        <f>'ERPs by country'!D149</f>
        <v>1.846506764507649E-2</v>
      </c>
      <c r="E140" s="27">
        <f t="shared" si="2"/>
        <v>7.6260411005174611E-2</v>
      </c>
      <c r="F140" s="75">
        <f>'Country Tax Rates'!B141</f>
        <v>0</v>
      </c>
      <c r="G140" s="75">
        <f>E140-'ERPs by country'!$E$3</f>
        <v>2.2560411005174613E-2</v>
      </c>
    </row>
    <row r="141" spans="1:8">
      <c r="A141" s="57" t="s">
        <v>235</v>
      </c>
      <c r="B141" s="132">
        <v>62.5</v>
      </c>
      <c r="C141" s="135">
        <f>'ERPs by country'!E150</f>
        <v>0.13145056900088425</v>
      </c>
      <c r="D141" s="27">
        <f>'ERPs by country'!D150</f>
        <v>6.3636673805065866E-2</v>
      </c>
      <c r="E141" s="27">
        <f t="shared" si="2"/>
        <v>0.13145056900088425</v>
      </c>
      <c r="F141" s="75">
        <f>'Country Tax Rates'!B142</f>
        <v>0.3</v>
      </c>
      <c r="G141" s="75">
        <f>E141-'ERPs by country'!$E$3</f>
        <v>7.7750569000884256E-2</v>
      </c>
    </row>
    <row r="142" spans="1:8">
      <c r="A142" s="57" t="s">
        <v>69</v>
      </c>
      <c r="B142" s="132">
        <v>62.8</v>
      </c>
      <c r="C142" s="135">
        <f>'ERPs by country'!E151</f>
        <v>0.18090502928341393</v>
      </c>
      <c r="D142" s="27">
        <f>'ERPs by country'!D151</f>
        <v>0.10411377124173073</v>
      </c>
      <c r="E142" s="27">
        <f t="shared" si="2"/>
        <v>0.18090502928341393</v>
      </c>
      <c r="F142" s="75">
        <f>'Country Tax Rates'!B143</f>
        <v>0.18</v>
      </c>
      <c r="G142" s="75">
        <f>E142-'ERPs by country'!$E$3</f>
        <v>0.12720502928341393</v>
      </c>
    </row>
    <row r="143" spans="1:8">
      <c r="A143" s="57" t="s">
        <v>61</v>
      </c>
      <c r="B143" s="132">
        <v>78.5</v>
      </c>
      <c r="C143" s="135">
        <f>'ERPs by country'!E152</f>
        <v>6.0710297204997758E-2</v>
      </c>
      <c r="D143" s="27">
        <f>'ERPs by country'!D152</f>
        <v>5.7377328840633162E-3</v>
      </c>
      <c r="E143" s="27">
        <f t="shared" si="2"/>
        <v>6.0710297204997758E-2</v>
      </c>
      <c r="F143" s="75">
        <f>'Country Tax Rates'!B144</f>
        <v>0.55000000000000004</v>
      </c>
      <c r="G143" s="75">
        <f>E143-'ERPs by country'!$E$3</f>
        <v>7.0102972049977605E-3</v>
      </c>
    </row>
    <row r="144" spans="1:8">
      <c r="A144" s="57" t="s">
        <v>58</v>
      </c>
      <c r="B144" s="132">
        <v>78</v>
      </c>
      <c r="C144" s="135">
        <f>'ERPs by country'!E153</f>
        <v>6.0710297204997758E-2</v>
      </c>
      <c r="D144" s="27">
        <f>'ERPs by country'!D153</f>
        <v>5.7377328840633162E-3</v>
      </c>
      <c r="E144" s="27">
        <f t="shared" si="2"/>
        <v>6.0710297204997758E-2</v>
      </c>
      <c r="F144" s="75">
        <f>'Country Tax Rates'!B145</f>
        <v>0.2</v>
      </c>
      <c r="G144" s="75">
        <f>E144-'ERPs by country'!$E$3</f>
        <v>7.0102972049977605E-3</v>
      </c>
    </row>
    <row r="145" spans="1:8">
      <c r="A145" s="57" t="s">
        <v>12</v>
      </c>
      <c r="B145" s="132">
        <v>78.3</v>
      </c>
      <c r="C145" s="135">
        <f>'ERPs by country'!E154</f>
        <v>5.3699999999999998E-2</v>
      </c>
      <c r="D145" s="27">
        <f>'ERPs by country'!D154</f>
        <v>0</v>
      </c>
      <c r="E145" s="27">
        <f t="shared" si="2"/>
        <v>5.3699999999999998E-2</v>
      </c>
      <c r="F145" s="75">
        <f>'Country Tax Rates'!B146</f>
        <v>0.21</v>
      </c>
      <c r="G145" s="75">
        <f>E145-'ERPs by country'!$E$3</f>
        <v>0</v>
      </c>
    </row>
    <row r="146" spans="1:8">
      <c r="A146" s="57" t="s">
        <v>70</v>
      </c>
      <c r="B146" s="132">
        <v>75.3</v>
      </c>
      <c r="C146" s="135">
        <f>'ERPs by country'!E155</f>
        <v>8.0594049277355057E-2</v>
      </c>
      <c r="D146" s="27">
        <f>'ERPs by country'!D155</f>
        <v>2.201202979158836E-2</v>
      </c>
      <c r="E146" s="27">
        <f t="shared" si="2"/>
        <v>8.0594049277355057E-2</v>
      </c>
      <c r="F146" s="75">
        <f>'Country Tax Rates'!B147</f>
        <v>0.25</v>
      </c>
      <c r="G146" s="75">
        <f>E146-'ERPs by country'!$E$3</f>
        <v>2.6894049277355059E-2</v>
      </c>
    </row>
    <row r="147" spans="1:8">
      <c r="A147" s="57" t="s">
        <v>71</v>
      </c>
      <c r="B147" s="132">
        <v>47.5</v>
      </c>
      <c r="C147" s="135">
        <f>'ERPs by country'!E156</f>
        <v>0.27362196611390255</v>
      </c>
      <c r="D147" s="27">
        <f>'ERPs by country'!D156</f>
        <v>0.18</v>
      </c>
      <c r="E147" s="27">
        <f t="shared" si="2"/>
        <v>0.27362196611390255</v>
      </c>
      <c r="F147" s="75">
        <f>'Country Tax Rates'!B148</f>
        <v>0.34</v>
      </c>
      <c r="G147" s="75">
        <f>E147-'ERPs by country'!$E$3</f>
        <v>0.21992196611390255</v>
      </c>
    </row>
    <row r="148" spans="1:8">
      <c r="A148" s="57" t="s">
        <v>72</v>
      </c>
      <c r="B148" s="132">
        <v>68.8</v>
      </c>
      <c r="C148" s="135">
        <f>'ERPs by country'!E157</f>
        <v>0.11730251464170696</v>
      </c>
      <c r="D148" s="27">
        <f>'ERPs by country'!D157</f>
        <v>5.2056885620865363E-2</v>
      </c>
      <c r="E148" s="27">
        <f t="shared" si="2"/>
        <v>0.11730251464170696</v>
      </c>
      <c r="F148" s="75">
        <f>'Country Tax Rates'!B149</f>
        <v>0.2</v>
      </c>
      <c r="G148" s="75">
        <f>E148-'ERPs by country'!$E$3</f>
        <v>6.3602514641706964E-2</v>
      </c>
    </row>
    <row r="149" spans="1:8">
      <c r="A149" s="57" t="s">
        <v>198</v>
      </c>
      <c r="B149" s="132">
        <v>65.8</v>
      </c>
      <c r="C149" s="135">
        <f>'ERPs by country'!E158</f>
        <v>0.14559862336006157</v>
      </c>
      <c r="D149" s="27">
        <f>'ERPs by country'!D158</f>
        <v>7.5216461989266389E-2</v>
      </c>
      <c r="E149" s="27">
        <f t="shared" si="2"/>
        <v>0.14559862336006157</v>
      </c>
      <c r="F149" s="75">
        <f>'Country Tax Rates'!B150</f>
        <v>0.35</v>
      </c>
      <c r="G149" s="75">
        <f>E149-'ERPs by country'!$E$3</f>
        <v>9.1898623360061577E-2</v>
      </c>
    </row>
    <row r="150" spans="1:8">
      <c r="A150" s="57" t="s">
        <v>347</v>
      </c>
      <c r="B150" s="132">
        <v>61</v>
      </c>
      <c r="C150" s="75"/>
      <c r="D150" s="75">
        <f>G150/'ERPs by country'!$E$5</f>
        <v>8.6691927757393011E-2</v>
      </c>
      <c r="E150" s="127">
        <f t="shared" ref="E150:E172" si="3">IF(C150&gt;0,C150,VLOOKUP(B150,$I$3:$K$19,3))</f>
        <v>0.15961921777005708</v>
      </c>
      <c r="F150" s="127">
        <v>0.26</v>
      </c>
      <c r="G150" s="75">
        <f>E150-'ERPs by country'!$E$3</f>
        <v>0.10591921777005708</v>
      </c>
      <c r="H150" s="96"/>
    </row>
    <row r="151" spans="1:8">
      <c r="A151" s="57" t="s">
        <v>348</v>
      </c>
      <c r="B151" s="132">
        <v>76.5</v>
      </c>
      <c r="C151" s="75"/>
      <c r="D151" s="75">
        <f>G151/'ERPs by country'!$E$5</f>
        <v>9.8063071109445767E-3</v>
      </c>
      <c r="E151" s="127">
        <f t="shared" si="3"/>
        <v>6.5681235223087081E-2</v>
      </c>
      <c r="F151" s="75">
        <v>0.185</v>
      </c>
      <c r="G151" s="75">
        <f>E151-'ERPs by country'!$E$3</f>
        <v>1.1981235223087083E-2</v>
      </c>
      <c r="H151" s="96"/>
    </row>
    <row r="152" spans="1:8">
      <c r="A152" s="57" t="s">
        <v>344</v>
      </c>
      <c r="B152" s="132">
        <v>62</v>
      </c>
      <c r="C152" s="75"/>
      <c r="D152" s="75">
        <f>G152/'ERPs by country'!$E$5</f>
        <v>8.6691927757393011E-2</v>
      </c>
      <c r="E152" s="127">
        <f t="shared" si="3"/>
        <v>0.15961921777005708</v>
      </c>
      <c r="F152" s="75">
        <v>0.31</v>
      </c>
      <c r="G152" s="75">
        <f>E152-'ERPs by country'!$E$3</f>
        <v>0.10591921777005708</v>
      </c>
      <c r="H152" s="96"/>
    </row>
    <row r="153" spans="1:8">
      <c r="A153" s="57" t="s">
        <v>327</v>
      </c>
      <c r="B153" s="96">
        <v>56.75</v>
      </c>
      <c r="C153" s="75"/>
      <c r="D153" s="75">
        <f>G153/'ERPs by country'!$E$5</f>
        <v>0.11558923700985736</v>
      </c>
      <c r="E153" s="127">
        <f t="shared" si="3"/>
        <v>0.19492562369340946</v>
      </c>
      <c r="F153" s="75">
        <v>0.28210000000000002</v>
      </c>
      <c r="G153" s="75">
        <f>E153-'ERPs by country'!$E$3</f>
        <v>0.14122562369340946</v>
      </c>
      <c r="H153" s="96"/>
    </row>
    <row r="154" spans="1:8">
      <c r="A154" s="57" t="s">
        <v>343</v>
      </c>
      <c r="B154" s="96">
        <v>65</v>
      </c>
      <c r="C154" s="75"/>
      <c r="D154" s="75">
        <f>G154/'ERPs by country'!$E$5</f>
        <v>6.3636673805065866E-2</v>
      </c>
      <c r="E154" s="127">
        <f t="shared" si="3"/>
        <v>0.13145056900088425</v>
      </c>
      <c r="F154" s="75">
        <v>0.28210000000000002</v>
      </c>
      <c r="G154" s="75">
        <f>E154-'ERPs by country'!$E$3</f>
        <v>7.7750569000884256E-2</v>
      </c>
      <c r="H154" s="96"/>
    </row>
    <row r="155" spans="1:8">
      <c r="A155" s="57" t="s">
        <v>340</v>
      </c>
      <c r="B155" s="96">
        <v>68.5</v>
      </c>
      <c r="C155" s="75"/>
      <c r="D155" s="75">
        <f>G155/'ERPs by country'!$E$5</f>
        <v>4.162464401347752E-2</v>
      </c>
      <c r="E155" s="127">
        <f t="shared" si="3"/>
        <v>0.10455651972352922</v>
      </c>
      <c r="F155" s="75">
        <v>0.27979999999999999</v>
      </c>
      <c r="G155" s="75">
        <f>E155-'ERPs by country'!$E$3</f>
        <v>5.0856519723529225E-2</v>
      </c>
      <c r="H155" s="96"/>
    </row>
    <row r="156" spans="1:8">
      <c r="A156" s="57" t="s">
        <v>336</v>
      </c>
      <c r="B156" s="132">
        <v>62.8</v>
      </c>
      <c r="C156" s="75"/>
      <c r="D156" s="75">
        <f>G156/'ERPs by country'!$E$5</f>
        <v>7.5216461989266389E-2</v>
      </c>
      <c r="E156" s="127">
        <f t="shared" si="3"/>
        <v>0.14559862336006157</v>
      </c>
      <c r="F156" s="75">
        <v>0.27979999999999999</v>
      </c>
      <c r="G156" s="75">
        <f>E156-'ERPs by country'!$E$3</f>
        <v>9.1898623360061577E-2</v>
      </c>
      <c r="H156" s="96"/>
    </row>
    <row r="157" spans="1:8">
      <c r="A157" s="57" t="s">
        <v>338</v>
      </c>
      <c r="B157" s="132">
        <v>69</v>
      </c>
      <c r="C157" s="75"/>
      <c r="D157" s="75">
        <f>G157/'ERPs by country'!$E$5</f>
        <v>4.162464401347752E-2</v>
      </c>
      <c r="E157" s="127">
        <f t="shared" si="3"/>
        <v>0.10455651972352922</v>
      </c>
      <c r="F157" s="75">
        <v>0.21279999999999999</v>
      </c>
      <c r="G157" s="75">
        <f>E157-'ERPs by country'!$E$3</f>
        <v>5.0856519723529225E-2</v>
      </c>
      <c r="H157" s="96"/>
    </row>
    <row r="158" spans="1:8">
      <c r="A158" s="57" t="s">
        <v>396</v>
      </c>
      <c r="B158" s="132">
        <v>57.3</v>
      </c>
      <c r="C158" s="75"/>
      <c r="D158" s="75">
        <f>G158/'ERPs by country'!$E$5</f>
        <v>0.10411377124173071</v>
      </c>
      <c r="E158" s="127">
        <f t="shared" si="3"/>
        <v>0.18090502928341393</v>
      </c>
      <c r="F158" s="75">
        <v>0.21279999999999999</v>
      </c>
      <c r="G158" s="75">
        <f>E158-'ERPs by country'!$E$3</f>
        <v>0.12720502928341393</v>
      </c>
      <c r="H158" s="96"/>
    </row>
    <row r="159" spans="1:8">
      <c r="A159" s="57" t="s">
        <v>328</v>
      </c>
      <c r="B159" s="96">
        <v>55.75</v>
      </c>
      <c r="C159" s="75"/>
      <c r="D159" s="75">
        <f>G159/'ERPs by country'!$E$5</f>
        <v>0.11558923700985736</v>
      </c>
      <c r="E159" s="127">
        <f t="shared" si="3"/>
        <v>0.19492562369340946</v>
      </c>
      <c r="F159" s="75">
        <v>0.28210000000000002</v>
      </c>
      <c r="G159" s="75">
        <f>E159-'ERPs by country'!$E$3</f>
        <v>0.14122562369340946</v>
      </c>
      <c r="H159" s="96"/>
    </row>
    <row r="160" spans="1:8">
      <c r="A160" s="57" t="s">
        <v>332</v>
      </c>
      <c r="B160" s="96">
        <v>67.75</v>
      </c>
      <c r="C160" s="75"/>
      <c r="D160" s="75">
        <f>G160/'ERPs by country'!$E$5</f>
        <v>5.2056885620865356E-2</v>
      </c>
      <c r="E160" s="127">
        <f t="shared" si="3"/>
        <v>0.11730251464170696</v>
      </c>
      <c r="F160" s="127">
        <v>0.2</v>
      </c>
      <c r="G160" s="75">
        <f>E160-'ERPs by country'!$E$3</f>
        <v>6.3602514641706964E-2</v>
      </c>
      <c r="H160" s="96"/>
    </row>
    <row r="161" spans="1:8">
      <c r="A161" s="57" t="s">
        <v>346</v>
      </c>
      <c r="B161" s="96">
        <v>63.75</v>
      </c>
      <c r="C161" s="75"/>
      <c r="D161" s="75">
        <f>G161/'ERPs by country'!$E$5</f>
        <v>7.5216461989266389E-2</v>
      </c>
      <c r="E161" s="127">
        <f t="shared" si="3"/>
        <v>0.14559862336006157</v>
      </c>
      <c r="F161" s="75">
        <v>0.2</v>
      </c>
      <c r="G161" s="75">
        <f>E161-'ERPs by country'!$E$3</f>
        <v>9.1898623360061577E-2</v>
      </c>
      <c r="H161" s="96"/>
    </row>
    <row r="162" spans="1:8">
      <c r="A162" s="57" t="s">
        <v>337</v>
      </c>
      <c r="B162" s="96">
        <v>61</v>
      </c>
      <c r="C162" s="75"/>
      <c r="D162" s="75">
        <f>G162/'ERPs by country'!$E$5</f>
        <v>8.6691927757393011E-2</v>
      </c>
      <c r="E162" s="127">
        <f t="shared" si="3"/>
        <v>0.15961921777005708</v>
      </c>
      <c r="F162" s="75">
        <v>0.3</v>
      </c>
      <c r="G162" s="75">
        <f>E162-'ERPs by country'!$E$3</f>
        <v>0.10591921777005708</v>
      </c>
      <c r="H162" s="96"/>
    </row>
    <row r="163" spans="1:8">
      <c r="A163" s="57" t="s">
        <v>335</v>
      </c>
      <c r="B163" s="132">
        <v>61</v>
      </c>
      <c r="C163" s="75"/>
      <c r="D163" s="75">
        <f>G163/'ERPs by country'!$E$5</f>
        <v>8.6691927757393011E-2</v>
      </c>
      <c r="E163" s="127">
        <f t="shared" si="3"/>
        <v>0.15961921777005708</v>
      </c>
      <c r="F163" s="75">
        <v>0.28210000000000002</v>
      </c>
      <c r="G163" s="75">
        <f>E163-'ERPs by country'!$E$3</f>
        <v>0.10591921777005708</v>
      </c>
      <c r="H163" s="96"/>
    </row>
    <row r="164" spans="1:8">
      <c r="A164" s="57" t="s">
        <v>345</v>
      </c>
      <c r="B164" s="132">
        <v>64.5</v>
      </c>
      <c r="C164" s="75"/>
      <c r="D164" s="75">
        <f>G164/'ERPs by country'!$E$5</f>
        <v>6.3636673805065866E-2</v>
      </c>
      <c r="E164" s="127">
        <f t="shared" si="3"/>
        <v>0.13145056900088425</v>
      </c>
      <c r="F164" s="75">
        <v>0.25</v>
      </c>
      <c r="G164" s="75">
        <f>E164-'ERPs by country'!$E$3</f>
        <v>7.7750569000884256E-2</v>
      </c>
      <c r="H164" s="96"/>
    </row>
    <row r="165" spans="1:8">
      <c r="A165" s="57" t="s">
        <v>331</v>
      </c>
      <c r="B165" s="132">
        <v>54.8</v>
      </c>
      <c r="C165" s="75"/>
      <c r="D165" s="75">
        <f>G165/'ERPs by country'!$E$5</f>
        <v>0.13874881337825837</v>
      </c>
      <c r="E165" s="127">
        <f t="shared" si="3"/>
        <v>0.22322173241176405</v>
      </c>
      <c r="F165" s="75">
        <v>0.28210000000000002</v>
      </c>
      <c r="G165" s="75">
        <f>E165-'ERPs by country'!$E$3</f>
        <v>0.16952173241176405</v>
      </c>
      <c r="H165" s="96"/>
    </row>
    <row r="166" spans="1:8">
      <c r="A166" s="57" t="s">
        <v>339</v>
      </c>
      <c r="B166" s="132">
        <v>55</v>
      </c>
      <c r="C166" s="75"/>
      <c r="D166" s="75">
        <f>G166/'ERPs by country'!$E$5</f>
        <v>0.13874881337825837</v>
      </c>
      <c r="E166" s="127">
        <f t="shared" si="3"/>
        <v>0.22322173241176405</v>
      </c>
      <c r="F166" s="75">
        <v>0.3</v>
      </c>
      <c r="G166" s="75">
        <f>E166-'ERPs by country'!$E$3</f>
        <v>0.16952173241176405</v>
      </c>
      <c r="H166" s="96"/>
    </row>
    <row r="167" spans="1:8">
      <c r="A167" s="57" t="s">
        <v>325</v>
      </c>
      <c r="B167" s="132">
        <v>52</v>
      </c>
      <c r="C167" s="75"/>
      <c r="D167" s="75">
        <f>G167/'ERPs by country'!$E$5</f>
        <v>0.13874881337825837</v>
      </c>
      <c r="E167" s="127">
        <f t="shared" si="3"/>
        <v>0.22322173241176405</v>
      </c>
      <c r="F167" s="75">
        <v>0.2</v>
      </c>
      <c r="G167" s="75">
        <f>E167-'ERPs by country'!$E$3</f>
        <v>0.16952173241176405</v>
      </c>
      <c r="H167" s="96"/>
    </row>
    <row r="168" spans="1:8">
      <c r="A168" s="57" t="s">
        <v>329</v>
      </c>
      <c r="B168" s="132">
        <v>43.3</v>
      </c>
      <c r="C168" s="75"/>
      <c r="D168" s="75">
        <f>G168/'ERPs by country'!$E$5</f>
        <v>0.17999999999999997</v>
      </c>
      <c r="E168" s="127">
        <f t="shared" si="3"/>
        <v>0.27362196611390255</v>
      </c>
      <c r="F168" s="75">
        <v>0.35</v>
      </c>
      <c r="G168" s="75">
        <f>E168-'ERPs by country'!$E$3</f>
        <v>0.21992196611390255</v>
      </c>
      <c r="H168" s="96"/>
    </row>
    <row r="169" spans="1:8">
      <c r="A169" s="57" t="s">
        <v>326</v>
      </c>
      <c r="B169" s="132">
        <v>50.3</v>
      </c>
      <c r="C169" s="75"/>
      <c r="D169" s="75">
        <f>G169/'ERPs by country'!$E$5</f>
        <v>0.13874881337825837</v>
      </c>
      <c r="E169" s="127">
        <f t="shared" si="3"/>
        <v>0.22322173241176405</v>
      </c>
      <c r="F169" s="75">
        <v>0.28000000000000003</v>
      </c>
      <c r="G169" s="75">
        <f>E169-'ERPs by country'!$E$3</f>
        <v>0.16952173241176405</v>
      </c>
      <c r="H169" s="96"/>
    </row>
    <row r="170" spans="1:8">
      <c r="A170" s="57" t="s">
        <v>334</v>
      </c>
      <c r="B170" s="132">
        <v>61</v>
      </c>
      <c r="C170" s="75"/>
      <c r="D170" s="75">
        <f>G170/'ERPs by country'!$E$5</f>
        <v>8.6691927757393011E-2</v>
      </c>
      <c r="E170" s="127">
        <f t="shared" si="3"/>
        <v>0.15961921777005708</v>
      </c>
      <c r="F170" s="75">
        <v>0.28670000000000001</v>
      </c>
      <c r="G170" s="75">
        <f>E170-'ERPs by country'!$E$3</f>
        <v>0.10591921777005708</v>
      </c>
      <c r="H170" s="96"/>
    </row>
    <row r="171" spans="1:8">
      <c r="A171" s="57" t="s">
        <v>333</v>
      </c>
      <c r="B171" s="132">
        <v>49.3</v>
      </c>
      <c r="C171" s="75"/>
      <c r="D171" s="75">
        <f>G171/'ERPs by country'!$E$5</f>
        <v>0.17999999999999997</v>
      </c>
      <c r="E171" s="127">
        <f t="shared" si="3"/>
        <v>0.27362196611390255</v>
      </c>
      <c r="F171" s="75">
        <v>0.2</v>
      </c>
      <c r="G171" s="75">
        <f>E171-'ERPs by country'!$E$3</f>
        <v>0.21992196611390255</v>
      </c>
      <c r="H171" s="96"/>
    </row>
    <row r="172" spans="1:8">
      <c r="A172" s="57" t="s">
        <v>330</v>
      </c>
      <c r="B172" s="132">
        <v>61</v>
      </c>
      <c r="C172" s="75"/>
      <c r="D172" s="75">
        <f>G172/'ERPs by country'!$E$5</f>
        <v>8.6691927757393011E-2</v>
      </c>
      <c r="E172" s="127">
        <f t="shared" si="3"/>
        <v>0.15961921777005708</v>
      </c>
      <c r="F172" s="75">
        <v>0.25</v>
      </c>
      <c r="G172" s="75">
        <f>E172-'ERPs by country'!$E$3</f>
        <v>0.10591921777005708</v>
      </c>
    </row>
    <row r="173" spans="1:8" ht="12">
      <c r="A173"/>
      <c r="B173"/>
      <c r="C173"/>
      <c r="D173"/>
    </row>
  </sheetData>
  <mergeCells count="1">
    <mergeCell ref="I1:J1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abSelected="1" workbookViewId="0">
      <selection activeCell="B17" sqref="B17"/>
    </sheetView>
  </sheetViews>
  <sheetFormatPr baseColWidth="10" defaultRowHeight="16"/>
  <cols>
    <col min="1" max="1" width="35.6640625" style="49" bestFit="1" customWidth="1"/>
    <col min="2" max="2" width="22" customWidth="1"/>
  </cols>
  <sheetData>
    <row r="1" spans="1:4" s="48" customFormat="1" ht="19">
      <c r="A1" s="48" t="s">
        <v>264</v>
      </c>
    </row>
    <row r="2" spans="1:4">
      <c r="A2" s="49" t="s">
        <v>77</v>
      </c>
      <c r="B2" s="50" t="s">
        <v>71</v>
      </c>
      <c r="D2" s="1" t="s">
        <v>349</v>
      </c>
    </row>
    <row r="3" spans="1:4">
      <c r="B3" s="49"/>
      <c r="D3" s="1" t="s">
        <v>350</v>
      </c>
    </row>
    <row r="4" spans="1:4">
      <c r="A4" s="49" t="s">
        <v>267</v>
      </c>
      <c r="B4" s="52" t="str">
        <f>VLOOKUP(B2,'Ratings worksheet'!$A$2:$C$152,3)</f>
        <v>C</v>
      </c>
      <c r="C4" t="s">
        <v>269</v>
      </c>
    </row>
    <row r="5" spans="1:4">
      <c r="A5" s="49" t="s">
        <v>268</v>
      </c>
      <c r="B5" s="52" t="str">
        <f>VLOOKUP(B2,'Ratings worksheet'!$A$2:$C$152,2)</f>
        <v>CCC-</v>
      </c>
      <c r="C5" t="s">
        <v>269</v>
      </c>
    </row>
    <row r="6" spans="1:4">
      <c r="A6" s="49" t="s">
        <v>266</v>
      </c>
      <c r="B6" s="53" t="str">
        <f>VLOOKUP(B2,'10-year CDS Spreads'!A2:D152,3)</f>
        <v>NA</v>
      </c>
    </row>
    <row r="7" spans="1:4">
      <c r="A7" s="49" t="s">
        <v>276</v>
      </c>
      <c r="B7" s="53" t="str">
        <f>IF(B6="NA","NA",VLOOKUP(B2,'ERPs by country'!A8:I158,9)/'ERPs by country'!E5)</f>
        <v>NA</v>
      </c>
    </row>
    <row r="8" spans="1:4">
      <c r="B8" s="51"/>
    </row>
    <row r="9" spans="1:4">
      <c r="A9" s="49" t="s">
        <v>361</v>
      </c>
      <c r="B9" s="97">
        <f>VLOOKUP(B2,'ERPs by country'!A8:I158,4)</f>
        <v>0.18</v>
      </c>
    </row>
    <row r="10" spans="1:4">
      <c r="A10" s="49" t="s">
        <v>270</v>
      </c>
      <c r="B10" s="53">
        <f>VLOOKUP(B2,'ERPs by country'!A8:I158,6)</f>
        <v>0.21992196611390258</v>
      </c>
    </row>
    <row r="11" spans="1:4">
      <c r="A11" s="49" t="s">
        <v>271</v>
      </c>
      <c r="B11" s="53">
        <f>VLOOKUP(B2,'ERPs by country'!A8:I158,5)</f>
        <v>0.27362196611390255</v>
      </c>
    </row>
    <row r="12" spans="1:4">
      <c r="B12" s="51"/>
    </row>
    <row r="13" spans="1:4">
      <c r="A13" s="49" t="s">
        <v>272</v>
      </c>
      <c r="B13" s="53" t="str">
        <f>VLOOKUP(B2,'ERPs by country'!A8:I158,9)</f>
        <v>NA</v>
      </c>
    </row>
    <row r="14" spans="1:4">
      <c r="A14" s="49" t="s">
        <v>273</v>
      </c>
      <c r="B14" s="53" t="str">
        <f>VLOOKUP(B2,'ERPs by country'!A8:I158,8)</f>
        <v>NA</v>
      </c>
    </row>
    <row r="16" spans="1:4" ht="19">
      <c r="A16" s="48" t="s">
        <v>265</v>
      </c>
    </row>
    <row r="17" spans="1:2">
      <c r="A17" s="49" t="s">
        <v>53</v>
      </c>
      <c r="B17" s="54" t="s">
        <v>131</v>
      </c>
    </row>
    <row r="19" spans="1:2">
      <c r="A19" s="49" t="s">
        <v>288</v>
      </c>
      <c r="B19" s="55">
        <f>VLOOKUP(B17,'Regional Simple Averages'!$A$5:$E$13,3)</f>
        <v>3.5217738132617214E-2</v>
      </c>
    </row>
    <row r="20" spans="1:2">
      <c r="A20" s="49" t="s">
        <v>289</v>
      </c>
      <c r="B20" s="55">
        <f>VLOOKUP(B17,'Regional Simple Averages'!$A$5:$E$13,4)</f>
        <v>8.8917738132617219E-2</v>
      </c>
    </row>
    <row r="22" spans="1:2">
      <c r="A22" s="49" t="s">
        <v>274</v>
      </c>
      <c r="B22" s="55">
        <f>VLOOKUP(B17,'Regional Weighted Averages'!A165:C173,3)</f>
        <v>1.4414223430603548E-2</v>
      </c>
    </row>
    <row r="23" spans="1:2">
      <c r="A23" s="49" t="s">
        <v>275</v>
      </c>
      <c r="B23" s="55">
        <f>VLOOKUP(B17,'Regional Weighted Averages'!A165:C173,2)</f>
        <v>6.8114223430603554E-2</v>
      </c>
    </row>
    <row r="25" spans="1:2">
      <c r="A25" s="77" t="s">
        <v>362</v>
      </c>
    </row>
    <row r="27" spans="1:2" s="121" customFormat="1" ht="19">
      <c r="A27" s="48" t="s">
        <v>397</v>
      </c>
    </row>
    <row r="28" spans="1:2">
      <c r="A28" s="49" t="s">
        <v>77</v>
      </c>
      <c r="B28" s="50" t="s">
        <v>329</v>
      </c>
    </row>
    <row r="30" spans="1:2">
      <c r="A30" s="49" t="s">
        <v>359</v>
      </c>
      <c r="B30" s="119">
        <f>VLOOKUP(B28,'PRS Worksheet'!A150:E173,2)</f>
        <v>43.3</v>
      </c>
    </row>
    <row r="31" spans="1:2">
      <c r="A31" s="49" t="s">
        <v>398</v>
      </c>
      <c r="B31" s="120">
        <f>VLOOKUP(B28,'PRS Worksheet'!A150:E173,5)</f>
        <v>0.27362196611390255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country'!$A$8:$A$158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Worksheet'!$A$150:$A$173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0"/>
  <sheetViews>
    <sheetView topLeftCell="B1" zoomScale="150" workbookViewId="0">
      <selection activeCell="F6" sqref="F6"/>
    </sheetView>
  </sheetViews>
  <sheetFormatPr baseColWidth="10" defaultRowHeight="12"/>
  <cols>
    <col min="1" max="1" width="35.83203125" style="22" customWidth="1"/>
    <col min="2" max="2" width="25.83203125" style="22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</cols>
  <sheetData>
    <row r="1" spans="1:12" ht="16">
      <c r="A1" s="166" t="s">
        <v>73</v>
      </c>
      <c r="B1" s="166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6">
      <c r="A2" s="166"/>
      <c r="B2" s="6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2" t="s">
        <v>74</v>
      </c>
      <c r="E3" s="14">
        <v>5.3699999999999998E-2</v>
      </c>
      <c r="F3" s="1" t="s">
        <v>589</v>
      </c>
    </row>
    <row r="4" spans="1:12">
      <c r="A4" s="22" t="s">
        <v>143</v>
      </c>
      <c r="E4" s="15" t="s">
        <v>75</v>
      </c>
      <c r="F4" s="21"/>
      <c r="G4" s="21"/>
    </row>
    <row r="5" spans="1:12">
      <c r="A5" s="22" t="s">
        <v>144</v>
      </c>
      <c r="E5" s="117">
        <f>'Relative Equity Volatility'!B4</f>
        <v>1.2217887006327921</v>
      </c>
      <c r="F5" s="129" t="s">
        <v>589</v>
      </c>
      <c r="G5" s="21"/>
    </row>
    <row r="6" spans="1:12">
      <c r="F6" s="3"/>
      <c r="G6" s="3"/>
      <c r="H6" s="3"/>
      <c r="I6" s="3"/>
    </row>
    <row r="7" spans="1:12" s="2" customFormat="1" ht="17">
      <c r="A7" s="173" t="s">
        <v>77</v>
      </c>
      <c r="B7" s="174" t="s">
        <v>130</v>
      </c>
      <c r="C7" s="175" t="s">
        <v>279</v>
      </c>
      <c r="D7" s="176" t="s">
        <v>141</v>
      </c>
      <c r="E7" s="176" t="s">
        <v>142</v>
      </c>
      <c r="F7" s="176" t="s">
        <v>38</v>
      </c>
      <c r="G7" s="177" t="s">
        <v>411</v>
      </c>
      <c r="H7" s="176" t="s">
        <v>494</v>
      </c>
      <c r="I7" s="178" t="s">
        <v>495</v>
      </c>
      <c r="J7" s="1" t="s">
        <v>39</v>
      </c>
    </row>
    <row r="8" spans="1:12" ht="16">
      <c r="A8" s="172" t="str">
        <f>'Sovereign Ratings (Moody''s,S&amp;P)'!A2</f>
        <v>Abu Dhabi</v>
      </c>
      <c r="B8" s="165" t="str">
        <f>VLOOKUP(A8,'Regional lookup table'!$A$2:$B$156,2)</f>
        <v>Middle East</v>
      </c>
      <c r="C8" s="11" t="str">
        <f>'Sovereign Ratings (Moody''s,S&amp;P)'!C2</f>
        <v>Aa2</v>
      </c>
      <c r="D8" s="24">
        <f t="shared" ref="D8:D39" si="0">VLOOKUP(C8,$J$9:$K$29,2)/10000</f>
        <v>5.7377328840633162E-3</v>
      </c>
      <c r="E8" s="24">
        <f>$E$3+F8</f>
        <v>6.0710297204997758E-2</v>
      </c>
      <c r="F8" s="13">
        <f>IF($E$4="Yes",D8*$E$5,D8)</f>
        <v>7.0102972049977622E-3</v>
      </c>
      <c r="G8" s="13">
        <f>VLOOKUP(A8,'10-year CDS Spreads'!$A$2:$D$152,4)</f>
        <v>7.4999999999999997E-3</v>
      </c>
      <c r="H8" s="13">
        <f>IF(I8="NA","NA",$E$3+I8)</f>
        <v>6.2863415254745938E-2</v>
      </c>
      <c r="I8" s="16">
        <f>IF(G8="NA","NA",G8*$E$5)</f>
        <v>9.1634152547459408E-3</v>
      </c>
      <c r="J8" s="20" t="s">
        <v>40</v>
      </c>
      <c r="K8" s="20" t="s">
        <v>41</v>
      </c>
    </row>
    <row r="9" spans="1:12" ht="16">
      <c r="A9" s="172" t="str">
        <f>'Sovereign Ratings (Moody''s,S&amp;P)'!A3</f>
        <v>Albania</v>
      </c>
      <c r="B9" s="165" t="str">
        <f>VLOOKUP(A9,'Regional lookup table'!$A$3:$B$156,2)</f>
        <v>Eastern Europe &amp; Russia</v>
      </c>
      <c r="C9" s="11" t="str">
        <f>'Sovereign Ratings (Moody''s,S&amp;P)'!C3</f>
        <v>B1</v>
      </c>
      <c r="D9" s="24">
        <f t="shared" si="0"/>
        <v>5.2056885620865363E-2</v>
      </c>
      <c r="E9" s="24">
        <f t="shared" ref="E9:E72" si="1">$E$3+F9</f>
        <v>0.11730251464170696</v>
      </c>
      <c r="F9" s="13">
        <f t="shared" ref="F9:F72" si="2">IF($E$4="Yes",D9*$E$5,D9)</f>
        <v>6.3602514641706964E-2</v>
      </c>
      <c r="G9" s="13" t="str">
        <f>VLOOKUP(A9,'10-year CDS Spreads'!$A$2:$D$152,4)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5" t="s">
        <v>42</v>
      </c>
      <c r="K9" s="164">
        <f t="shared" ref="K9:K24" si="5">C189</f>
        <v>81.371484537625221</v>
      </c>
    </row>
    <row r="10" spans="1:12" ht="16">
      <c r="A10" s="172" t="str">
        <f>'Sovereign Ratings (Moody''s,S&amp;P)'!A4</f>
        <v>Andorra (Principality of)</v>
      </c>
      <c r="B10" s="165" t="str">
        <f>VLOOKUP(A10,'Regional lookup table'!$A$3:$B$156,2)</f>
        <v>Western Europe</v>
      </c>
      <c r="C10" s="11" t="str">
        <f>'Sovereign Ratings (Moody''s,S&amp;P)'!C4</f>
        <v>Baa2</v>
      </c>
      <c r="D10" s="24">
        <f t="shared" si="0"/>
        <v>2.201202979158836E-2</v>
      </c>
      <c r="E10" s="24">
        <f t="shared" si="1"/>
        <v>8.0594049277355057E-2</v>
      </c>
      <c r="F10" s="13">
        <f t="shared" si="2"/>
        <v>2.6894049277355052E-2</v>
      </c>
      <c r="G10" s="13" t="str">
        <f>VLOOKUP(A10,'10-year CDS Spreads'!$A$2:$D$152,4)</f>
        <v>NA</v>
      </c>
      <c r="H10" s="13" t="str">
        <f t="shared" si="3"/>
        <v>NA</v>
      </c>
      <c r="I10" s="16" t="str">
        <f t="shared" si="4"/>
        <v>NA</v>
      </c>
      <c r="J10" s="5" t="s">
        <v>43</v>
      </c>
      <c r="K10" s="164">
        <f t="shared" si="5"/>
        <v>98.063071109445772</v>
      </c>
    </row>
    <row r="11" spans="1:12" ht="16">
      <c r="A11" s="172" t="str">
        <f>'Sovereign Ratings (Moody''s,S&amp;P)'!A5</f>
        <v>Angola</v>
      </c>
      <c r="B11" s="165" t="str">
        <f>VLOOKUP(A11,'Regional lookup table'!$A$3:$B$156,2)</f>
        <v>Africa</v>
      </c>
      <c r="C11" s="11" t="str">
        <f>'Sovereign Ratings (Moody''s,S&amp;P)'!C5</f>
        <v>B3</v>
      </c>
      <c r="D11" s="24">
        <f t="shared" si="0"/>
        <v>7.5216461989266389E-2</v>
      </c>
      <c r="E11" s="24">
        <f t="shared" si="1"/>
        <v>0.14559862336006157</v>
      </c>
      <c r="F11" s="13">
        <f t="shared" si="2"/>
        <v>9.1898623360061577E-2</v>
      </c>
      <c r="G11" s="13">
        <f>VLOOKUP(A11,'10-year CDS Spreads'!$A$2:$D$152,4)</f>
        <v>4.7600000000000003E-2</v>
      </c>
      <c r="H11" s="13">
        <f t="shared" si="3"/>
        <v>0.11185714215012091</v>
      </c>
      <c r="I11" s="16">
        <f t="shared" si="4"/>
        <v>5.8157142150120911E-2</v>
      </c>
      <c r="J11" s="5" t="s">
        <v>44</v>
      </c>
      <c r="K11" s="164">
        <f t="shared" si="5"/>
        <v>138.74881337825838</v>
      </c>
    </row>
    <row r="12" spans="1:12" ht="16">
      <c r="A12" s="172" t="str">
        <f>'Sovereign Ratings (Moody''s,S&amp;P)'!A6</f>
        <v>Argentina</v>
      </c>
      <c r="B12" s="165" t="str">
        <f>VLOOKUP(A12,'Regional lookup table'!$A$3:$B$156,2)</f>
        <v>Central and South America</v>
      </c>
      <c r="C12" s="11" t="str">
        <f>'Sovereign Ratings (Moody''s,S&amp;P)'!C6</f>
        <v>B2</v>
      </c>
      <c r="D12" s="24">
        <f t="shared" si="0"/>
        <v>6.3636673805065866E-2</v>
      </c>
      <c r="E12" s="24">
        <f t="shared" si="1"/>
        <v>0.13145056900088425</v>
      </c>
      <c r="F12" s="13">
        <f t="shared" si="2"/>
        <v>7.7750569000884256E-2</v>
      </c>
      <c r="G12" s="13">
        <f>VLOOKUP(A12,'10-year CDS Spreads'!$A$2:$D$152,4)</f>
        <v>5.1400000000000001E-2</v>
      </c>
      <c r="H12" s="13">
        <f t="shared" si="3"/>
        <v>0.11649993921252551</v>
      </c>
      <c r="I12" s="16">
        <f t="shared" si="4"/>
        <v>6.279993921252551E-2</v>
      </c>
      <c r="J12" s="5" t="s">
        <v>45</v>
      </c>
      <c r="K12" s="164">
        <f t="shared" si="5"/>
        <v>45.901863072506522</v>
      </c>
    </row>
    <row r="13" spans="1:12" ht="16">
      <c r="A13" s="172" t="str">
        <f>'Sovereign Ratings (Moody''s,S&amp;P)'!A7</f>
        <v>Armenia</v>
      </c>
      <c r="B13" s="165" t="str">
        <f>VLOOKUP(A13,'Regional lookup table'!$A$3:$B$156,2)</f>
        <v>Eastern Europe &amp; Russia</v>
      </c>
      <c r="C13" s="11" t="str">
        <f>'Sovereign Ratings (Moody''s,S&amp;P)'!C7</f>
        <v>B1</v>
      </c>
      <c r="D13" s="24">
        <f t="shared" si="0"/>
        <v>5.2056885620865363E-2</v>
      </c>
      <c r="E13" s="24">
        <f t="shared" si="1"/>
        <v>0.11730251464170696</v>
      </c>
      <c r="F13" s="13">
        <f t="shared" si="2"/>
        <v>6.3602514641706964E-2</v>
      </c>
      <c r="G13" s="13" t="str">
        <f>VLOOKUP(A13,'10-year CDS Spreads'!$A$2:$D$152,4)</f>
        <v>NA</v>
      </c>
      <c r="H13" s="13" t="str">
        <f t="shared" si="3"/>
        <v>NA</v>
      </c>
      <c r="I13" s="16" t="str">
        <f t="shared" si="4"/>
        <v>NA</v>
      </c>
      <c r="J13" s="5" t="s">
        <v>46</v>
      </c>
      <c r="K13" s="164">
        <f t="shared" si="5"/>
        <v>57.377328840633162</v>
      </c>
    </row>
    <row r="14" spans="1:12" ht="16">
      <c r="A14" s="172" t="str">
        <f>'Sovereign Ratings (Moody''s,S&amp;P)'!A8</f>
        <v>Aruba</v>
      </c>
      <c r="B14" s="165" t="str">
        <f>VLOOKUP(A14,'Regional lookup table'!$A$3:$B$156,2)</f>
        <v>Caribbean</v>
      </c>
      <c r="C14" s="11" t="str">
        <f>'Sovereign Ratings (Moody''s,S&amp;P)'!C8</f>
        <v>Baa1</v>
      </c>
      <c r="D14" s="24">
        <f t="shared" si="0"/>
        <v>1.846506764507649E-2</v>
      </c>
      <c r="E14" s="24">
        <f t="shared" si="1"/>
        <v>7.6260411005174611E-2</v>
      </c>
      <c r="F14" s="13">
        <f t="shared" si="2"/>
        <v>2.2560411005174617E-2</v>
      </c>
      <c r="G14" s="13" t="str">
        <f>VLOOKUP(A14,'10-year CDS Spreads'!$A$2:$D$152,4)</f>
        <v>NA</v>
      </c>
      <c r="H14" s="13" t="str">
        <f t="shared" si="3"/>
        <v>NA</v>
      </c>
      <c r="I14" s="16" t="str">
        <f t="shared" si="4"/>
        <v>NA</v>
      </c>
      <c r="J14" s="5" t="s">
        <v>47</v>
      </c>
      <c r="K14" s="164">
        <f t="shared" si="5"/>
        <v>69.896018769498568</v>
      </c>
    </row>
    <row r="15" spans="1:12" ht="16">
      <c r="A15" s="172" t="str">
        <f>'Sovereign Ratings (Moody''s,S&amp;P)'!A9</f>
        <v>Australia</v>
      </c>
      <c r="B15" s="165" t="str">
        <f>VLOOKUP(A15,'Regional lookup table'!$A$3:$B$156,2)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5.3699999999999998E-2</v>
      </c>
      <c r="F15" s="13">
        <f t="shared" si="2"/>
        <v>0</v>
      </c>
      <c r="G15" s="13">
        <f>VLOOKUP(A15,'10-year CDS Spreads'!$A$2:$D$152,4)</f>
        <v>1.3999999999999998E-3</v>
      </c>
      <c r="H15" s="13">
        <f t="shared" si="3"/>
        <v>5.541050418088591E-2</v>
      </c>
      <c r="I15" s="16">
        <f t="shared" si="4"/>
        <v>1.7105041808859087E-3</v>
      </c>
      <c r="J15" s="5" t="s">
        <v>48</v>
      </c>
      <c r="K15" s="164">
        <f t="shared" si="5"/>
        <v>0</v>
      </c>
    </row>
    <row r="16" spans="1:12" ht="16">
      <c r="A16" s="172" t="str">
        <f>'Sovereign Ratings (Moody''s,S&amp;P)'!A10</f>
        <v>Austria</v>
      </c>
      <c r="B16" s="165" t="str">
        <f>VLOOKUP(A16,'Regional lookup table'!$A$3:$B$156,2)</f>
        <v>Western Europe</v>
      </c>
      <c r="C16" s="11" t="str">
        <f>'Sovereign Ratings (Moody''s,S&amp;P)'!C10</f>
        <v>Aa1</v>
      </c>
      <c r="D16" s="24">
        <f t="shared" si="0"/>
        <v>4.5901863072506524E-3</v>
      </c>
      <c r="E16" s="24">
        <f t="shared" si="1"/>
        <v>5.9308237763998205E-2</v>
      </c>
      <c r="F16" s="13">
        <f t="shared" si="2"/>
        <v>5.6082377639982087E-3</v>
      </c>
      <c r="G16" s="13">
        <f>VLOOKUP(A16,'10-year CDS Spreads'!$A$2:$D$152,4)</f>
        <v>0</v>
      </c>
      <c r="H16" s="13">
        <f t="shared" si="3"/>
        <v>5.3699999999999998E-2</v>
      </c>
      <c r="I16" s="16">
        <f t="shared" si="4"/>
        <v>0</v>
      </c>
      <c r="J16" s="5" t="s">
        <v>49</v>
      </c>
      <c r="K16" s="164">
        <f t="shared" si="5"/>
        <v>520.56885620865364</v>
      </c>
    </row>
    <row r="17" spans="1:11" ht="16">
      <c r="A17" s="172" t="str">
        <f>'Sovereign Ratings (Moody''s,S&amp;P)'!A11</f>
        <v>Azerbaijan</v>
      </c>
      <c r="B17" s="165" t="str">
        <f>VLOOKUP(A17,'Regional lookup table'!$A$3:$B$156,2)</f>
        <v>Eastern Europe &amp; Russia</v>
      </c>
      <c r="C17" s="11" t="str">
        <f>'Sovereign Ratings (Moody''s,S&amp;P)'!C11</f>
        <v>Ba2</v>
      </c>
      <c r="D17" s="24">
        <f t="shared" si="0"/>
        <v>3.4739364552601529E-2</v>
      </c>
      <c r="E17" s="24">
        <f t="shared" si="1"/>
        <v>9.6144163077531902E-2</v>
      </c>
      <c r="F17" s="13">
        <f t="shared" si="2"/>
        <v>4.2444163077531898E-2</v>
      </c>
      <c r="G17" s="13" t="str">
        <f>VLOOKUP(A17,'10-year CDS Spreads'!$A$2:$D$152,4)</f>
        <v>NA</v>
      </c>
      <c r="H17" s="13" t="str">
        <f t="shared" si="3"/>
        <v>NA</v>
      </c>
      <c r="I17" s="16" t="str">
        <f t="shared" si="4"/>
        <v>NA</v>
      </c>
      <c r="J17" s="5" t="s">
        <v>50</v>
      </c>
      <c r="K17" s="164">
        <f t="shared" si="5"/>
        <v>636.36673805065868</v>
      </c>
    </row>
    <row r="18" spans="1:11" ht="16">
      <c r="A18" s="172" t="str">
        <f>'Sovereign Ratings (Moody''s,S&amp;P)'!A12</f>
        <v>Bahamas</v>
      </c>
      <c r="B18" s="165" t="str">
        <f>VLOOKUP(A18,'Regional lookup table'!$A$3:$B$156,2)</f>
        <v>Caribbean</v>
      </c>
      <c r="C18" s="11" t="str">
        <f>'Sovereign Ratings (Moody''s,S&amp;P)'!C12</f>
        <v>Baa3</v>
      </c>
      <c r="D18" s="24">
        <f t="shared" si="0"/>
        <v>2.5454669522026348E-2</v>
      </c>
      <c r="E18" s="24">
        <f t="shared" si="1"/>
        <v>8.4800227600353703E-2</v>
      </c>
      <c r="F18" s="13">
        <f t="shared" si="2"/>
        <v>3.1100227600353709E-2</v>
      </c>
      <c r="G18" s="13" t="str">
        <f>VLOOKUP(A18,'10-year CDS Spreads'!$A$2:$D$152,4)</f>
        <v>NA</v>
      </c>
      <c r="H18" s="13" t="str">
        <f t="shared" si="3"/>
        <v>NA</v>
      </c>
      <c r="I18" s="16" t="str">
        <f t="shared" si="4"/>
        <v>NA</v>
      </c>
      <c r="J18" s="5" t="s">
        <v>80</v>
      </c>
      <c r="K18" s="164">
        <f t="shared" si="5"/>
        <v>752.16461989266384</v>
      </c>
    </row>
    <row r="19" spans="1:11" ht="16">
      <c r="A19" s="172" t="str">
        <f>'Sovereign Ratings (Moody''s,S&amp;P)'!A13</f>
        <v>Bahrain</v>
      </c>
      <c r="B19" s="165" t="str">
        <f>VLOOKUP(A19,'Regional lookup table'!$A$3:$B$156,2)</f>
        <v>Middle East</v>
      </c>
      <c r="C19" s="11" t="str">
        <f>'Sovereign Ratings (Moody''s,S&amp;P)'!C13</f>
        <v>B1</v>
      </c>
      <c r="D19" s="24">
        <f t="shared" si="0"/>
        <v>5.2056885620865363E-2</v>
      </c>
      <c r="E19" s="24">
        <f t="shared" si="1"/>
        <v>0.11730251464170696</v>
      </c>
      <c r="F19" s="13">
        <f t="shared" si="2"/>
        <v>6.3602514641706964E-2</v>
      </c>
      <c r="G19" s="13">
        <f>VLOOKUP(A19,'10-year CDS Spreads'!$A$2:$D$152,4)</f>
        <v>3.7400000000000003E-2</v>
      </c>
      <c r="H19" s="13">
        <f t="shared" si="3"/>
        <v>9.9394897403666416E-2</v>
      </c>
      <c r="I19" s="16">
        <f t="shared" si="4"/>
        <v>4.5694897403666425E-2</v>
      </c>
      <c r="J19" s="5" t="s">
        <v>81</v>
      </c>
      <c r="K19" s="164">
        <f t="shared" si="5"/>
        <v>288.97309252464339</v>
      </c>
    </row>
    <row r="20" spans="1:11" ht="16">
      <c r="A20" s="172" t="str">
        <f>'Sovereign Ratings (Moody''s,S&amp;P)'!A14</f>
        <v>Bangladesh</v>
      </c>
      <c r="B20" s="165" t="str">
        <f>VLOOKUP(A20,'Regional lookup table'!$A$3:$B$156,2)</f>
        <v>Asia</v>
      </c>
      <c r="C20" s="11" t="str">
        <f>'Sovereign Ratings (Moody''s,S&amp;P)'!C14</f>
        <v>Ba3</v>
      </c>
      <c r="D20" s="24">
        <f t="shared" si="0"/>
        <v>4.1624644013477513E-2</v>
      </c>
      <c r="E20" s="24">
        <f t="shared" si="1"/>
        <v>0.10455651972352922</v>
      </c>
      <c r="F20" s="13">
        <f t="shared" si="2"/>
        <v>5.0856519723529219E-2</v>
      </c>
      <c r="G20" s="13" t="str">
        <f>VLOOKUP(A20,'10-year CDS Spreads'!$A$2:$D$152,4)</f>
        <v>NA</v>
      </c>
      <c r="H20" s="13" t="str">
        <f t="shared" si="3"/>
        <v>NA</v>
      </c>
      <c r="I20" s="16" t="str">
        <f t="shared" si="4"/>
        <v>NA</v>
      </c>
      <c r="J20" s="5" t="s">
        <v>82</v>
      </c>
      <c r="K20" s="164">
        <f t="shared" si="5"/>
        <v>347.39364552601529</v>
      </c>
    </row>
    <row r="21" spans="1:11" ht="16">
      <c r="A21" s="172" t="str">
        <f>'Sovereign Ratings (Moody''s,S&amp;P)'!A15</f>
        <v>Barbados</v>
      </c>
      <c r="B21" s="165" t="str">
        <f>VLOOKUP(A21,'Regional lookup table'!$A$3:$B$156,2)</f>
        <v>Caribbean</v>
      </c>
      <c r="C21" s="11" t="str">
        <f>'Sovereign Ratings (Moody''s,S&amp;P)'!C15</f>
        <v>Caa3</v>
      </c>
      <c r="D21" s="24">
        <f t="shared" si="0"/>
        <v>0.11558923700985736</v>
      </c>
      <c r="E21" s="24">
        <f t="shared" si="1"/>
        <v>0.19492562369340946</v>
      </c>
      <c r="F21" s="13">
        <f t="shared" si="2"/>
        <v>0.14122562369340946</v>
      </c>
      <c r="G21" s="13" t="str">
        <f>VLOOKUP(A21,'10-year CDS Spreads'!$A$2:$D$152,4)</f>
        <v>NA</v>
      </c>
      <c r="H21" s="13" t="str">
        <f t="shared" si="3"/>
        <v>NA</v>
      </c>
      <c r="I21" s="16" t="str">
        <f t="shared" si="4"/>
        <v>NA</v>
      </c>
      <c r="J21" s="5" t="s">
        <v>83</v>
      </c>
      <c r="K21" s="164">
        <f t="shared" si="5"/>
        <v>416.24644013477513</v>
      </c>
    </row>
    <row r="22" spans="1:11" ht="16">
      <c r="A22" s="172" t="str">
        <f>'Sovereign Ratings (Moody''s,S&amp;P)'!A16</f>
        <v>Belarus</v>
      </c>
      <c r="B22" s="165" t="str">
        <f>VLOOKUP(A22,'Regional lookup table'!$A$3:$B$156,2)</f>
        <v>Eastern Europe &amp; Russia</v>
      </c>
      <c r="C22" s="11" t="str">
        <f>'Sovereign Ratings (Moody''s,S&amp;P)'!C16</f>
        <v>B3</v>
      </c>
      <c r="D22" s="24">
        <f t="shared" si="0"/>
        <v>7.5216461989266389E-2</v>
      </c>
      <c r="E22" s="24">
        <f t="shared" si="1"/>
        <v>0.14559862336006157</v>
      </c>
      <c r="F22" s="13">
        <f t="shared" si="2"/>
        <v>9.1898623360061577E-2</v>
      </c>
      <c r="G22" s="13" t="str">
        <f>VLOOKUP(A22,'10-year CDS Spreads'!$A$2:$D$152,4)</f>
        <v>NA</v>
      </c>
      <c r="H22" s="13" t="str">
        <f t="shared" si="3"/>
        <v>NA</v>
      </c>
      <c r="I22" s="16" t="str">
        <f t="shared" si="4"/>
        <v>NA</v>
      </c>
      <c r="J22" s="5" t="s">
        <v>84</v>
      </c>
      <c r="K22" s="164">
        <f t="shared" si="5"/>
        <v>184.65067645076491</v>
      </c>
    </row>
    <row r="23" spans="1:11" ht="16">
      <c r="A23" s="172" t="str">
        <f>'Sovereign Ratings (Moody''s,S&amp;P)'!A17</f>
        <v>Belgium</v>
      </c>
      <c r="B23" s="165" t="str">
        <f>VLOOKUP(A23,'Regional lookup table'!$A$3:$B$156,2)</f>
        <v>Western Europe</v>
      </c>
      <c r="C23" s="11" t="str">
        <f>'Sovereign Ratings (Moody''s,S&amp;P)'!C17</f>
        <v>Aa3</v>
      </c>
      <c r="D23" s="24">
        <f t="shared" si="0"/>
        <v>6.9896018769498571E-3</v>
      </c>
      <c r="E23" s="24">
        <f t="shared" si="1"/>
        <v>6.223981659517909E-2</v>
      </c>
      <c r="F23" s="13">
        <f t="shared" si="2"/>
        <v>8.5398165951790905E-3</v>
      </c>
      <c r="G23" s="13">
        <f>VLOOKUP(A23,'10-year CDS Spreads'!$A$2:$D$152,4)</f>
        <v>1.2000000000000001E-3</v>
      </c>
      <c r="H23" s="13">
        <f t="shared" si="3"/>
        <v>5.5166146440759345E-2</v>
      </c>
      <c r="I23" s="16">
        <f t="shared" si="4"/>
        <v>1.4661464407593507E-3</v>
      </c>
      <c r="J23" s="5" t="s">
        <v>85</v>
      </c>
      <c r="K23" s="164">
        <f t="shared" si="5"/>
        <v>220.12029791588358</v>
      </c>
    </row>
    <row r="24" spans="1:11" ht="16">
      <c r="A24" s="172" t="str">
        <f>'Sovereign Ratings (Moody''s,S&amp;P)'!A18</f>
        <v>Belize</v>
      </c>
      <c r="B24" s="165" t="str">
        <f>VLOOKUP(A24,'Regional lookup table'!$A$3:$B$156,2)</f>
        <v>Central and South America</v>
      </c>
      <c r="C24" s="11" t="str">
        <f>'Sovereign Ratings (Moody''s,S&amp;P)'!C18</f>
        <v>B3</v>
      </c>
      <c r="D24" s="24">
        <f t="shared" si="0"/>
        <v>7.5216461989266389E-2</v>
      </c>
      <c r="E24" s="24">
        <f t="shared" si="1"/>
        <v>0.14559862336006157</v>
      </c>
      <c r="F24" s="13">
        <f t="shared" si="2"/>
        <v>9.1898623360061577E-2</v>
      </c>
      <c r="G24" s="13" t="str">
        <f>VLOOKUP(A24,'10-year CDS Spreads'!$A$2:$D$152,4)</f>
        <v>NA</v>
      </c>
      <c r="H24" s="13" t="str">
        <f t="shared" si="3"/>
        <v>NA</v>
      </c>
      <c r="I24" s="16" t="str">
        <f t="shared" si="4"/>
        <v>NA</v>
      </c>
      <c r="J24" s="5" t="s">
        <v>126</v>
      </c>
      <c r="K24" s="164">
        <f t="shared" si="5"/>
        <v>254.54669522026347</v>
      </c>
    </row>
    <row r="25" spans="1:11" ht="16">
      <c r="A25" s="172" t="str">
        <f>'Sovereign Ratings (Moody''s,S&amp;P)'!A19</f>
        <v>Bermuda</v>
      </c>
      <c r="B25" s="165" t="str">
        <f>VLOOKUP(A25,'Regional lookup table'!$A$3:$B$156,2)</f>
        <v>Caribbean</v>
      </c>
      <c r="C25" s="11" t="str">
        <f>'Sovereign Ratings (Moody''s,S&amp;P)'!C19</f>
        <v>A2</v>
      </c>
      <c r="D25" s="24">
        <f t="shared" si="0"/>
        <v>9.8063071109445767E-3</v>
      </c>
      <c r="E25" s="24">
        <f t="shared" si="1"/>
        <v>6.5681235223087081E-2</v>
      </c>
      <c r="F25" s="13">
        <f t="shared" si="2"/>
        <v>1.1981235223087083E-2</v>
      </c>
      <c r="G25" s="13" t="str">
        <f>VLOOKUP(A25,'10-year CDS Spreads'!$A$2:$D$152,4)</f>
        <v>NA</v>
      </c>
      <c r="H25" s="13" t="str">
        <f t="shared" si="3"/>
        <v>NA</v>
      </c>
      <c r="I25" s="16" t="str">
        <f t="shared" si="4"/>
        <v>NA</v>
      </c>
      <c r="J25" s="8" t="s">
        <v>139</v>
      </c>
      <c r="K25" s="164">
        <v>1800</v>
      </c>
    </row>
    <row r="26" spans="1:11" ht="16">
      <c r="A26" s="172" t="str">
        <f>'Sovereign Ratings (Moody''s,S&amp;P)'!A20</f>
        <v>Bolivia</v>
      </c>
      <c r="B26" s="165" t="str">
        <f>VLOOKUP(A26,'Regional lookup table'!$A$3:$B$156,2)</f>
        <v>Central and South America</v>
      </c>
      <c r="C26" s="11" t="str">
        <f>'Sovereign Ratings (Moody''s,S&amp;P)'!C20</f>
        <v>Ba3</v>
      </c>
      <c r="D26" s="24">
        <f t="shared" si="0"/>
        <v>4.1624644013477513E-2</v>
      </c>
      <c r="E26" s="24">
        <f t="shared" si="1"/>
        <v>0.10455651972352922</v>
      </c>
      <c r="F26" s="13">
        <f t="shared" si="2"/>
        <v>5.0856519723529219E-2</v>
      </c>
      <c r="G26" s="13" t="str">
        <f>VLOOKUP(A26,'10-year CDS Spreads'!$A$2:$D$152,4)</f>
        <v>NA</v>
      </c>
      <c r="H26" s="13" t="str">
        <f t="shared" si="3"/>
        <v>NA</v>
      </c>
      <c r="I26" s="16" t="str">
        <f t="shared" si="4"/>
        <v>NA</v>
      </c>
      <c r="J26" s="8" t="str">
        <f t="shared" ref="J26:K28" si="6">B207</f>
        <v>Caa1</v>
      </c>
      <c r="K26" s="164">
        <f t="shared" si="6"/>
        <v>866.91927757393012</v>
      </c>
    </row>
    <row r="27" spans="1:11" ht="16">
      <c r="A27" s="172" t="str">
        <f>'Sovereign Ratings (Moody''s,S&amp;P)'!A21</f>
        <v>Bosnia and Herzegovina</v>
      </c>
      <c r="B27" s="165" t="str">
        <f>VLOOKUP(A27,'Regional lookup table'!$A$3:$B$156,2)</f>
        <v>Eastern Europe &amp; Russia</v>
      </c>
      <c r="C27" s="11" t="str">
        <f>'Sovereign Ratings (Moody''s,S&amp;P)'!C21</f>
        <v>B3</v>
      </c>
      <c r="D27" s="24">
        <f t="shared" si="0"/>
        <v>7.5216461989266389E-2</v>
      </c>
      <c r="E27" s="24">
        <f t="shared" si="1"/>
        <v>0.14559862336006157</v>
      </c>
      <c r="F27" s="13">
        <f t="shared" si="2"/>
        <v>9.1898623360061577E-2</v>
      </c>
      <c r="G27" s="13" t="str">
        <f>VLOOKUP(A27,'10-year CDS Spreads'!$A$2:$D$152,4)</f>
        <v>NA</v>
      </c>
      <c r="H27" s="13" t="str">
        <f t="shared" si="3"/>
        <v>NA</v>
      </c>
      <c r="I27" s="16" t="str">
        <f t="shared" si="4"/>
        <v>NA</v>
      </c>
      <c r="J27" s="8" t="str">
        <f t="shared" si="6"/>
        <v>Caa2</v>
      </c>
      <c r="K27" s="164">
        <f t="shared" si="6"/>
        <v>1041.1377124173073</v>
      </c>
    </row>
    <row r="28" spans="1:11" ht="16">
      <c r="A28" s="172" t="str">
        <f>'Sovereign Ratings (Moody''s,S&amp;P)'!A22</f>
        <v>Botswana</v>
      </c>
      <c r="B28" s="165" t="str">
        <f>VLOOKUP(A28,'Regional lookup table'!$A$3:$B$156,2)</f>
        <v>Africa</v>
      </c>
      <c r="C28" s="11" t="str">
        <f>'Sovereign Ratings (Moody''s,S&amp;P)'!C22</f>
        <v>A2</v>
      </c>
      <c r="D28" s="24">
        <f t="shared" si="0"/>
        <v>9.8063071109445767E-3</v>
      </c>
      <c r="E28" s="24">
        <f t="shared" si="1"/>
        <v>6.5681235223087081E-2</v>
      </c>
      <c r="F28" s="13">
        <f t="shared" si="2"/>
        <v>1.1981235223087083E-2</v>
      </c>
      <c r="G28" s="13" t="str">
        <f>VLOOKUP(A28,'10-year CDS Spreads'!$A$2:$D$152,4)</f>
        <v>NA</v>
      </c>
      <c r="H28" s="13" t="str">
        <f t="shared" si="3"/>
        <v>NA</v>
      </c>
      <c r="I28" s="16" t="str">
        <f t="shared" si="4"/>
        <v>NA</v>
      </c>
      <c r="J28" s="8" t="str">
        <f t="shared" si="6"/>
        <v>Caa3</v>
      </c>
      <c r="K28" s="164">
        <f t="shared" si="6"/>
        <v>1155.8923700985736</v>
      </c>
    </row>
    <row r="29" spans="1:11" ht="16">
      <c r="A29" s="172" t="str">
        <f>'Sovereign Ratings (Moody''s,S&amp;P)'!A23</f>
        <v>Brazil</v>
      </c>
      <c r="B29" s="165" t="str">
        <f>VLOOKUP(A29,'Regional lookup table'!$A$3:$B$156,2)</f>
        <v>Central and South America</v>
      </c>
      <c r="C29" s="11" t="str">
        <f>'Sovereign Ratings (Moody''s,S&amp;P)'!C23</f>
        <v>Ba2</v>
      </c>
      <c r="D29" s="24">
        <f t="shared" si="0"/>
        <v>3.4739364552601529E-2</v>
      </c>
      <c r="E29" s="24">
        <f t="shared" si="1"/>
        <v>9.6144163077531902E-2</v>
      </c>
      <c r="F29" s="13">
        <f t="shared" si="2"/>
        <v>4.2444163077531898E-2</v>
      </c>
      <c r="G29" s="13">
        <f>VLOOKUP(A29,'10-year CDS Spreads'!$A$2:$D$152,4)</f>
        <v>3.1800000000000002E-2</v>
      </c>
      <c r="H29" s="13">
        <f t="shared" si="3"/>
        <v>9.2552880680122795E-2</v>
      </c>
      <c r="I29" s="16">
        <f t="shared" si="4"/>
        <v>3.8852880680122791E-2</v>
      </c>
      <c r="J29" s="8" t="s">
        <v>285</v>
      </c>
      <c r="K29" s="19" t="str">
        <f>C210</f>
        <v>NA</v>
      </c>
    </row>
    <row r="30" spans="1:11" ht="16">
      <c r="A30" s="172" t="str">
        <f>'Sovereign Ratings (Moody''s,S&amp;P)'!A24</f>
        <v>Bulgaria</v>
      </c>
      <c r="B30" s="165" t="str">
        <f>VLOOKUP(A30,'Regional lookup table'!$A$3:$B$156,2)</f>
        <v>Eastern Europe &amp; Russia</v>
      </c>
      <c r="C30" s="11" t="str">
        <f>'Sovereign Ratings (Moody''s,S&amp;P)'!C24</f>
        <v>Baa2</v>
      </c>
      <c r="D30" s="24">
        <f t="shared" si="0"/>
        <v>2.201202979158836E-2</v>
      </c>
      <c r="E30" s="24">
        <f t="shared" si="1"/>
        <v>8.0594049277355057E-2</v>
      </c>
      <c r="F30" s="13">
        <f t="shared" si="2"/>
        <v>2.6894049277355052E-2</v>
      </c>
      <c r="G30" s="13">
        <f>VLOOKUP(A30,'10-year CDS Spreads'!$A$2:$D$152,4)</f>
        <v>9.4000000000000004E-3</v>
      </c>
      <c r="H30" s="13">
        <f t="shared" si="3"/>
        <v>6.5184813785948245E-2</v>
      </c>
      <c r="I30" s="16">
        <f t="shared" si="4"/>
        <v>1.1484813785948246E-2</v>
      </c>
    </row>
    <row r="31" spans="1:11" ht="16">
      <c r="A31" s="172" t="str">
        <f>'Sovereign Ratings (Moody''s,S&amp;P)'!A25</f>
        <v>Burkina Faso</v>
      </c>
      <c r="B31" s="165" t="str">
        <f>VLOOKUP(A31,'Regional lookup table'!$A$3:$B$156,2)</f>
        <v>Africa</v>
      </c>
      <c r="C31" s="11" t="str">
        <f>'Sovereign Ratings (Moody''s,S&amp;P)'!C25</f>
        <v>B2</v>
      </c>
      <c r="D31" s="24">
        <f t="shared" si="0"/>
        <v>6.3636673805065866E-2</v>
      </c>
      <c r="E31" s="24">
        <f t="shared" si="1"/>
        <v>0.13145056900088425</v>
      </c>
      <c r="F31" s="13">
        <f t="shared" si="2"/>
        <v>7.7750569000884256E-2</v>
      </c>
      <c r="G31" s="13" t="str">
        <f>VLOOKUP(A31,'10-year CDS Spreads'!$A$2:$D$152,4)</f>
        <v>NA</v>
      </c>
      <c r="H31" s="13" t="str">
        <f t="shared" si="3"/>
        <v>NA</v>
      </c>
      <c r="I31" s="16" t="str">
        <f t="shared" si="4"/>
        <v>NA</v>
      </c>
    </row>
    <row r="32" spans="1:11" ht="16">
      <c r="A32" s="172" t="str">
        <f>'Sovereign Ratings (Moody''s,S&amp;P)'!A26</f>
        <v>Cambodia</v>
      </c>
      <c r="B32" s="165" t="str">
        <f>VLOOKUP(A32,'Regional lookup table'!$A$3:$B$156,2)</f>
        <v>Asia</v>
      </c>
      <c r="C32" s="11" t="str">
        <f>'Sovereign Ratings (Moody''s,S&amp;P)'!C26</f>
        <v>B2</v>
      </c>
      <c r="D32" s="24">
        <f t="shared" si="0"/>
        <v>6.3636673805065866E-2</v>
      </c>
      <c r="E32" s="24">
        <f t="shared" si="1"/>
        <v>0.13145056900088425</v>
      </c>
      <c r="F32" s="13">
        <f t="shared" si="2"/>
        <v>7.7750569000884256E-2</v>
      </c>
      <c r="G32" s="13" t="str">
        <f>VLOOKUP(A32,'10-year CDS Spreads'!$A$2:$D$152,4)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72" t="str">
        <f>'Sovereign Ratings (Moody''s,S&amp;P)'!A27</f>
        <v>Cameroon</v>
      </c>
      <c r="B33" s="165" t="str">
        <f>VLOOKUP(A33,'Regional lookup table'!$A$3:$B$156,2)</f>
        <v>Africa</v>
      </c>
      <c r="C33" s="11" t="str">
        <f>'Sovereign Ratings (Moody''s,S&amp;P)'!C27</f>
        <v>B2</v>
      </c>
      <c r="D33" s="24">
        <f t="shared" si="0"/>
        <v>6.3636673805065866E-2</v>
      </c>
      <c r="E33" s="24">
        <f t="shared" si="1"/>
        <v>0.13145056900088425</v>
      </c>
      <c r="F33" s="13">
        <f t="shared" si="2"/>
        <v>7.7750569000884256E-2</v>
      </c>
      <c r="G33" s="13">
        <f>VLOOKUP(A33,'10-year CDS Spreads'!$A$2:$D$152,4)</f>
        <v>4.3500000000000004E-2</v>
      </c>
      <c r="H33" s="13">
        <f t="shared" si="3"/>
        <v>0.10684780847752645</v>
      </c>
      <c r="I33" s="16">
        <f t="shared" si="4"/>
        <v>5.3147808477526461E-2</v>
      </c>
    </row>
    <row r="34" spans="1:9" ht="16">
      <c r="A34" s="172" t="str">
        <f>'Sovereign Ratings (Moody''s,S&amp;P)'!A28</f>
        <v>Canada</v>
      </c>
      <c r="B34" s="165" t="str">
        <f>VLOOKUP(A34,'Regional lookup table'!$A$3:$B$156,2)</f>
        <v>North America</v>
      </c>
      <c r="C34" s="11" t="str">
        <f>'Sovereign Ratings (Moody''s,S&amp;P)'!C28</f>
        <v>Aaa</v>
      </c>
      <c r="D34" s="24">
        <f t="shared" si="0"/>
        <v>0</v>
      </c>
      <c r="E34" s="24">
        <f t="shared" si="1"/>
        <v>5.3699999999999998E-2</v>
      </c>
      <c r="F34" s="13">
        <f t="shared" si="2"/>
        <v>0</v>
      </c>
      <c r="G34" s="13">
        <f>VLOOKUP(A34,'10-year CDS Spreads'!$A$2:$D$152,4)</f>
        <v>1.3999999999999998E-3</v>
      </c>
      <c r="H34" s="13">
        <f t="shared" si="3"/>
        <v>5.541050418088591E-2</v>
      </c>
      <c r="I34" s="16">
        <f t="shared" si="4"/>
        <v>1.7105041808859087E-3</v>
      </c>
    </row>
    <row r="35" spans="1:9" ht="16">
      <c r="A35" s="172" t="str">
        <f>'Sovereign Ratings (Moody''s,S&amp;P)'!A29</f>
        <v>Cape Verde</v>
      </c>
      <c r="B35" s="165" t="str">
        <f>VLOOKUP(A35,'Regional lookup table'!$A$3:$B$156,2)</f>
        <v>Africa</v>
      </c>
      <c r="C35" s="11" t="str">
        <f>'Sovereign Ratings (Moody''s,S&amp;P)'!C29</f>
        <v>B2</v>
      </c>
      <c r="D35" s="24">
        <f t="shared" si="0"/>
        <v>6.3636673805065866E-2</v>
      </c>
      <c r="E35" s="24">
        <f t="shared" si="1"/>
        <v>0.13145056900088425</v>
      </c>
      <c r="F35" s="13">
        <f t="shared" si="2"/>
        <v>7.7750569000884256E-2</v>
      </c>
      <c r="G35" s="13" t="str">
        <f>VLOOKUP(A35,'10-year CDS Spreads'!$A$2:$D$152,4)</f>
        <v>NA</v>
      </c>
      <c r="H35" s="13" t="str">
        <f t="shared" si="3"/>
        <v>NA</v>
      </c>
      <c r="I35" s="16" t="str">
        <f t="shared" si="4"/>
        <v>NA</v>
      </c>
    </row>
    <row r="36" spans="1:9" ht="16">
      <c r="A36" s="172" t="str">
        <f>'Sovereign Ratings (Moody''s,S&amp;P)'!A30</f>
        <v>Cayman Islands</v>
      </c>
      <c r="B36" s="165" t="str">
        <f>VLOOKUP(A36,'Regional lookup table'!$A$3:$B$156,2)</f>
        <v>Caribbean</v>
      </c>
      <c r="C36" s="11" t="str">
        <f>'Sovereign Ratings (Moody''s,S&amp;P)'!C30</f>
        <v>Aa3</v>
      </c>
      <c r="D36" s="24">
        <f t="shared" si="0"/>
        <v>6.9896018769498571E-3</v>
      </c>
      <c r="E36" s="24">
        <f t="shared" si="1"/>
        <v>6.223981659517909E-2</v>
      </c>
      <c r="F36" s="13">
        <f t="shared" si="2"/>
        <v>8.5398165951790905E-3</v>
      </c>
      <c r="G36" s="13" t="str">
        <f>VLOOKUP(A36,'10-year CDS Spreads'!$A$2:$D$152,4)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72" t="str">
        <f>'Sovereign Ratings (Moody''s,S&amp;P)'!A31</f>
        <v>Chile</v>
      </c>
      <c r="B37" s="165" t="str">
        <f>VLOOKUP(A37,'Regional lookup table'!$A$3:$B$156,2)</f>
        <v>Central and South America</v>
      </c>
      <c r="C37" s="11" t="str">
        <f>'Sovereign Ratings (Moody''s,S&amp;P)'!C31</f>
        <v>Aa3</v>
      </c>
      <c r="D37" s="24">
        <f t="shared" si="0"/>
        <v>6.9896018769498571E-3</v>
      </c>
      <c r="E37" s="24">
        <f t="shared" si="1"/>
        <v>6.223981659517909E-2</v>
      </c>
      <c r="F37" s="13">
        <f t="shared" si="2"/>
        <v>8.5398165951790905E-3</v>
      </c>
      <c r="G37" s="13">
        <f>VLOOKUP(A37,'10-year CDS Spreads'!$A$2:$D$152,4)</f>
        <v>7.2999999999999992E-3</v>
      </c>
      <c r="H37" s="13">
        <f t="shared" si="3"/>
        <v>6.2619057514619381E-2</v>
      </c>
      <c r="I37" s="16">
        <f t="shared" si="4"/>
        <v>8.9190575146193812E-3</v>
      </c>
    </row>
    <row r="38" spans="1:9" ht="16">
      <c r="A38" s="172" t="str">
        <f>'Sovereign Ratings (Moody''s,S&amp;P)'!A32</f>
        <v>China</v>
      </c>
      <c r="B38" s="165" t="str">
        <f>VLOOKUP(A38,'Regional lookup table'!$A$3:$B$156,2)</f>
        <v>Asia</v>
      </c>
      <c r="C38" s="11" t="str">
        <f>'Sovereign Ratings (Moody''s,S&amp;P)'!C32</f>
        <v>A1</v>
      </c>
      <c r="D38" s="24">
        <f t="shared" si="0"/>
        <v>8.1371484537625226E-3</v>
      </c>
      <c r="E38" s="24">
        <f t="shared" si="1"/>
        <v>6.3641876036178643E-2</v>
      </c>
      <c r="F38" s="13">
        <f t="shared" si="2"/>
        <v>9.9418760361786457E-3</v>
      </c>
      <c r="G38" s="13">
        <f>VLOOKUP(A38,'10-year CDS Spreads'!$A$2:$D$152,4)</f>
        <v>8.3000000000000001E-3</v>
      </c>
      <c r="H38" s="13">
        <f t="shared" si="3"/>
        <v>6.384084621525217E-2</v>
      </c>
      <c r="I38" s="16">
        <f t="shared" si="4"/>
        <v>1.0140846215252174E-2</v>
      </c>
    </row>
    <row r="39" spans="1:9" ht="16">
      <c r="A39" s="172" t="str">
        <f>'Sovereign Ratings (Moody''s,S&amp;P)'!A33</f>
        <v>Colombia</v>
      </c>
      <c r="B39" s="165" t="str">
        <f>VLOOKUP(A39,'Regional lookup table'!$A$3:$B$156,2)</f>
        <v>Central and South America</v>
      </c>
      <c r="C39" s="11" t="str">
        <f>'Sovereign Ratings (Moody''s,S&amp;P)'!C33</f>
        <v>Baa2</v>
      </c>
      <c r="D39" s="24">
        <f t="shared" si="0"/>
        <v>2.201202979158836E-2</v>
      </c>
      <c r="E39" s="24">
        <f t="shared" si="1"/>
        <v>8.0594049277355057E-2</v>
      </c>
      <c r="F39" s="13">
        <f t="shared" si="2"/>
        <v>2.6894049277355052E-2</v>
      </c>
      <c r="G39" s="13">
        <f>VLOOKUP(A39,'10-year CDS Spreads'!$A$2:$D$152,4)</f>
        <v>1.6500000000000001E-2</v>
      </c>
      <c r="H39" s="13">
        <f t="shared" si="3"/>
        <v>7.385951356044107E-2</v>
      </c>
      <c r="I39" s="16">
        <f t="shared" si="4"/>
        <v>2.0159513560441069E-2</v>
      </c>
    </row>
    <row r="40" spans="1:9" ht="16">
      <c r="A40" s="172" t="str">
        <f>'Sovereign Ratings (Moody''s,S&amp;P)'!A34</f>
        <v>Congo (Democratic Republic of)</v>
      </c>
      <c r="B40" s="165" t="str">
        <f>VLOOKUP(A40,'Regional lookup table'!$A$3:$B$156,2)</f>
        <v>Africa</v>
      </c>
      <c r="C40" s="11" t="str">
        <f>'Sovereign Ratings (Moody''s,S&amp;P)'!C34</f>
        <v>B3</v>
      </c>
      <c r="D40" s="24">
        <f t="shared" ref="D40:D71" si="7">VLOOKUP(C40,$J$9:$K$29,2)/10000</f>
        <v>7.5216461989266389E-2</v>
      </c>
      <c r="E40" s="24">
        <f t="shared" si="1"/>
        <v>0.14559862336006157</v>
      </c>
      <c r="F40" s="13">
        <f t="shared" si="2"/>
        <v>9.1898623360061577E-2</v>
      </c>
      <c r="G40" s="13" t="str">
        <f>VLOOKUP(A40,'10-year CDS Spreads'!$A$2:$D$152,4)</f>
        <v>NA</v>
      </c>
      <c r="H40" s="13" t="str">
        <f t="shared" si="3"/>
        <v>NA</v>
      </c>
      <c r="I40" s="16" t="str">
        <f t="shared" si="4"/>
        <v>NA</v>
      </c>
    </row>
    <row r="41" spans="1:9" ht="16">
      <c r="A41" s="172" t="str">
        <f>'Sovereign Ratings (Moody''s,S&amp;P)'!A35</f>
        <v>Congo (Republic of)</v>
      </c>
      <c r="B41" s="165" t="str">
        <f>VLOOKUP(A41,'Regional lookup table'!$A$3:$B$156,2)</f>
        <v>Africa</v>
      </c>
      <c r="C41" s="11" t="str">
        <f>'Sovereign Ratings (Moody''s,S&amp;P)'!C35</f>
        <v>Caa2</v>
      </c>
      <c r="D41" s="24">
        <f t="shared" si="7"/>
        <v>0.10411377124173073</v>
      </c>
      <c r="E41" s="24">
        <f t="shared" si="1"/>
        <v>0.18090502928341393</v>
      </c>
      <c r="F41" s="13">
        <f t="shared" si="2"/>
        <v>0.12720502928341393</v>
      </c>
      <c r="G41" s="13" t="str">
        <f>VLOOKUP(A41,'10-year CDS Spreads'!$A$2:$D$152,4)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72" t="str">
        <f>'Sovereign Ratings (Moody''s,S&amp;P)'!A36</f>
        <v>Cook Islands</v>
      </c>
      <c r="B42" s="165" t="str">
        <f>VLOOKUP(A42,'Regional lookup table'!$A$3:$B$156,2)</f>
        <v>Australia &amp; New Zealand</v>
      </c>
      <c r="C42" s="11" t="str">
        <f>'Sovereign Ratings (Moody''s,S&amp;P)'!C36</f>
        <v>B1</v>
      </c>
      <c r="D42" s="24">
        <f t="shared" si="7"/>
        <v>5.2056885620865363E-2</v>
      </c>
      <c r="E42" s="24">
        <f t="shared" si="1"/>
        <v>0.11730251464170696</v>
      </c>
      <c r="F42" s="13">
        <f t="shared" si="2"/>
        <v>6.3602514641706964E-2</v>
      </c>
      <c r="G42" s="13" t="str">
        <f>VLOOKUP(A42,'10-year CDS Spreads'!$A$2:$D$152,4)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72" t="str">
        <f>'Sovereign Ratings (Moody''s,S&amp;P)'!A37</f>
        <v>Costa Rica</v>
      </c>
      <c r="B43" s="165" t="str">
        <f>VLOOKUP(A43,'Regional lookup table'!$A$3:$B$156,2)</f>
        <v>Central and South America</v>
      </c>
      <c r="C43" s="11" t="str">
        <f>'Sovereign Ratings (Moody''s,S&amp;P)'!C37</f>
        <v>Ba2</v>
      </c>
      <c r="D43" s="24">
        <f t="shared" si="7"/>
        <v>3.4739364552601529E-2</v>
      </c>
      <c r="E43" s="24">
        <f t="shared" si="1"/>
        <v>9.6144163077531902E-2</v>
      </c>
      <c r="F43" s="13">
        <f t="shared" si="2"/>
        <v>4.2444163077531898E-2</v>
      </c>
      <c r="G43" s="13">
        <f>VLOOKUP(A43,'10-year CDS Spreads'!$A$2:$D$152,4)</f>
        <v>2.1999999999999999E-2</v>
      </c>
      <c r="H43" s="13">
        <f t="shared" si="3"/>
        <v>8.0579351413921418E-2</v>
      </c>
      <c r="I43" s="16">
        <f t="shared" si="4"/>
        <v>2.6879351413921424E-2</v>
      </c>
    </row>
    <row r="44" spans="1:9" ht="16">
      <c r="A44" s="172" t="str">
        <f>'Sovereign Ratings (Moody''s,S&amp;P)'!A38</f>
        <v>Côte d'Ivoire</v>
      </c>
      <c r="B44" s="165" t="str">
        <f>VLOOKUP(A44,'Regional lookup table'!$A$3:$B$156,2)</f>
        <v>Africa</v>
      </c>
      <c r="C44" s="11" t="str">
        <f>'Sovereign Ratings (Moody''s,S&amp;P)'!C38</f>
        <v>Ba3</v>
      </c>
      <c r="D44" s="24">
        <f t="shared" si="7"/>
        <v>4.1624644013477513E-2</v>
      </c>
      <c r="E44" s="24">
        <f t="shared" si="1"/>
        <v>0.10455651972352922</v>
      </c>
      <c r="F44" s="13">
        <f t="shared" si="2"/>
        <v>5.0856519723529219E-2</v>
      </c>
      <c r="G44" s="13" t="str">
        <f>VLOOKUP(A44,'10-year CDS Spreads'!$A$2:$D$152,4)</f>
        <v>NA</v>
      </c>
      <c r="H44" s="13" t="str">
        <f t="shared" si="3"/>
        <v>NA</v>
      </c>
      <c r="I44" s="16" t="str">
        <f t="shared" si="4"/>
        <v>NA</v>
      </c>
    </row>
    <row r="45" spans="1:9" ht="16">
      <c r="A45" s="172" t="str">
        <f>'Sovereign Ratings (Moody''s,S&amp;P)'!A39</f>
        <v>Croatia</v>
      </c>
      <c r="B45" s="165" t="str">
        <f>VLOOKUP(A45,'Regional lookup table'!$A$3:$B$156,2)</f>
        <v>Eastern Europe &amp; Russia</v>
      </c>
      <c r="C45" s="11" t="str">
        <f>'Sovereign Ratings (Moody''s,S&amp;P)'!C39</f>
        <v>Ba2</v>
      </c>
      <c r="D45" s="24">
        <f t="shared" si="7"/>
        <v>3.4739364552601529E-2</v>
      </c>
      <c r="E45" s="24">
        <f t="shared" si="1"/>
        <v>9.6144163077531902E-2</v>
      </c>
      <c r="F45" s="13">
        <f t="shared" si="2"/>
        <v>4.2444163077531898E-2</v>
      </c>
      <c r="G45" s="13">
        <f>VLOOKUP(A45,'10-year CDS Spreads'!$A$2:$D$152,4)</f>
        <v>1.2799999999999999E-2</v>
      </c>
      <c r="H45" s="13">
        <f t="shared" si="3"/>
        <v>6.9338895368099729E-2</v>
      </c>
      <c r="I45" s="16">
        <f t="shared" si="4"/>
        <v>1.5638895368099738E-2</v>
      </c>
    </row>
    <row r="46" spans="1:9" ht="16">
      <c r="A46" s="172" t="str">
        <f>'Sovereign Ratings (Moody''s,S&amp;P)'!A40</f>
        <v>Cuba</v>
      </c>
      <c r="B46" s="165" t="str">
        <f>VLOOKUP(A46,'Regional lookup table'!$A$3:$B$156,2)</f>
        <v>Caribbean</v>
      </c>
      <c r="C46" s="11" t="str">
        <f>'Sovereign Ratings (Moody''s,S&amp;P)'!C40</f>
        <v>Caa2</v>
      </c>
      <c r="D46" s="24">
        <f t="shared" si="7"/>
        <v>0.10411377124173073</v>
      </c>
      <c r="E46" s="24">
        <f t="shared" si="1"/>
        <v>0.18090502928341393</v>
      </c>
      <c r="F46" s="13">
        <f t="shared" si="2"/>
        <v>0.12720502928341393</v>
      </c>
      <c r="G46" s="13" t="str">
        <f>VLOOKUP(A46,'10-year CDS Spreads'!$A$2:$D$152,4)</f>
        <v>NA</v>
      </c>
      <c r="H46" s="13" t="str">
        <f t="shared" si="3"/>
        <v>NA</v>
      </c>
      <c r="I46" s="16" t="str">
        <f t="shared" si="4"/>
        <v>NA</v>
      </c>
    </row>
    <row r="47" spans="1:9" ht="16">
      <c r="A47" s="172" t="str">
        <f>'Sovereign Ratings (Moody''s,S&amp;P)'!A41</f>
        <v>Curacao</v>
      </c>
      <c r="B47" s="165" t="str">
        <f>VLOOKUP(A47,'Regional lookup table'!$A$3:$B$156,2)</f>
        <v>Caribbean</v>
      </c>
      <c r="C47" s="11" t="str">
        <f>'Sovereign Ratings (Moody''s,S&amp;P)'!C41</f>
        <v>A3</v>
      </c>
      <c r="D47" s="24">
        <f t="shared" si="7"/>
        <v>1.3874881337825837E-2</v>
      </c>
      <c r="E47" s="24">
        <f t="shared" si="1"/>
        <v>7.0652173241176397E-2</v>
      </c>
      <c r="F47" s="13">
        <f t="shared" si="2"/>
        <v>1.6952173241176406E-2</v>
      </c>
      <c r="G47" s="13" t="str">
        <f>VLOOKUP(A47,'10-year CDS Spreads'!$A$2:$D$152,4)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72" t="str">
        <f>'Sovereign Ratings (Moody''s,S&amp;P)'!A42</f>
        <v>Cyprus</v>
      </c>
      <c r="B48" s="165" t="str">
        <f>VLOOKUP(A48,'Regional lookup table'!$A$3:$B$156,2)</f>
        <v>Western Europe</v>
      </c>
      <c r="C48" s="11" t="str">
        <f>'Sovereign Ratings (Moody''s,S&amp;P)'!C42</f>
        <v>Ba3</v>
      </c>
      <c r="D48" s="24">
        <f t="shared" si="7"/>
        <v>4.1624644013477513E-2</v>
      </c>
      <c r="E48" s="24">
        <f t="shared" si="1"/>
        <v>0.10455651972352922</v>
      </c>
      <c r="F48" s="13">
        <f t="shared" si="2"/>
        <v>5.0856519723529219E-2</v>
      </c>
      <c r="G48" s="13">
        <f>VLOOKUP(A48,'10-year CDS Spreads'!$A$2:$D$152,4)</f>
        <v>1.4599999999999998E-2</v>
      </c>
      <c r="H48" s="13">
        <f t="shared" si="3"/>
        <v>7.1538115029238764E-2</v>
      </c>
      <c r="I48" s="16">
        <f t="shared" si="4"/>
        <v>1.7838115029238762E-2</v>
      </c>
    </row>
    <row r="49" spans="1:9" ht="16">
      <c r="A49" s="172" t="str">
        <f>'Sovereign Ratings (Moody''s,S&amp;P)'!A43</f>
        <v>Czech Republic</v>
      </c>
      <c r="B49" s="165" t="str">
        <f>VLOOKUP(A49,'Regional lookup table'!$A$3:$B$156,2)</f>
        <v>Eastern Europe &amp; Russia</v>
      </c>
      <c r="C49" s="11" t="str">
        <f>'Sovereign Ratings (Moody''s,S&amp;P)'!C43</f>
        <v>A1</v>
      </c>
      <c r="D49" s="24">
        <f t="shared" si="7"/>
        <v>8.1371484537625226E-3</v>
      </c>
      <c r="E49" s="24">
        <f t="shared" si="1"/>
        <v>6.3641876036178643E-2</v>
      </c>
      <c r="F49" s="13">
        <f t="shared" si="2"/>
        <v>9.9418760361786457E-3</v>
      </c>
      <c r="G49" s="13">
        <f>VLOOKUP(A49,'10-year CDS Spreads'!$A$2:$D$152,4)</f>
        <v>4.3E-3</v>
      </c>
      <c r="H49" s="13">
        <f t="shared" si="3"/>
        <v>5.8953691412721006E-2</v>
      </c>
      <c r="I49" s="16">
        <f t="shared" si="4"/>
        <v>5.2536914127210062E-3</v>
      </c>
    </row>
    <row r="50" spans="1:9" ht="16">
      <c r="A50" s="172" t="str">
        <f>'Sovereign Ratings (Moody''s,S&amp;P)'!A44</f>
        <v>Denmark</v>
      </c>
      <c r="B50" s="165" t="str">
        <f>VLOOKUP(A50,'Regional lookup table'!$A$3:$B$156,2)</f>
        <v>Western Europe</v>
      </c>
      <c r="C50" s="11" t="str">
        <f>'Sovereign Ratings (Moody''s,S&amp;P)'!C44</f>
        <v>Aaa</v>
      </c>
      <c r="D50" s="24">
        <f t="shared" si="7"/>
        <v>0</v>
      </c>
      <c r="E50" s="24">
        <f t="shared" si="1"/>
        <v>5.3699999999999998E-2</v>
      </c>
      <c r="F50" s="13">
        <f t="shared" si="2"/>
        <v>0</v>
      </c>
      <c r="G50" s="13">
        <f>VLOOKUP(A50,'10-year CDS Spreads'!$A$2:$D$152,4)</f>
        <v>0</v>
      </c>
      <c r="H50" s="13">
        <f t="shared" si="3"/>
        <v>5.3699999999999998E-2</v>
      </c>
      <c r="I50" s="16">
        <f t="shared" si="4"/>
        <v>0</v>
      </c>
    </row>
    <row r="51" spans="1:9" ht="16">
      <c r="A51" s="172" t="str">
        <f>'Sovereign Ratings (Moody''s,S&amp;P)'!A45</f>
        <v>Dominican Republic</v>
      </c>
      <c r="B51" s="165" t="str">
        <f>VLOOKUP(A51,'Regional lookup table'!$A$3:$B$156,2)</f>
        <v>Caribbean</v>
      </c>
      <c r="C51" s="11" t="str">
        <f>'Sovereign Ratings (Moody''s,S&amp;P)'!C45</f>
        <v>Ba3</v>
      </c>
      <c r="D51" s="24">
        <f t="shared" si="7"/>
        <v>4.1624644013477513E-2</v>
      </c>
      <c r="E51" s="24">
        <f t="shared" si="1"/>
        <v>0.10455651972352922</v>
      </c>
      <c r="F51" s="13">
        <f t="shared" si="2"/>
        <v>5.0856519723529219E-2</v>
      </c>
      <c r="G51" s="13" t="str">
        <f>VLOOKUP(A51,'10-year CDS Spreads'!$A$2:$D$152,4)</f>
        <v>NA</v>
      </c>
      <c r="H51" s="13" t="str">
        <f t="shared" si="3"/>
        <v>NA</v>
      </c>
      <c r="I51" s="16" t="str">
        <f t="shared" si="4"/>
        <v>NA</v>
      </c>
    </row>
    <row r="52" spans="1:9" ht="16">
      <c r="A52" s="172" t="str">
        <f>'Sovereign Ratings (Moody''s,S&amp;P)'!A46</f>
        <v>Ecuador</v>
      </c>
      <c r="B52" s="165" t="str">
        <f>VLOOKUP(A52,'Regional lookup table'!$A$3:$B$156,2)</f>
        <v>Central and South America</v>
      </c>
      <c r="C52" s="11" t="str">
        <f>'Sovereign Ratings (Moody''s,S&amp;P)'!C46</f>
        <v>B3</v>
      </c>
      <c r="D52" s="24">
        <f t="shared" si="7"/>
        <v>7.5216461989266389E-2</v>
      </c>
      <c r="E52" s="24">
        <f t="shared" si="1"/>
        <v>0.14559862336006157</v>
      </c>
      <c r="F52" s="13">
        <f t="shared" si="2"/>
        <v>9.1898623360061577E-2</v>
      </c>
      <c r="G52" s="13" t="str">
        <f>VLOOKUP(A52,'10-year CDS Spreads'!$A$2:$D$152,4)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72" t="str">
        <f>'Sovereign Ratings (Moody''s,S&amp;P)'!A47</f>
        <v>Egypt</v>
      </c>
      <c r="B53" s="165" t="str">
        <f>VLOOKUP(A53,'Regional lookup table'!$A$3:$B$156,2)</f>
        <v>Africa</v>
      </c>
      <c r="C53" s="11" t="str">
        <f>'Sovereign Ratings (Moody''s,S&amp;P)'!C47</f>
        <v>B3</v>
      </c>
      <c r="D53" s="24">
        <f t="shared" si="7"/>
        <v>7.5216461989266389E-2</v>
      </c>
      <c r="E53" s="24">
        <f t="shared" si="1"/>
        <v>0.14559862336006157</v>
      </c>
      <c r="F53" s="13">
        <f t="shared" si="2"/>
        <v>9.1898623360061577E-2</v>
      </c>
      <c r="G53" s="13">
        <f>VLOOKUP(A53,'10-year CDS Spreads'!$A$2:$D$152,4)</f>
        <v>3.8600000000000002E-2</v>
      </c>
      <c r="H53" s="13">
        <f t="shared" si="3"/>
        <v>0.10086104384442578</v>
      </c>
      <c r="I53" s="16">
        <f t="shared" si="4"/>
        <v>4.7161043844425779E-2</v>
      </c>
    </row>
    <row r="54" spans="1:9" ht="16">
      <c r="A54" s="172" t="str">
        <f>'Sovereign Ratings (Moody''s,S&amp;P)'!A48</f>
        <v>El Salvador</v>
      </c>
      <c r="B54" s="165" t="str">
        <f>VLOOKUP(A54,'Regional lookup table'!$A$3:$B$156,2)</f>
        <v>Central and South America</v>
      </c>
      <c r="C54" s="11" t="str">
        <f>'Sovereign Ratings (Moody''s,S&amp;P)'!C48</f>
        <v>Caa1</v>
      </c>
      <c r="D54" s="24">
        <f t="shared" si="7"/>
        <v>8.6691927757393011E-2</v>
      </c>
      <c r="E54" s="24">
        <f t="shared" si="1"/>
        <v>0.15961921777005708</v>
      </c>
      <c r="F54" s="13">
        <f t="shared" si="2"/>
        <v>0.10591921777005708</v>
      </c>
      <c r="G54" s="13" t="str">
        <f>VLOOKUP(A54,'10-year CDS Spreads'!$A$2:$D$152,4)</f>
        <v>NA</v>
      </c>
      <c r="H54" s="13" t="str">
        <f t="shared" si="3"/>
        <v>NA</v>
      </c>
      <c r="I54" s="16" t="str">
        <f t="shared" si="4"/>
        <v>NA</v>
      </c>
    </row>
    <row r="55" spans="1:9" ht="16">
      <c r="A55" s="172" t="str">
        <f>'Sovereign Ratings (Moody''s,S&amp;P)'!A49</f>
        <v>Estonia</v>
      </c>
      <c r="B55" s="165" t="str">
        <f>VLOOKUP(A55,'Regional lookup table'!$A$3:$B$156,2)</f>
        <v>Eastern Europe &amp; Russia</v>
      </c>
      <c r="C55" s="11" t="str">
        <f>'Sovereign Ratings (Moody''s,S&amp;P)'!C49</f>
        <v>A1</v>
      </c>
      <c r="D55" s="24">
        <f t="shared" si="7"/>
        <v>8.1371484537625226E-3</v>
      </c>
      <c r="E55" s="24">
        <f t="shared" si="1"/>
        <v>6.3641876036178643E-2</v>
      </c>
      <c r="F55" s="13">
        <f t="shared" si="2"/>
        <v>9.9418760361786457E-3</v>
      </c>
      <c r="G55" s="13">
        <f>VLOOKUP(A55,'10-year CDS Spreads'!$A$2:$D$152,4)</f>
        <v>6.6E-3</v>
      </c>
      <c r="H55" s="13">
        <f t="shared" si="3"/>
        <v>6.1763805424176428E-2</v>
      </c>
      <c r="I55" s="16">
        <f t="shared" si="4"/>
        <v>8.0638054241764286E-3</v>
      </c>
    </row>
    <row r="56" spans="1:9" ht="16">
      <c r="A56" s="172" t="str">
        <f>'Sovereign Ratings (Moody''s,S&amp;P)'!A50</f>
        <v>Ethiopia</v>
      </c>
      <c r="B56" s="165" t="str">
        <f>VLOOKUP(A56,'Regional lookup table'!$A$3:$B$156,2)</f>
        <v>Africa</v>
      </c>
      <c r="C56" s="11" t="str">
        <f>'Sovereign Ratings (Moody''s,S&amp;P)'!C50</f>
        <v>B1</v>
      </c>
      <c r="D56" s="24">
        <f t="shared" si="7"/>
        <v>5.2056885620865363E-2</v>
      </c>
      <c r="E56" s="24">
        <f t="shared" si="1"/>
        <v>0.11730251464170696</v>
      </c>
      <c r="F56" s="13">
        <f t="shared" si="2"/>
        <v>6.3602514641706964E-2</v>
      </c>
      <c r="G56" s="13" t="str">
        <f>VLOOKUP(A56,'10-year CDS Spreads'!$A$2:$D$152,4)</f>
        <v>NA</v>
      </c>
      <c r="H56" s="13" t="str">
        <f t="shared" si="3"/>
        <v>NA</v>
      </c>
      <c r="I56" s="16" t="str">
        <f t="shared" si="4"/>
        <v>NA</v>
      </c>
    </row>
    <row r="57" spans="1:9" ht="16">
      <c r="A57" s="172" t="str">
        <f>'Sovereign Ratings (Moody''s,S&amp;P)'!A51</f>
        <v>Fiji</v>
      </c>
      <c r="B57" s="165" t="str">
        <f>VLOOKUP(A57,'Regional lookup table'!$A$3:$B$156,2)</f>
        <v>Asia</v>
      </c>
      <c r="C57" s="11" t="str">
        <f>'Sovereign Ratings (Moody''s,S&amp;P)'!C51</f>
        <v>Ba3</v>
      </c>
      <c r="D57" s="24">
        <f t="shared" si="7"/>
        <v>4.1624644013477513E-2</v>
      </c>
      <c r="E57" s="24">
        <f t="shared" si="1"/>
        <v>0.10455651972352922</v>
      </c>
      <c r="F57" s="13">
        <f t="shared" si="2"/>
        <v>5.0856519723529219E-2</v>
      </c>
      <c r="G57" s="13" t="str">
        <f>VLOOKUP(A57,'10-year CDS Spreads'!$A$2:$D$152,4)</f>
        <v>NA</v>
      </c>
      <c r="H57" s="13" t="str">
        <f t="shared" si="3"/>
        <v>NA</v>
      </c>
      <c r="I57" s="16" t="str">
        <f t="shared" si="4"/>
        <v>NA</v>
      </c>
    </row>
    <row r="58" spans="1:9" ht="16">
      <c r="A58" s="172" t="str">
        <f>'Sovereign Ratings (Moody''s,S&amp;P)'!A52</f>
        <v>Finland</v>
      </c>
      <c r="B58" s="165" t="str">
        <f>VLOOKUP(A58,'Regional lookup table'!$A$3:$B$156,2)</f>
        <v>Western Europe</v>
      </c>
      <c r="C58" s="11" t="str">
        <f>'Sovereign Ratings (Moody''s,S&amp;P)'!C52</f>
        <v>Aa1</v>
      </c>
      <c r="D58" s="24">
        <f t="shared" si="7"/>
        <v>4.5901863072506524E-3</v>
      </c>
      <c r="E58" s="24">
        <f t="shared" si="1"/>
        <v>5.9308237763998205E-2</v>
      </c>
      <c r="F58" s="13">
        <f t="shared" si="2"/>
        <v>5.6082377639982087E-3</v>
      </c>
      <c r="G58" s="13">
        <f>VLOOKUP(A58,'10-year CDS Spreads'!$A$2:$D$152,4)</f>
        <v>0</v>
      </c>
      <c r="H58" s="13">
        <f t="shared" si="3"/>
        <v>5.3699999999999998E-2</v>
      </c>
      <c r="I58" s="16">
        <f t="shared" si="4"/>
        <v>0</v>
      </c>
    </row>
    <row r="59" spans="1:9" ht="16">
      <c r="A59" s="172" t="str">
        <f>'Sovereign Ratings (Moody''s,S&amp;P)'!A53</f>
        <v>France</v>
      </c>
      <c r="B59" s="165" t="str">
        <f>VLOOKUP(A59,'Regional lookup table'!$A$3:$B$156,2)</f>
        <v>Western Europe</v>
      </c>
      <c r="C59" s="11" t="str">
        <f>'Sovereign Ratings (Moody''s,S&amp;P)'!C53</f>
        <v>Aa2</v>
      </c>
      <c r="D59" s="24">
        <f t="shared" si="7"/>
        <v>5.7377328840633162E-3</v>
      </c>
      <c r="E59" s="24">
        <f t="shared" si="1"/>
        <v>6.0710297204997758E-2</v>
      </c>
      <c r="F59" s="13">
        <f t="shared" si="2"/>
        <v>7.0102972049977622E-3</v>
      </c>
      <c r="G59" s="13">
        <f>VLOOKUP(A59,'10-year CDS Spreads'!$A$2:$D$152,4)</f>
        <v>2.2000000000000001E-3</v>
      </c>
      <c r="H59" s="13">
        <f t="shared" si="3"/>
        <v>5.6387935141392141E-2</v>
      </c>
      <c r="I59" s="16">
        <f t="shared" si="4"/>
        <v>2.6879351413921426E-3</v>
      </c>
    </row>
    <row r="60" spans="1:9" ht="16">
      <c r="A60" s="172" t="str">
        <f>'Sovereign Ratings (Moody''s,S&amp;P)'!A54</f>
        <v>Gabon</v>
      </c>
      <c r="B60" s="165" t="str">
        <f>VLOOKUP(A60,'Regional lookup table'!$A$3:$B$156,2)</f>
        <v>Africa</v>
      </c>
      <c r="C60" s="11" t="str">
        <f>'Sovereign Ratings (Moody''s,S&amp;P)'!C54</f>
        <v>Caa1</v>
      </c>
      <c r="D60" s="24">
        <f t="shared" si="7"/>
        <v>8.6691927757393011E-2</v>
      </c>
      <c r="E60" s="24">
        <f t="shared" si="1"/>
        <v>0.15961921777005708</v>
      </c>
      <c r="F60" s="13">
        <f t="shared" si="2"/>
        <v>0.10591921777005708</v>
      </c>
      <c r="G60" s="13" t="str">
        <f>VLOOKUP(A60,'10-year CDS Spreads'!$A$2:$D$152,4)</f>
        <v>NA</v>
      </c>
      <c r="H60" s="13" t="str">
        <f t="shared" si="3"/>
        <v>NA</v>
      </c>
      <c r="I60" s="16" t="str">
        <f t="shared" si="4"/>
        <v>NA</v>
      </c>
    </row>
    <row r="61" spans="1:9" ht="16">
      <c r="A61" s="172" t="str">
        <f>'Sovereign Ratings (Moody''s,S&amp;P)'!A55</f>
        <v>Georgia</v>
      </c>
      <c r="B61" s="165" t="str">
        <f>VLOOKUP(A61,'Regional lookup table'!$A$3:$B$156,2)</f>
        <v>Eastern Europe &amp; Russia</v>
      </c>
      <c r="C61" s="11" t="str">
        <f>'Sovereign Ratings (Moody''s,S&amp;P)'!C55</f>
        <v>Ba2</v>
      </c>
      <c r="D61" s="24">
        <f t="shared" si="7"/>
        <v>3.4739364552601529E-2</v>
      </c>
      <c r="E61" s="24">
        <f t="shared" si="1"/>
        <v>9.6144163077531902E-2</v>
      </c>
      <c r="F61" s="13">
        <f t="shared" si="2"/>
        <v>4.2444163077531898E-2</v>
      </c>
      <c r="G61" s="13" t="str">
        <f>VLOOKUP(A61,'10-year CDS Spreads'!$A$2:$D$152,4)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72" t="str">
        <f>'Sovereign Ratings (Moody''s,S&amp;P)'!A56</f>
        <v>Germany</v>
      </c>
      <c r="B62" s="165" t="str">
        <f>VLOOKUP(A62,'Regional lookup table'!$A$3:$B$156,2)</f>
        <v>Western Europe</v>
      </c>
      <c r="C62" s="11" t="str">
        <f>'Sovereign Ratings (Moody''s,S&amp;P)'!C56</f>
        <v>Aaa</v>
      </c>
      <c r="D62" s="24">
        <f t="shared" si="7"/>
        <v>0</v>
      </c>
      <c r="E62" s="24">
        <f t="shared" si="1"/>
        <v>5.3699999999999998E-2</v>
      </c>
      <c r="F62" s="13">
        <f t="shared" si="2"/>
        <v>0</v>
      </c>
      <c r="G62" s="13">
        <f>VLOOKUP(A62,'10-year CDS Spreads'!$A$2:$D$152,4)</f>
        <v>0</v>
      </c>
      <c r="H62" s="13">
        <f t="shared" si="3"/>
        <v>5.3699999999999998E-2</v>
      </c>
      <c r="I62" s="16">
        <f t="shared" si="4"/>
        <v>0</v>
      </c>
    </row>
    <row r="63" spans="1:9" ht="16">
      <c r="A63" s="172" t="str">
        <f>'Sovereign Ratings (Moody''s,S&amp;P)'!A57</f>
        <v>Ghana</v>
      </c>
      <c r="B63" s="165" t="str">
        <f>VLOOKUP(A63,'Regional lookup table'!$A$3:$B$156,2)</f>
        <v>Africa</v>
      </c>
      <c r="C63" s="11" t="str">
        <f>'Sovereign Ratings (Moody''s,S&amp;P)'!C57</f>
        <v>B3</v>
      </c>
      <c r="D63" s="24">
        <f t="shared" si="7"/>
        <v>7.5216461989266389E-2</v>
      </c>
      <c r="E63" s="24">
        <f t="shared" si="1"/>
        <v>0.14559862336006157</v>
      </c>
      <c r="F63" s="13">
        <f t="shared" si="2"/>
        <v>9.1898623360061577E-2</v>
      </c>
      <c r="G63" s="13" t="str">
        <f>VLOOKUP(A63,'10-year CDS Spreads'!$A$2:$D$152,4)</f>
        <v>NA</v>
      </c>
      <c r="H63" s="13" t="str">
        <f t="shared" si="3"/>
        <v>NA</v>
      </c>
      <c r="I63" s="16" t="str">
        <f t="shared" si="4"/>
        <v>NA</v>
      </c>
    </row>
    <row r="64" spans="1:9" ht="16">
      <c r="A64" s="172" t="str">
        <f>'Sovereign Ratings (Moody''s,S&amp;P)'!A58</f>
        <v>Greece</v>
      </c>
      <c r="B64" s="165" t="str">
        <f>VLOOKUP(A64,'Regional lookup table'!$A$3:$B$156,2)</f>
        <v>Western Europe</v>
      </c>
      <c r="C64" s="11" t="str">
        <f>'Sovereign Ratings (Moody''s,S&amp;P)'!C58</f>
        <v>B3</v>
      </c>
      <c r="D64" s="24">
        <f t="shared" si="7"/>
        <v>7.5216461989266389E-2</v>
      </c>
      <c r="E64" s="24">
        <f t="shared" si="1"/>
        <v>0.14559862336006157</v>
      </c>
      <c r="F64" s="13">
        <f t="shared" si="2"/>
        <v>9.1898623360061577E-2</v>
      </c>
      <c r="G64" s="13">
        <f>VLOOKUP(A64,'10-year CDS Spreads'!$A$2:$D$152,4)</f>
        <v>3.8600000000000002E-2</v>
      </c>
      <c r="H64" s="13">
        <f t="shared" si="3"/>
        <v>0.10086104384442578</v>
      </c>
      <c r="I64" s="16">
        <f t="shared" si="4"/>
        <v>4.7161043844425779E-2</v>
      </c>
    </row>
    <row r="65" spans="1:9" ht="16">
      <c r="A65" s="172" t="str">
        <f>'Sovereign Ratings (Moody''s,S&amp;P)'!A59</f>
        <v>Guatemala</v>
      </c>
      <c r="B65" s="165" t="str">
        <f>VLOOKUP(A65,'Regional lookup table'!$A$3:$B$156,2)</f>
        <v>Central and South America</v>
      </c>
      <c r="C65" s="11" t="str">
        <f>'Sovereign Ratings (Moody''s,S&amp;P)'!C59</f>
        <v>Ba1</v>
      </c>
      <c r="D65" s="24">
        <f t="shared" si="7"/>
        <v>2.8897309252464341E-2</v>
      </c>
      <c r="E65" s="24">
        <f t="shared" si="1"/>
        <v>8.9006405923352364E-2</v>
      </c>
      <c r="F65" s="13">
        <f t="shared" si="2"/>
        <v>3.5306405923352366E-2</v>
      </c>
      <c r="G65" s="13">
        <f>VLOOKUP(A65,'10-year CDS Spreads'!$A$2:$D$152,4)</f>
        <v>2.3300000000000001E-2</v>
      </c>
      <c r="H65" s="13">
        <f t="shared" si="3"/>
        <v>8.2167676724744051E-2</v>
      </c>
      <c r="I65" s="16">
        <f t="shared" si="4"/>
        <v>2.8467676724744057E-2</v>
      </c>
    </row>
    <row r="66" spans="1:9" ht="16">
      <c r="A66" s="172" t="str">
        <f>'Sovereign Ratings (Moody''s,S&amp;P)'!A60</f>
        <v>Guernsey (States of)</v>
      </c>
      <c r="B66" s="165" t="str">
        <f>VLOOKUP(A66,'Regional lookup table'!$A$3:$B$156,2)</f>
        <v>Western Europe</v>
      </c>
      <c r="C66" s="11" t="str">
        <f>'Sovereign Ratings (Moody''s,S&amp;P)'!C60</f>
        <v>Aa3</v>
      </c>
      <c r="D66" s="24">
        <f t="shared" si="7"/>
        <v>6.9896018769498571E-3</v>
      </c>
      <c r="E66" s="24">
        <f t="shared" si="1"/>
        <v>6.223981659517909E-2</v>
      </c>
      <c r="F66" s="13">
        <f t="shared" si="2"/>
        <v>8.5398165951790905E-3</v>
      </c>
      <c r="G66" s="13" t="str">
        <f>VLOOKUP(A66,'10-year CDS Spreads'!$A$2:$D$152,4)</f>
        <v>NA</v>
      </c>
      <c r="H66" s="13" t="str">
        <f t="shared" si="3"/>
        <v>NA</v>
      </c>
      <c r="I66" s="16" t="str">
        <f t="shared" si="4"/>
        <v>NA</v>
      </c>
    </row>
    <row r="67" spans="1:9" ht="16">
      <c r="A67" s="172" t="str">
        <f>'Sovereign Ratings (Moody''s,S&amp;P)'!A61</f>
        <v>Honduras</v>
      </c>
      <c r="B67" s="165" t="str">
        <f>VLOOKUP(A67,'Regional lookup table'!$A$3:$B$156,2)</f>
        <v>Central and South America</v>
      </c>
      <c r="C67" s="11" t="str">
        <f>'Sovereign Ratings (Moody''s,S&amp;P)'!C61</f>
        <v>B1</v>
      </c>
      <c r="D67" s="24">
        <f t="shared" si="7"/>
        <v>5.2056885620865363E-2</v>
      </c>
      <c r="E67" s="24">
        <f t="shared" si="1"/>
        <v>0.11730251464170696</v>
      </c>
      <c r="F67" s="13">
        <f t="shared" si="2"/>
        <v>6.3602514641706964E-2</v>
      </c>
      <c r="G67" s="13" t="str">
        <f>VLOOKUP(A67,'10-year CDS Spreads'!$A$2:$D$152,4)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72" t="str">
        <f>'Sovereign Ratings (Moody''s,S&amp;P)'!A62</f>
        <v>Hong Kong</v>
      </c>
      <c r="B68" s="165" t="str">
        <f>VLOOKUP(A68,'Regional lookup table'!$A$3:$B$156,2)</f>
        <v>Asia</v>
      </c>
      <c r="C68" s="11" t="str">
        <f>'Sovereign Ratings (Moody''s,S&amp;P)'!C62</f>
        <v>Aa2</v>
      </c>
      <c r="D68" s="24">
        <f t="shared" si="7"/>
        <v>5.7377328840633162E-3</v>
      </c>
      <c r="E68" s="24">
        <f t="shared" si="1"/>
        <v>6.0710297204997758E-2</v>
      </c>
      <c r="F68" s="13">
        <f t="shared" si="2"/>
        <v>7.0102972049977622E-3</v>
      </c>
      <c r="G68" s="13">
        <f>VLOOKUP(A68,'10-year CDS Spreads'!$A$2:$D$152,4)</f>
        <v>3.2000000000000002E-3</v>
      </c>
      <c r="H68" s="13">
        <f t="shared" si="3"/>
        <v>5.7609723842024931E-2</v>
      </c>
      <c r="I68" s="16">
        <f t="shared" si="4"/>
        <v>3.9097238420249345E-3</v>
      </c>
    </row>
    <row r="69" spans="1:9" ht="16">
      <c r="A69" s="172" t="str">
        <f>'Sovereign Ratings (Moody''s,S&amp;P)'!A63</f>
        <v>Hungary</v>
      </c>
      <c r="B69" s="165" t="str">
        <f>VLOOKUP(A69,'Regional lookup table'!$A$3:$B$156,2)</f>
        <v>Eastern Europe &amp; Russia</v>
      </c>
      <c r="C69" s="11" t="str">
        <f>'Sovereign Ratings (Moody''s,S&amp;P)'!C63</f>
        <v>Baa3</v>
      </c>
      <c r="D69" s="24">
        <f t="shared" si="7"/>
        <v>2.5454669522026348E-2</v>
      </c>
      <c r="E69" s="24">
        <f t="shared" si="1"/>
        <v>8.4800227600353703E-2</v>
      </c>
      <c r="F69" s="13">
        <f t="shared" si="2"/>
        <v>3.1100227600353709E-2</v>
      </c>
      <c r="G69" s="13">
        <f>VLOOKUP(A69,'10-year CDS Spreads'!$A$2:$D$152,4)</f>
        <v>9.5999999999999992E-3</v>
      </c>
      <c r="H69" s="13">
        <f t="shared" si="3"/>
        <v>6.5429171526074803E-2</v>
      </c>
      <c r="I69" s="16">
        <f t="shared" si="4"/>
        <v>1.1729171526074804E-2</v>
      </c>
    </row>
    <row r="70" spans="1:9" ht="16">
      <c r="A70" s="172" t="str">
        <f>'Sovereign Ratings (Moody''s,S&amp;P)'!A64</f>
        <v>Iceland</v>
      </c>
      <c r="B70" s="165" t="str">
        <f>VLOOKUP(A70,'Regional lookup table'!$A$3:$B$156,2)</f>
        <v>Western Europe</v>
      </c>
      <c r="C70" s="11" t="str">
        <f>'Sovereign Ratings (Moody''s,S&amp;P)'!C64</f>
        <v>A3</v>
      </c>
      <c r="D70" s="24">
        <f t="shared" si="7"/>
        <v>1.3874881337825837E-2</v>
      </c>
      <c r="E70" s="24">
        <f t="shared" si="1"/>
        <v>7.0652173241176397E-2</v>
      </c>
      <c r="F70" s="13">
        <f t="shared" si="2"/>
        <v>1.6952173241176406E-2</v>
      </c>
      <c r="G70" s="13">
        <f>VLOOKUP(A70,'10-year CDS Spreads'!$A$2:$D$152,4)</f>
        <v>5.899999999999999E-3</v>
      </c>
      <c r="H70" s="13">
        <f t="shared" si="3"/>
        <v>6.0908553333733469E-2</v>
      </c>
      <c r="I70" s="16">
        <f t="shared" si="4"/>
        <v>7.2085533337334718E-3</v>
      </c>
    </row>
    <row r="71" spans="1:9" ht="16">
      <c r="A71" s="172" t="str">
        <f>'Sovereign Ratings (Moody''s,S&amp;P)'!A65</f>
        <v>India</v>
      </c>
      <c r="B71" s="165" t="str">
        <f>VLOOKUP(A71,'Regional lookup table'!$A$3:$B$156,2)</f>
        <v>Asia</v>
      </c>
      <c r="C71" s="11" t="str">
        <f>'Sovereign Ratings (Moody''s,S&amp;P)'!C65</f>
        <v>Baa2</v>
      </c>
      <c r="D71" s="24">
        <f t="shared" si="7"/>
        <v>2.201202979158836E-2</v>
      </c>
      <c r="E71" s="24">
        <f t="shared" si="1"/>
        <v>8.0594049277355057E-2</v>
      </c>
      <c r="F71" s="13">
        <f t="shared" si="2"/>
        <v>2.6894049277355052E-2</v>
      </c>
      <c r="G71" s="13">
        <f>VLOOKUP(A71,'10-year CDS Spreads'!$A$2:$D$152,4)</f>
        <v>1.2E-2</v>
      </c>
      <c r="H71" s="13">
        <f t="shared" si="3"/>
        <v>6.8361464407593497E-2</v>
      </c>
      <c r="I71" s="16">
        <f t="shared" si="4"/>
        <v>1.4661464407593505E-2</v>
      </c>
    </row>
    <row r="72" spans="1:9" ht="16">
      <c r="A72" s="172" t="str">
        <f>'Sovereign Ratings (Moody''s,S&amp;P)'!A66</f>
        <v>Indonesia</v>
      </c>
      <c r="B72" s="165" t="str">
        <f>VLOOKUP(A72,'Regional lookup table'!$A$3:$B$156,2)</f>
        <v>Asia</v>
      </c>
      <c r="C72" s="11" t="str">
        <f>'Sovereign Ratings (Moody''s,S&amp;P)'!C66</f>
        <v>Baa2</v>
      </c>
      <c r="D72" s="24">
        <f t="shared" ref="D72:D103" si="8">VLOOKUP(C72,$J$9:$K$29,2)/10000</f>
        <v>2.201202979158836E-2</v>
      </c>
      <c r="E72" s="24">
        <f t="shared" si="1"/>
        <v>8.0594049277355057E-2</v>
      </c>
      <c r="F72" s="13">
        <f t="shared" si="2"/>
        <v>2.6894049277355052E-2</v>
      </c>
      <c r="G72" s="13">
        <f>VLOOKUP(A72,'10-year CDS Spreads'!$A$2:$D$152,4)</f>
        <v>1.66E-2</v>
      </c>
      <c r="H72" s="13">
        <f t="shared" si="3"/>
        <v>7.3981692430504342E-2</v>
      </c>
      <c r="I72" s="16">
        <f t="shared" si="4"/>
        <v>2.0281692430504348E-2</v>
      </c>
    </row>
    <row r="73" spans="1:9" ht="16">
      <c r="A73" s="172" t="str">
        <f>'Sovereign Ratings (Moody''s,S&amp;P)'!A67</f>
        <v>Iraq</v>
      </c>
      <c r="B73" s="165" t="str">
        <f>VLOOKUP(A73,'Regional lookup table'!$A$3:$B$156,2)</f>
        <v>Middle East</v>
      </c>
      <c r="C73" s="11" t="str">
        <f>'Sovereign Ratings (Moody''s,S&amp;P)'!C67</f>
        <v>Caa1</v>
      </c>
      <c r="D73" s="24">
        <f t="shared" si="8"/>
        <v>8.6691927757393011E-2</v>
      </c>
      <c r="E73" s="24">
        <f>$E$3+F73</f>
        <v>0.15961921777005708</v>
      </c>
      <c r="F73" s="13">
        <f>IF($E$4="Yes",D73*$E$5,D73)</f>
        <v>0.10591921777005708</v>
      </c>
      <c r="G73" s="13">
        <f>VLOOKUP(A73,'10-year CDS Spreads'!$A$2:$D$152,4)</f>
        <v>4.4000000000000004E-2</v>
      </c>
      <c r="H73" s="13">
        <f>IF(I73="NA","NA",$E$3+I73)</f>
        <v>0.10745870282784285</v>
      </c>
      <c r="I73" s="16">
        <f t="shared" ref="I73:I138" si="9">IF(G73="NA","NA",G73*$E$5)</f>
        <v>5.3758702827842855E-2</v>
      </c>
    </row>
    <row r="74" spans="1:9" ht="16">
      <c r="A74" s="172" t="str">
        <f>'Sovereign Ratings (Moody''s,S&amp;P)'!A68</f>
        <v>Ireland</v>
      </c>
      <c r="B74" s="165" t="str">
        <f>VLOOKUP(A74,'Regional lookup table'!$A$3:$B$156,2)</f>
        <v>Western Europe</v>
      </c>
      <c r="C74" s="11" t="str">
        <f>'Sovereign Ratings (Moody''s,S&amp;P)'!C68</f>
        <v>A2</v>
      </c>
      <c r="D74" s="24">
        <f t="shared" si="8"/>
        <v>9.8063071109445767E-3</v>
      </c>
      <c r="E74" s="24">
        <f t="shared" ref="E74:E142" si="10">$E$3+F74</f>
        <v>6.5681235223087081E-2</v>
      </c>
      <c r="F74" s="13">
        <f t="shared" ref="F74:F128" si="11">IF($E$4="Yes",D74*$E$5,D74)</f>
        <v>1.1981235223087083E-2</v>
      </c>
      <c r="G74" s="13">
        <f>VLOOKUP(A74,'10-year CDS Spreads'!$A$2:$D$152,4)</f>
        <v>2.3999999999999998E-3</v>
      </c>
      <c r="H74" s="13">
        <f t="shared" ref="H74:H142" si="12">IF(I74="NA","NA",$E$3+I74)</f>
        <v>5.6632292881518699E-2</v>
      </c>
      <c r="I74" s="16">
        <f t="shared" si="9"/>
        <v>2.9322928815187009E-3</v>
      </c>
    </row>
    <row r="75" spans="1:9" ht="16">
      <c r="A75" s="172" t="str">
        <f>'Sovereign Ratings (Moody''s,S&amp;P)'!A69</f>
        <v>Isle of Man</v>
      </c>
      <c r="B75" s="165" t="str">
        <f>VLOOKUP(A75,'Regional lookup table'!$A$3:$B$156,2)</f>
        <v>Western Europe</v>
      </c>
      <c r="C75" s="11" t="str">
        <f>'Sovereign Ratings (Moody''s,S&amp;P)'!C69</f>
        <v>Aa2</v>
      </c>
      <c r="D75" s="24">
        <f t="shared" si="8"/>
        <v>5.7377328840633162E-3</v>
      </c>
      <c r="E75" s="24">
        <f t="shared" si="10"/>
        <v>6.0710297204997758E-2</v>
      </c>
      <c r="F75" s="13">
        <f t="shared" si="11"/>
        <v>7.0102972049977622E-3</v>
      </c>
      <c r="G75" s="13" t="str">
        <f>VLOOKUP(A75,'10-year CDS Spreads'!$A$2:$D$152,4)</f>
        <v>NA</v>
      </c>
      <c r="H75" s="13" t="str">
        <f t="shared" si="12"/>
        <v>NA</v>
      </c>
      <c r="I75" s="16" t="str">
        <f t="shared" si="9"/>
        <v>NA</v>
      </c>
    </row>
    <row r="76" spans="1:9" ht="16">
      <c r="A76" s="172" t="str">
        <f>'Sovereign Ratings (Moody''s,S&amp;P)'!A70</f>
        <v>Israel</v>
      </c>
      <c r="B76" s="165" t="str">
        <f>VLOOKUP(A76,'Regional lookup table'!$A$3:$B$156,2)</f>
        <v>Middle East</v>
      </c>
      <c r="C76" s="11" t="str">
        <f>'Sovereign Ratings (Moody''s,S&amp;P)'!C70</f>
        <v>A1</v>
      </c>
      <c r="D76" s="24">
        <f t="shared" si="8"/>
        <v>8.1371484537625226E-3</v>
      </c>
      <c r="E76" s="24">
        <f t="shared" si="10"/>
        <v>6.3641876036178643E-2</v>
      </c>
      <c r="F76" s="13">
        <f t="shared" si="11"/>
        <v>9.9418760361786457E-3</v>
      </c>
      <c r="G76" s="13">
        <f>VLOOKUP(A76,'10-year CDS Spreads'!$A$2:$D$152,4)</f>
        <v>8.0000000000000002E-3</v>
      </c>
      <c r="H76" s="13">
        <f t="shared" si="12"/>
        <v>6.347430960506234E-2</v>
      </c>
      <c r="I76" s="16">
        <f t="shared" si="9"/>
        <v>9.7743096050623372E-3</v>
      </c>
    </row>
    <row r="77" spans="1:9" ht="16">
      <c r="A77" s="172" t="str">
        <f>'Sovereign Ratings (Moody''s,S&amp;P)'!A71</f>
        <v>Italy</v>
      </c>
      <c r="B77" s="165" t="str">
        <f>VLOOKUP(A77,'Regional lookup table'!$A$3:$B$156,2)</f>
        <v>Western Europe</v>
      </c>
      <c r="C77" s="11" t="str">
        <f>'Sovereign Ratings (Moody''s,S&amp;P)'!C71</f>
        <v>Baa2</v>
      </c>
      <c r="D77" s="24">
        <f t="shared" si="8"/>
        <v>2.201202979158836E-2</v>
      </c>
      <c r="E77" s="24">
        <f t="shared" si="10"/>
        <v>8.0594049277355057E-2</v>
      </c>
      <c r="F77" s="13">
        <f t="shared" si="11"/>
        <v>2.6894049277355052E-2</v>
      </c>
      <c r="G77" s="13">
        <f>VLOOKUP(A77,'10-year CDS Spreads'!$A$2:$D$152,4)</f>
        <v>2.06E-2</v>
      </c>
      <c r="H77" s="13">
        <f t="shared" si="12"/>
        <v>7.8868847233035513E-2</v>
      </c>
      <c r="I77" s="16">
        <f t="shared" si="9"/>
        <v>2.5168847233035519E-2</v>
      </c>
    </row>
    <row r="78" spans="1:9" ht="16">
      <c r="A78" s="172" t="str">
        <f>'Sovereign Ratings (Moody''s,S&amp;P)'!A72</f>
        <v>Jamaica</v>
      </c>
      <c r="B78" s="165" t="str">
        <f>VLOOKUP(A78,'Regional lookup table'!$A$3:$B$156,2)</f>
        <v>Caribbean</v>
      </c>
      <c r="C78" s="11" t="str">
        <f>'Sovereign Ratings (Moody''s,S&amp;P)'!C72</f>
        <v>B3</v>
      </c>
      <c r="D78" s="24">
        <f t="shared" si="8"/>
        <v>7.5216461989266389E-2</v>
      </c>
      <c r="E78" s="24">
        <f t="shared" si="10"/>
        <v>0.14559862336006157</v>
      </c>
      <c r="F78" s="13">
        <f t="shared" si="11"/>
        <v>9.1898623360061577E-2</v>
      </c>
      <c r="G78" s="13" t="str">
        <f>VLOOKUP(A78,'10-year CDS Spreads'!$A$2:$D$152,4)</f>
        <v>NA</v>
      </c>
      <c r="H78" s="13" t="str">
        <f t="shared" si="12"/>
        <v>NA</v>
      </c>
      <c r="I78" s="16" t="str">
        <f t="shared" si="9"/>
        <v>NA</v>
      </c>
    </row>
    <row r="79" spans="1:9" ht="16">
      <c r="A79" s="172" t="str">
        <f>'Sovereign Ratings (Moody''s,S&amp;P)'!A73</f>
        <v>Japan</v>
      </c>
      <c r="B79" s="165" t="str">
        <f>VLOOKUP(A79,'Regional lookup table'!$A$3:$B$156,2)</f>
        <v>Asia</v>
      </c>
      <c r="C79" s="11" t="str">
        <f>'Sovereign Ratings (Moody''s,S&amp;P)'!C73</f>
        <v>A1</v>
      </c>
      <c r="D79" s="24">
        <f t="shared" si="8"/>
        <v>8.1371484537625226E-3</v>
      </c>
      <c r="E79" s="24">
        <f t="shared" si="10"/>
        <v>6.3641876036178643E-2</v>
      </c>
      <c r="F79" s="13">
        <f t="shared" si="11"/>
        <v>9.9418760361786457E-3</v>
      </c>
      <c r="G79" s="13">
        <f>VLOOKUP(A79,'10-year CDS Spreads'!$A$2:$D$152,4)</f>
        <v>1.9000000000000002E-3</v>
      </c>
      <c r="H79" s="13">
        <f t="shared" si="12"/>
        <v>5.6021398531202304E-2</v>
      </c>
      <c r="I79" s="16">
        <f t="shared" si="9"/>
        <v>2.3213985312023054E-3</v>
      </c>
    </row>
    <row r="80" spans="1:9" ht="16">
      <c r="A80" s="172" t="str">
        <f>'Sovereign Ratings (Moody''s,S&amp;P)'!A74</f>
        <v>Jersey (States of)</v>
      </c>
      <c r="B80" s="165" t="str">
        <f>VLOOKUP(A80,'Regional lookup table'!$A$3:$B$156,2)</f>
        <v>Western Europe</v>
      </c>
      <c r="C80" s="11" t="str">
        <f>'Sovereign Ratings (Moody''s,S&amp;P)'!C74</f>
        <v>Aa3</v>
      </c>
      <c r="D80" s="24">
        <f t="shared" si="8"/>
        <v>6.9896018769498571E-3</v>
      </c>
      <c r="E80" s="24">
        <f t="shared" si="10"/>
        <v>6.223981659517909E-2</v>
      </c>
      <c r="F80" s="13">
        <f t="shared" si="11"/>
        <v>8.5398165951790905E-3</v>
      </c>
      <c r="G80" s="13" t="str">
        <f>VLOOKUP(A80,'10-year CDS Spreads'!$A$2:$D$152,4)</f>
        <v>NA</v>
      </c>
      <c r="H80" s="13" t="str">
        <f t="shared" si="12"/>
        <v>NA</v>
      </c>
      <c r="I80" s="16" t="str">
        <f t="shared" si="9"/>
        <v>NA</v>
      </c>
    </row>
    <row r="81" spans="1:9" ht="16">
      <c r="A81" s="172" t="str">
        <f>'Sovereign Ratings (Moody''s,S&amp;P)'!A75</f>
        <v>Jordan</v>
      </c>
      <c r="B81" s="165" t="str">
        <f>VLOOKUP(A81,'Regional lookup table'!$A$3:$B$156,2)</f>
        <v>Middle East</v>
      </c>
      <c r="C81" s="11" t="str">
        <f>'Sovereign Ratings (Moody''s,S&amp;P)'!C75</f>
        <v>B1</v>
      </c>
      <c r="D81" s="24">
        <f t="shared" si="8"/>
        <v>5.2056885620865363E-2</v>
      </c>
      <c r="E81" s="24">
        <f t="shared" si="10"/>
        <v>0.11730251464170696</v>
      </c>
      <c r="F81" s="13">
        <f t="shared" si="11"/>
        <v>6.3602514641706964E-2</v>
      </c>
      <c r="G81" s="13" t="str">
        <f>VLOOKUP(A81,'10-year CDS Spreads'!$A$2:$D$152,4)</f>
        <v>NA</v>
      </c>
      <c r="H81" s="13" t="str">
        <f t="shared" si="12"/>
        <v>NA</v>
      </c>
      <c r="I81" s="16" t="str">
        <f t="shared" si="9"/>
        <v>NA</v>
      </c>
    </row>
    <row r="82" spans="1:9" ht="16">
      <c r="A82" s="172" t="str">
        <f>'Sovereign Ratings (Moody''s,S&amp;P)'!A76</f>
        <v>Kazakhstan</v>
      </c>
      <c r="B82" s="165" t="str">
        <f>VLOOKUP(A82,'Regional lookup table'!$A$3:$B$156,2)</f>
        <v>Eastern Europe &amp; Russia</v>
      </c>
      <c r="C82" s="11" t="str">
        <f>'Sovereign Ratings (Moody''s,S&amp;P)'!C76</f>
        <v>Baa3</v>
      </c>
      <c r="D82" s="24">
        <f t="shared" si="8"/>
        <v>2.5454669522026348E-2</v>
      </c>
      <c r="E82" s="24">
        <f t="shared" si="10"/>
        <v>8.4800227600353703E-2</v>
      </c>
      <c r="F82" s="13">
        <f t="shared" si="11"/>
        <v>3.1100227600353709E-2</v>
      </c>
      <c r="G82" s="13">
        <f>VLOOKUP(A82,'10-year CDS Spreads'!$A$2:$D$152,4)</f>
        <v>0.01</v>
      </c>
      <c r="H82" s="13">
        <f t="shared" si="12"/>
        <v>6.5917887006327919E-2</v>
      </c>
      <c r="I82" s="16">
        <f t="shared" si="9"/>
        <v>1.2217887006327921E-2</v>
      </c>
    </row>
    <row r="83" spans="1:9" ht="16">
      <c r="A83" s="172" t="str">
        <f>'Sovereign Ratings (Moody''s,S&amp;P)'!A77</f>
        <v>Kenya</v>
      </c>
      <c r="B83" s="165" t="str">
        <f>VLOOKUP(A83,'Regional lookup table'!$A$3:$B$156,2)</f>
        <v>Africa</v>
      </c>
      <c r="C83" s="11" t="str">
        <f>'Sovereign Ratings (Moody''s,S&amp;P)'!C77</f>
        <v>B2</v>
      </c>
      <c r="D83" s="24">
        <f t="shared" si="8"/>
        <v>6.3636673805065866E-2</v>
      </c>
      <c r="E83" s="24">
        <f t="shared" si="10"/>
        <v>0.13145056900088425</v>
      </c>
      <c r="F83" s="13">
        <f t="shared" si="11"/>
        <v>7.7750569000884256E-2</v>
      </c>
      <c r="G83" s="13">
        <f>VLOOKUP(A83,'10-year CDS Spreads'!$A$2:$D$152,4)</f>
        <v>3.6200000000000003E-2</v>
      </c>
      <c r="H83" s="13">
        <f t="shared" si="12"/>
        <v>9.7928750962907068E-2</v>
      </c>
      <c r="I83" s="16">
        <f t="shared" si="9"/>
        <v>4.4228750962907078E-2</v>
      </c>
    </row>
    <row r="84" spans="1:9" ht="16">
      <c r="A84" s="172" t="str">
        <f>'Sovereign Ratings (Moody''s,S&amp;P)'!A78</f>
        <v>Korea</v>
      </c>
      <c r="B84" s="165" t="str">
        <f>VLOOKUP(A84,'Regional lookup table'!$A$3:$B$156,2)</f>
        <v>Asia</v>
      </c>
      <c r="C84" s="11" t="str">
        <f>'Sovereign Ratings (Moody''s,S&amp;P)'!C78</f>
        <v>Aa2</v>
      </c>
      <c r="D84" s="24">
        <f t="shared" si="8"/>
        <v>5.7377328840633162E-3</v>
      </c>
      <c r="E84" s="24">
        <f t="shared" si="10"/>
        <v>6.0710297204997758E-2</v>
      </c>
      <c r="F84" s="13">
        <f t="shared" si="11"/>
        <v>7.0102972049977622E-3</v>
      </c>
      <c r="G84" s="13">
        <f>VLOOKUP(A84,'10-year CDS Spreads'!$A$2:$D$152,4)</f>
        <v>3.6999999999999997E-3</v>
      </c>
      <c r="H84" s="13">
        <f t="shared" si="12"/>
        <v>5.8220618192341325E-2</v>
      </c>
      <c r="I84" s="16">
        <f t="shared" si="9"/>
        <v>4.52061819234133E-3</v>
      </c>
    </row>
    <row r="85" spans="1:9" ht="16">
      <c r="A85" s="172" t="str">
        <f>'Sovereign Ratings (Moody''s,S&amp;P)'!A79</f>
        <v>Kuwait</v>
      </c>
      <c r="B85" s="165" t="str">
        <f>VLOOKUP(A85,'Regional lookup table'!$A$3:$B$156,2)</f>
        <v>Middle East</v>
      </c>
      <c r="C85" s="11" t="str">
        <f>'Sovereign Ratings (Moody''s,S&amp;P)'!C79</f>
        <v>Aa2</v>
      </c>
      <c r="D85" s="24">
        <f t="shared" si="8"/>
        <v>5.7377328840633162E-3</v>
      </c>
      <c r="E85" s="24">
        <f>$E$3+F85</f>
        <v>6.0710297204997758E-2</v>
      </c>
      <c r="F85" s="13">
        <f>IF($E$4="Yes",D85*$E$5,D85)</f>
        <v>7.0102972049977622E-3</v>
      </c>
      <c r="G85" s="13">
        <f>VLOOKUP(A85,'10-year CDS Spreads'!$A$2:$D$152,4)</f>
        <v>8.3000000000000001E-3</v>
      </c>
      <c r="H85" s="13">
        <f>IF(I85="NA","NA",$E$3+I85)</f>
        <v>6.384084621525217E-2</v>
      </c>
      <c r="I85" s="16">
        <f t="shared" si="9"/>
        <v>1.0140846215252174E-2</v>
      </c>
    </row>
    <row r="86" spans="1:9" ht="16">
      <c r="A86" s="172" t="str">
        <f>'Sovereign Ratings (Moody''s,S&amp;P)'!A80</f>
        <v>Kyrgyzstan</v>
      </c>
      <c r="B86" s="165" t="str">
        <f>VLOOKUP(A86,'Regional lookup table'!$A$3:$B$156,2)</f>
        <v>Eastern Europe &amp; Russia</v>
      </c>
      <c r="C86" s="11" t="str">
        <f>'Sovereign Ratings (Moody''s,S&amp;P)'!C80</f>
        <v>B2</v>
      </c>
      <c r="D86" s="24">
        <f t="shared" si="8"/>
        <v>6.3636673805065866E-2</v>
      </c>
      <c r="E86" s="24">
        <f t="shared" si="10"/>
        <v>0.13145056900088425</v>
      </c>
      <c r="F86" s="13">
        <f t="shared" si="11"/>
        <v>7.7750569000884256E-2</v>
      </c>
      <c r="G86" s="13" t="str">
        <f>VLOOKUP(A86,'10-year CDS Spreads'!$A$2:$D$152,4)</f>
        <v>NA</v>
      </c>
      <c r="H86" s="13" t="str">
        <f t="shared" si="12"/>
        <v>NA</v>
      </c>
      <c r="I86" s="16" t="str">
        <f t="shared" si="9"/>
        <v>NA</v>
      </c>
    </row>
    <row r="87" spans="1:9" ht="16">
      <c r="A87" s="172" t="str">
        <f>'Sovereign Ratings (Moody''s,S&amp;P)'!A81</f>
        <v>Latvia</v>
      </c>
      <c r="B87" s="165" t="str">
        <f>VLOOKUP(A87,'Regional lookup table'!$A$3:$B$156,2)</f>
        <v>Eastern Europe &amp; Russia</v>
      </c>
      <c r="C87" s="11" t="str">
        <f>'Sovereign Ratings (Moody''s,S&amp;P)'!C81</f>
        <v>A3</v>
      </c>
      <c r="D87" s="24">
        <f t="shared" si="8"/>
        <v>1.3874881337825837E-2</v>
      </c>
      <c r="E87" s="24">
        <f t="shared" si="10"/>
        <v>7.0652173241176397E-2</v>
      </c>
      <c r="F87" s="13">
        <f t="shared" si="11"/>
        <v>1.6952173241176406E-2</v>
      </c>
      <c r="G87" s="13">
        <f>VLOOKUP(A87,'10-year CDS Spreads'!$A$2:$D$152,4)</f>
        <v>7.5999999999999991E-3</v>
      </c>
      <c r="H87" s="13">
        <f t="shared" si="12"/>
        <v>6.2985594124809224E-2</v>
      </c>
      <c r="I87" s="16">
        <f t="shared" si="9"/>
        <v>9.2855941248092197E-3</v>
      </c>
    </row>
    <row r="88" spans="1:9" ht="16">
      <c r="A88" s="172" t="str">
        <f>'Sovereign Ratings (Moody''s,S&amp;P)'!A82</f>
        <v>Lebanon</v>
      </c>
      <c r="B88" s="165" t="str">
        <f>VLOOKUP(A88,'Regional lookup table'!$A$3:$B$156,2)</f>
        <v>Middle East</v>
      </c>
      <c r="C88" s="11" t="str">
        <f>'Sovereign Ratings (Moody''s,S&amp;P)'!C82</f>
        <v>B3</v>
      </c>
      <c r="D88" s="24">
        <f t="shared" si="8"/>
        <v>7.5216461989266389E-2</v>
      </c>
      <c r="E88" s="24">
        <f t="shared" si="10"/>
        <v>0.14559862336006157</v>
      </c>
      <c r="F88" s="13">
        <f t="shared" si="11"/>
        <v>9.1898623360061577E-2</v>
      </c>
      <c r="G88" s="13">
        <f>VLOOKUP(A88,'10-year CDS Spreads'!$A$2:$D$152,4)</f>
        <v>6.0700000000000004E-2</v>
      </c>
      <c r="H88" s="13">
        <f t="shared" si="12"/>
        <v>0.12786257412841048</v>
      </c>
      <c r="I88" s="16">
        <f t="shared" si="9"/>
        <v>7.4162574128410486E-2</v>
      </c>
    </row>
    <row r="89" spans="1:9" ht="16">
      <c r="A89" s="172" t="str">
        <f>'Sovereign Ratings (Moody''s,S&amp;P)'!A83</f>
        <v>Liechtenstein</v>
      </c>
      <c r="B89" s="165" t="str">
        <f>VLOOKUP(A89,'Regional lookup table'!$A$3:$B$156,2)</f>
        <v>Western Europe</v>
      </c>
      <c r="C89" s="11" t="str">
        <f>'Sovereign Ratings (Moody''s,S&amp;P)'!C83</f>
        <v>Aaa</v>
      </c>
      <c r="D89" s="24">
        <f t="shared" si="8"/>
        <v>0</v>
      </c>
      <c r="E89" s="24">
        <f t="shared" si="10"/>
        <v>5.3699999999999998E-2</v>
      </c>
      <c r="F89" s="13">
        <f t="shared" si="11"/>
        <v>0</v>
      </c>
      <c r="G89" s="13" t="str">
        <f>VLOOKUP(A89,'10-year CDS Spreads'!$A$2:$D$152,4)</f>
        <v>NA</v>
      </c>
      <c r="H89" s="13" t="str">
        <f t="shared" si="12"/>
        <v>NA</v>
      </c>
      <c r="I89" s="16" t="str">
        <f t="shared" si="9"/>
        <v>NA</v>
      </c>
    </row>
    <row r="90" spans="1:9" ht="16">
      <c r="A90" s="172" t="str">
        <f>'Sovereign Ratings (Moody''s,S&amp;P)'!A84</f>
        <v>Lithuania</v>
      </c>
      <c r="B90" s="165" t="str">
        <f>VLOOKUP(A90,'Regional lookup table'!$A$3:$B$156,2)</f>
        <v>Eastern Europe &amp; Russia</v>
      </c>
      <c r="C90" s="11" t="str">
        <f>'Sovereign Ratings (Moody''s,S&amp;P)'!C84</f>
        <v>A3</v>
      </c>
      <c r="D90" s="24">
        <f t="shared" si="8"/>
        <v>1.3874881337825837E-2</v>
      </c>
      <c r="E90" s="24">
        <f t="shared" si="10"/>
        <v>7.0652173241176397E-2</v>
      </c>
      <c r="F90" s="13">
        <f t="shared" si="11"/>
        <v>1.6952173241176406E-2</v>
      </c>
      <c r="G90" s="13">
        <f>VLOOKUP(A90,'10-year CDS Spreads'!$A$2:$D$152,4)</f>
        <v>7.4000000000000003E-3</v>
      </c>
      <c r="H90" s="13">
        <f t="shared" si="12"/>
        <v>6.2741236384682653E-2</v>
      </c>
      <c r="I90" s="16">
        <f t="shared" si="9"/>
        <v>9.0412363846826618E-3</v>
      </c>
    </row>
    <row r="91" spans="1:9" ht="16">
      <c r="A91" s="172" t="str">
        <f>'Sovereign Ratings (Moody''s,S&amp;P)'!A85</f>
        <v>Luxembourg</v>
      </c>
      <c r="B91" s="165" t="str">
        <f>VLOOKUP(A91,'Regional lookup table'!$A$3:$B$156,2)</f>
        <v>Western Europe</v>
      </c>
      <c r="C91" s="11" t="str">
        <f>'Sovereign Ratings (Moody''s,S&amp;P)'!C85</f>
        <v>Aaa</v>
      </c>
      <c r="D91" s="24">
        <f t="shared" si="8"/>
        <v>0</v>
      </c>
      <c r="E91" s="24">
        <f t="shared" si="10"/>
        <v>5.3699999999999998E-2</v>
      </c>
      <c r="F91" s="13">
        <f t="shared" si="11"/>
        <v>0</v>
      </c>
      <c r="G91" s="13" t="str">
        <f>VLOOKUP(A91,'10-year CDS Spreads'!$A$2:$D$152,4)</f>
        <v>NA</v>
      </c>
      <c r="H91" s="13" t="str">
        <f t="shared" si="12"/>
        <v>NA</v>
      </c>
      <c r="I91" s="16" t="str">
        <f t="shared" si="9"/>
        <v>NA</v>
      </c>
    </row>
    <row r="92" spans="1:9" ht="16">
      <c r="A92" s="172" t="str">
        <f>'Sovereign Ratings (Moody''s,S&amp;P)'!A86</f>
        <v>Macao</v>
      </c>
      <c r="B92" s="165" t="str">
        <f>VLOOKUP(A92,'Regional lookup table'!$A$3:$B$156,2)</f>
        <v>Asia</v>
      </c>
      <c r="C92" s="11" t="str">
        <f>'Sovereign Ratings (Moody''s,S&amp;P)'!C86</f>
        <v>Aa3</v>
      </c>
      <c r="D92" s="24">
        <f t="shared" si="8"/>
        <v>6.9896018769498571E-3</v>
      </c>
      <c r="E92" s="24">
        <f t="shared" si="10"/>
        <v>6.223981659517909E-2</v>
      </c>
      <c r="F92" s="13">
        <f t="shared" si="11"/>
        <v>8.5398165951790905E-3</v>
      </c>
      <c r="G92" s="13" t="str">
        <f>VLOOKUP(A92,'10-year CDS Spreads'!$A$2:$D$152,4)</f>
        <v>NA</v>
      </c>
      <c r="H92" s="13" t="str">
        <f t="shared" si="12"/>
        <v>NA</v>
      </c>
      <c r="I92" s="16" t="str">
        <f t="shared" si="9"/>
        <v>NA</v>
      </c>
    </row>
    <row r="93" spans="1:9" ht="16">
      <c r="A93" s="172" t="str">
        <f>'Sovereign Ratings (Moody''s,S&amp;P)'!A87</f>
        <v>Macedonia</v>
      </c>
      <c r="B93" s="165" t="str">
        <f>VLOOKUP(A93,'Regional lookup table'!$A$3:$B$156,2)</f>
        <v>Eastern Europe &amp; Russia</v>
      </c>
      <c r="C93" s="11" t="str">
        <f>'Sovereign Ratings (Moody''s,S&amp;P)'!C87</f>
        <v>Ba3</v>
      </c>
      <c r="D93" s="24">
        <f t="shared" si="8"/>
        <v>4.1624644013477513E-2</v>
      </c>
      <c r="E93" s="24">
        <f t="shared" si="10"/>
        <v>0.10455651972352922</v>
      </c>
      <c r="F93" s="13">
        <f t="shared" si="11"/>
        <v>5.0856519723529219E-2</v>
      </c>
      <c r="G93" s="13" t="str">
        <f>VLOOKUP(A93,'10-year CDS Spreads'!$A$2:$D$152,4)</f>
        <v>NA</v>
      </c>
      <c r="H93" s="13" t="str">
        <f t="shared" si="12"/>
        <v>NA</v>
      </c>
      <c r="I93" s="16" t="str">
        <f t="shared" si="9"/>
        <v>NA</v>
      </c>
    </row>
    <row r="94" spans="1:9" ht="16">
      <c r="A94" s="172" t="str">
        <f>'Sovereign Ratings (Moody''s,S&amp;P)'!A88</f>
        <v>Malaysia</v>
      </c>
      <c r="B94" s="165" t="str">
        <f>VLOOKUP(A94,'Regional lookup table'!$A$3:$B$156,2)</f>
        <v>Asia</v>
      </c>
      <c r="C94" s="11" t="str">
        <f>'Sovereign Ratings (Moody''s,S&amp;P)'!C88</f>
        <v>A3</v>
      </c>
      <c r="D94" s="24">
        <f t="shared" si="8"/>
        <v>1.3874881337825837E-2</v>
      </c>
      <c r="E94" s="24">
        <f t="shared" si="10"/>
        <v>7.0652173241176397E-2</v>
      </c>
      <c r="F94" s="13">
        <f t="shared" si="11"/>
        <v>1.6952173241176406E-2</v>
      </c>
      <c r="G94" s="13">
        <f>VLOOKUP(A94,'10-year CDS Spreads'!$A$2:$D$152,4)</f>
        <v>1.26E-2</v>
      </c>
      <c r="H94" s="13">
        <f t="shared" si="12"/>
        <v>6.9094537627973185E-2</v>
      </c>
      <c r="I94" s="16">
        <f t="shared" si="9"/>
        <v>1.539453762797318E-2</v>
      </c>
    </row>
    <row r="95" spans="1:9" ht="16">
      <c r="A95" s="172" t="str">
        <f>'Sovereign Ratings (Moody''s,S&amp;P)'!A89</f>
        <v>Maldives</v>
      </c>
      <c r="B95" s="165" t="str">
        <f>VLOOKUP(A95,'Regional lookup table'!$A$3:$B$156,2)</f>
        <v>Asia</v>
      </c>
      <c r="C95" s="11" t="str">
        <f>'Sovereign Ratings (Moody''s,S&amp;P)'!C89</f>
        <v>B2</v>
      </c>
      <c r="D95" s="24">
        <f t="shared" si="8"/>
        <v>6.3636673805065866E-2</v>
      </c>
      <c r="E95" s="24">
        <f t="shared" ref="E95" si="13">$E$3+F95</f>
        <v>0.13145056900088425</v>
      </c>
      <c r="F95" s="13">
        <f t="shared" ref="F95" si="14">IF($E$4="Yes",D95*$E$5,D95)</f>
        <v>7.7750569000884256E-2</v>
      </c>
      <c r="G95" s="13" t="str">
        <f>VLOOKUP(A95,'10-year CDS Spreads'!$A$2:$D$152,4)</f>
        <v>NA</v>
      </c>
      <c r="H95" s="13" t="str">
        <f t="shared" ref="H95" si="15">IF(I95="NA","NA",$E$3+I95)</f>
        <v>NA</v>
      </c>
      <c r="I95" s="16" t="str">
        <f t="shared" ref="I95" si="16">IF(G95="NA","NA",G95*$E$5)</f>
        <v>NA</v>
      </c>
    </row>
    <row r="96" spans="1:9" ht="16">
      <c r="A96" s="172" t="str">
        <f>'Sovereign Ratings (Moody''s,S&amp;P)'!A90</f>
        <v>Malta</v>
      </c>
      <c r="B96" s="165" t="str">
        <f>VLOOKUP(A96,'Regional lookup table'!$A$3:$B$156,2)</f>
        <v>Western Europe</v>
      </c>
      <c r="C96" s="11" t="str">
        <f>'Sovereign Ratings (Moody''s,S&amp;P)'!C90</f>
        <v>A3</v>
      </c>
      <c r="D96" s="24">
        <f t="shared" si="8"/>
        <v>1.3874881337825837E-2</v>
      </c>
      <c r="E96" s="24">
        <f t="shared" si="10"/>
        <v>7.0652173241176397E-2</v>
      </c>
      <c r="F96" s="13">
        <f t="shared" si="11"/>
        <v>1.6952173241176406E-2</v>
      </c>
      <c r="G96" s="13" t="str">
        <f>VLOOKUP(A96,'10-year CDS Spreads'!$A$2:$D$152,4)</f>
        <v>NA</v>
      </c>
      <c r="H96" s="13" t="str">
        <f t="shared" si="12"/>
        <v>NA</v>
      </c>
      <c r="I96" s="16" t="str">
        <f t="shared" si="9"/>
        <v>NA</v>
      </c>
    </row>
    <row r="97" spans="1:9" ht="16">
      <c r="A97" s="172" t="str">
        <f>'Sovereign Ratings (Moody''s,S&amp;P)'!A91</f>
        <v>Mauritius</v>
      </c>
      <c r="B97" s="165" t="str">
        <f>VLOOKUP(A97,'Regional lookup table'!$A$3:$B$156,2)</f>
        <v>Asia</v>
      </c>
      <c r="C97" s="11" t="str">
        <f>'Sovereign Ratings (Moody''s,S&amp;P)'!C91</f>
        <v>Baa1</v>
      </c>
      <c r="D97" s="24">
        <f t="shared" si="8"/>
        <v>1.846506764507649E-2</v>
      </c>
      <c r="E97" s="24">
        <f t="shared" si="10"/>
        <v>7.6260411005174611E-2</v>
      </c>
      <c r="F97" s="13">
        <f t="shared" si="11"/>
        <v>2.2560411005174617E-2</v>
      </c>
      <c r="G97" s="13" t="str">
        <f>VLOOKUP(A97,'10-year CDS Spreads'!$A$2:$D$152,4)</f>
        <v>NA</v>
      </c>
      <c r="H97" s="13" t="str">
        <f t="shared" si="12"/>
        <v>NA</v>
      </c>
      <c r="I97" s="16" t="str">
        <f t="shared" si="9"/>
        <v>NA</v>
      </c>
    </row>
    <row r="98" spans="1:9" ht="16">
      <c r="A98" s="172" t="str">
        <f>'Sovereign Ratings (Moody''s,S&amp;P)'!A92</f>
        <v>Mexico</v>
      </c>
      <c r="B98" s="165" t="str">
        <f>VLOOKUP(A98,'Regional lookup table'!$A$3:$B$156,2)</f>
        <v>Central and South America</v>
      </c>
      <c r="C98" s="11" t="str">
        <f>'Sovereign Ratings (Moody''s,S&amp;P)'!C92</f>
        <v>A3</v>
      </c>
      <c r="D98" s="24">
        <f t="shared" si="8"/>
        <v>1.3874881337825837E-2</v>
      </c>
      <c r="E98" s="24">
        <f t="shared" si="10"/>
        <v>7.0652173241176397E-2</v>
      </c>
      <c r="F98" s="13">
        <f t="shared" si="11"/>
        <v>1.6952173241176406E-2</v>
      </c>
      <c r="G98" s="13">
        <f>VLOOKUP(A98,'10-year CDS Spreads'!$A$2:$D$152,4)</f>
        <v>1.6799999999999999E-2</v>
      </c>
      <c r="H98" s="13">
        <f t="shared" si="12"/>
        <v>7.42260501706309E-2</v>
      </c>
      <c r="I98" s="16">
        <f t="shared" si="9"/>
        <v>2.0526050170630906E-2</v>
      </c>
    </row>
    <row r="99" spans="1:9" ht="16">
      <c r="A99" s="172" t="str">
        <f>'Sovereign Ratings (Moody''s,S&amp;P)'!A93</f>
        <v>Moldova</v>
      </c>
      <c r="B99" s="165" t="str">
        <f>VLOOKUP(A99,'Regional lookup table'!$A$3:$B$156,2)</f>
        <v>Eastern Europe &amp; Russia</v>
      </c>
      <c r="C99" s="11" t="str">
        <f>'Sovereign Ratings (Moody''s,S&amp;P)'!C93</f>
        <v>B3</v>
      </c>
      <c r="D99" s="24">
        <f t="shared" si="8"/>
        <v>7.5216461989266389E-2</v>
      </c>
      <c r="E99" s="24">
        <f t="shared" si="10"/>
        <v>0.14559862336006157</v>
      </c>
      <c r="F99" s="13">
        <f t="shared" si="11"/>
        <v>9.1898623360061577E-2</v>
      </c>
      <c r="G99" s="13" t="str">
        <f>VLOOKUP(A99,'10-year CDS Spreads'!$A$2:$D$152,4)</f>
        <v>NA</v>
      </c>
      <c r="H99" s="13" t="str">
        <f t="shared" si="12"/>
        <v>NA</v>
      </c>
      <c r="I99" s="16" t="str">
        <f t="shared" si="9"/>
        <v>NA</v>
      </c>
    </row>
    <row r="100" spans="1:9" ht="16">
      <c r="A100" s="172" t="str">
        <f>'Sovereign Ratings (Moody''s,S&amp;P)'!A94</f>
        <v>Mongolia</v>
      </c>
      <c r="B100" s="165" t="str">
        <f>VLOOKUP(A100,'Regional lookup table'!$A$3:$B$156,2)</f>
        <v>Asia</v>
      </c>
      <c r="C100" s="11" t="str">
        <f>'Sovereign Ratings (Moody''s,S&amp;P)'!C94</f>
        <v>B3</v>
      </c>
      <c r="D100" s="24">
        <f t="shared" si="8"/>
        <v>7.5216461989266389E-2</v>
      </c>
      <c r="E100" s="24">
        <f t="shared" si="10"/>
        <v>0.14559862336006157</v>
      </c>
      <c r="F100" s="13">
        <f t="shared" si="11"/>
        <v>9.1898623360061577E-2</v>
      </c>
      <c r="G100" s="13" t="str">
        <f>VLOOKUP(A100,'10-year CDS Spreads'!$A$2:$D$152,4)</f>
        <v>NA</v>
      </c>
      <c r="H100" s="13" t="str">
        <f t="shared" si="12"/>
        <v>NA</v>
      </c>
      <c r="I100" s="16" t="str">
        <f t="shared" si="9"/>
        <v>NA</v>
      </c>
    </row>
    <row r="101" spans="1:9" ht="16">
      <c r="A101" s="172" t="str">
        <f>'Sovereign Ratings (Moody''s,S&amp;P)'!A95</f>
        <v>Montenegro</v>
      </c>
      <c r="B101" s="165" t="str">
        <f>VLOOKUP(A101,'Regional lookup table'!$A$3:$B$156,2)</f>
        <v>Eastern Europe &amp; Russia</v>
      </c>
      <c r="C101" s="11" t="str">
        <f>'Sovereign Ratings (Moody''s,S&amp;P)'!C95</f>
        <v>B1</v>
      </c>
      <c r="D101" s="24">
        <f t="shared" si="8"/>
        <v>5.2056885620865363E-2</v>
      </c>
      <c r="E101" s="24">
        <f t="shared" si="10"/>
        <v>0.11730251464170696</v>
      </c>
      <c r="F101" s="13">
        <f t="shared" si="11"/>
        <v>6.3602514641706964E-2</v>
      </c>
      <c r="G101" s="13" t="str">
        <f>VLOOKUP(A101,'10-year CDS Spreads'!$A$2:$D$152,4)</f>
        <v>NA</v>
      </c>
      <c r="H101" s="13" t="str">
        <f t="shared" si="12"/>
        <v>NA</v>
      </c>
      <c r="I101" s="16" t="str">
        <f t="shared" si="9"/>
        <v>NA</v>
      </c>
    </row>
    <row r="102" spans="1:9" ht="16">
      <c r="A102" s="172" t="str">
        <f>'Sovereign Ratings (Moody''s,S&amp;P)'!A96</f>
        <v>Montserrat</v>
      </c>
      <c r="B102" s="165" t="str">
        <f>VLOOKUP(A102,'Regional lookup table'!$A$3:$B$156,2)</f>
        <v>Caribbean</v>
      </c>
      <c r="C102" s="11" t="str">
        <f>'Sovereign Ratings (Moody''s,S&amp;P)'!C96</f>
        <v>Baa3</v>
      </c>
      <c r="D102" s="24">
        <f t="shared" si="8"/>
        <v>2.5454669522026348E-2</v>
      </c>
      <c r="E102" s="24">
        <f t="shared" si="10"/>
        <v>8.4800227600353703E-2</v>
      </c>
      <c r="F102" s="13">
        <f t="shared" si="11"/>
        <v>3.1100227600353709E-2</v>
      </c>
      <c r="G102" s="13" t="str">
        <f>VLOOKUP(A102,'10-year CDS Spreads'!$A$2:$D$152,4)</f>
        <v>NA</v>
      </c>
      <c r="H102" s="13" t="str">
        <f t="shared" si="12"/>
        <v>NA</v>
      </c>
      <c r="I102" s="16" t="str">
        <f t="shared" si="9"/>
        <v>NA</v>
      </c>
    </row>
    <row r="103" spans="1:9" ht="16">
      <c r="A103" s="172" t="str">
        <f>'Sovereign Ratings (Moody''s,S&amp;P)'!A97</f>
        <v>Morocco</v>
      </c>
      <c r="B103" s="165" t="str">
        <f>VLOOKUP(A103,'Regional lookup table'!$A$3:$B$156,2)</f>
        <v>Africa</v>
      </c>
      <c r="C103" s="11" t="str">
        <f>'Sovereign Ratings (Moody''s,S&amp;P)'!C97</f>
        <v>Ba1</v>
      </c>
      <c r="D103" s="24">
        <f t="shared" si="8"/>
        <v>2.8897309252464341E-2</v>
      </c>
      <c r="E103" s="24">
        <f t="shared" si="10"/>
        <v>8.9006405923352364E-2</v>
      </c>
      <c r="F103" s="13">
        <f t="shared" si="11"/>
        <v>3.5306405923352366E-2</v>
      </c>
      <c r="G103" s="13">
        <f>VLOOKUP(A103,'10-year CDS Spreads'!$A$2:$D$152,4)</f>
        <v>1.67E-2</v>
      </c>
      <c r="H103" s="13">
        <f t="shared" si="12"/>
        <v>7.4103871300567628E-2</v>
      </c>
      <c r="I103" s="16">
        <f t="shared" si="9"/>
        <v>2.0403871300567627E-2</v>
      </c>
    </row>
    <row r="104" spans="1:9" ht="16">
      <c r="A104" s="172" t="str">
        <f>'Sovereign Ratings (Moody''s,S&amp;P)'!A98</f>
        <v>Mozambique</v>
      </c>
      <c r="B104" s="165" t="str">
        <f>VLOOKUP(A104,'Regional lookup table'!$A$3:$B$156,2)</f>
        <v>Africa</v>
      </c>
      <c r="C104" s="11" t="str">
        <f>'Sovereign Ratings (Moody''s,S&amp;P)'!C98</f>
        <v>Caa3</v>
      </c>
      <c r="D104" s="24">
        <f t="shared" ref="D104:D135" si="17">VLOOKUP(C104,$J$9:$K$29,2)/10000</f>
        <v>0.11558923700985736</v>
      </c>
      <c r="E104" s="24">
        <f t="shared" si="10"/>
        <v>0.19492562369340946</v>
      </c>
      <c r="F104" s="13">
        <f t="shared" si="11"/>
        <v>0.14122562369340946</v>
      </c>
      <c r="G104" s="13" t="str">
        <f>VLOOKUP(A104,'10-year CDS Spreads'!$A$2:$D$152,4)</f>
        <v>NA</v>
      </c>
      <c r="H104" s="13" t="str">
        <f t="shared" si="12"/>
        <v>NA</v>
      </c>
      <c r="I104" s="16" t="str">
        <f t="shared" si="9"/>
        <v>NA</v>
      </c>
    </row>
    <row r="105" spans="1:9" ht="16">
      <c r="A105" s="172" t="str">
        <f>'Sovereign Ratings (Moody''s,S&amp;P)'!A99</f>
        <v>Namibia</v>
      </c>
      <c r="B105" s="165" t="str">
        <f>VLOOKUP(A105,'Regional lookup table'!$A$3:$B$156,2)</f>
        <v>Africa</v>
      </c>
      <c r="C105" s="11" t="str">
        <f>'Sovereign Ratings (Moody''s,S&amp;P)'!C99</f>
        <v>Ba1</v>
      </c>
      <c r="D105" s="24">
        <f t="shared" si="17"/>
        <v>2.8897309252464341E-2</v>
      </c>
      <c r="E105" s="24">
        <f t="shared" si="10"/>
        <v>8.9006405923352364E-2</v>
      </c>
      <c r="F105" s="13">
        <f t="shared" si="11"/>
        <v>3.5306405923352366E-2</v>
      </c>
      <c r="G105" s="13" t="str">
        <f>VLOOKUP(A105,'10-year CDS Spreads'!$A$2:$D$152,4)</f>
        <v>NA</v>
      </c>
      <c r="H105" s="13" t="str">
        <f t="shared" si="12"/>
        <v>NA</v>
      </c>
      <c r="I105" s="16" t="str">
        <f t="shared" si="9"/>
        <v>NA</v>
      </c>
    </row>
    <row r="106" spans="1:9" ht="16">
      <c r="A106" s="172" t="str">
        <f>'Sovereign Ratings (Moody''s,S&amp;P)'!A100</f>
        <v>Netherlands</v>
      </c>
      <c r="B106" s="165" t="str">
        <f>VLOOKUP(A106,'Regional lookup table'!$A$3:$B$156,2)</f>
        <v>Western Europe</v>
      </c>
      <c r="C106" s="11" t="str">
        <f>'Sovereign Ratings (Moody''s,S&amp;P)'!C100</f>
        <v>Aaa</v>
      </c>
      <c r="D106" s="24">
        <f t="shared" si="17"/>
        <v>0</v>
      </c>
      <c r="E106" s="24">
        <f t="shared" si="10"/>
        <v>5.3699999999999998E-2</v>
      </c>
      <c r="F106" s="13">
        <f t="shared" si="11"/>
        <v>0</v>
      </c>
      <c r="G106" s="13">
        <f>VLOOKUP(A106,'10-year CDS Spreads'!$A$2:$D$152,4)</f>
        <v>0</v>
      </c>
      <c r="H106" s="13">
        <f t="shared" si="12"/>
        <v>5.3699999999999998E-2</v>
      </c>
      <c r="I106" s="16">
        <f t="shared" si="9"/>
        <v>0</v>
      </c>
    </row>
    <row r="107" spans="1:9" ht="16">
      <c r="A107" s="172" t="str">
        <f>'Sovereign Ratings (Moody''s,S&amp;P)'!A101</f>
        <v>New Zealand</v>
      </c>
      <c r="B107" s="165" t="str">
        <f>VLOOKUP(A107,'Regional lookup table'!$A$3:$B$156,2)</f>
        <v>Australia &amp; New Zealand</v>
      </c>
      <c r="C107" s="11" t="str">
        <f>'Sovereign Ratings (Moody''s,S&amp;P)'!C101</f>
        <v>Aaa</v>
      </c>
      <c r="D107" s="24">
        <f t="shared" si="17"/>
        <v>0</v>
      </c>
      <c r="E107" s="24">
        <f t="shared" si="10"/>
        <v>5.3699999999999998E-2</v>
      </c>
      <c r="F107" s="13">
        <f t="shared" si="11"/>
        <v>0</v>
      </c>
      <c r="G107" s="13">
        <f>VLOOKUP(A107,'10-year CDS Spreads'!$A$2:$D$152,4)</f>
        <v>7.9999999999999993E-4</v>
      </c>
      <c r="H107" s="13">
        <f t="shared" si="12"/>
        <v>5.4677430960506229E-2</v>
      </c>
      <c r="I107" s="16">
        <f t="shared" si="9"/>
        <v>9.7743096050623363E-4</v>
      </c>
    </row>
    <row r="108" spans="1:9" ht="16">
      <c r="A108" s="172" t="str">
        <f>'Sovereign Ratings (Moody''s,S&amp;P)'!A102</f>
        <v>Nicaragua</v>
      </c>
      <c r="B108" s="165" t="str">
        <f>VLOOKUP(A108,'Regional lookup table'!$A$3:$B$156,2)</f>
        <v>Central and South America</v>
      </c>
      <c r="C108" s="11" t="str">
        <f>'Sovereign Ratings (Moody''s,S&amp;P)'!C102</f>
        <v>B2</v>
      </c>
      <c r="D108" s="24">
        <f t="shared" si="17"/>
        <v>6.3636673805065866E-2</v>
      </c>
      <c r="E108" s="24">
        <f t="shared" si="10"/>
        <v>0.13145056900088425</v>
      </c>
      <c r="F108" s="13">
        <f t="shared" si="11"/>
        <v>7.7750569000884256E-2</v>
      </c>
      <c r="G108" s="13" t="str">
        <f>VLOOKUP(A108,'10-year CDS Spreads'!$A$2:$D$152,4)</f>
        <v>NA</v>
      </c>
      <c r="H108" s="13" t="str">
        <f t="shared" si="12"/>
        <v>NA</v>
      </c>
      <c r="I108" s="16" t="str">
        <f t="shared" si="9"/>
        <v>NA</v>
      </c>
    </row>
    <row r="109" spans="1:9" ht="16">
      <c r="A109" s="172" t="str">
        <f>'Sovereign Ratings (Moody''s,S&amp;P)'!A103</f>
        <v>Nigeria</v>
      </c>
      <c r="B109" s="165" t="str">
        <f>VLOOKUP(A109,'Regional lookup table'!$A$3:$B$156,2)</f>
        <v>Africa</v>
      </c>
      <c r="C109" s="11" t="str">
        <f>'Sovereign Ratings (Moody''s,S&amp;P)'!C103</f>
        <v>B2</v>
      </c>
      <c r="D109" s="24">
        <f t="shared" si="17"/>
        <v>6.3636673805065866E-2</v>
      </c>
      <c r="E109" s="24">
        <f t="shared" si="10"/>
        <v>0.13145056900088425</v>
      </c>
      <c r="F109" s="13">
        <f t="shared" si="11"/>
        <v>7.7750569000884256E-2</v>
      </c>
      <c r="G109" s="13">
        <f>VLOOKUP(A109,'10-year CDS Spreads'!$A$2:$D$152,4)</f>
        <v>3.2000000000000001E-2</v>
      </c>
      <c r="H109" s="13">
        <f t="shared" si="12"/>
        <v>9.2797238420249339E-2</v>
      </c>
      <c r="I109" s="16">
        <f t="shared" si="9"/>
        <v>3.9097238420249349E-2</v>
      </c>
    </row>
    <row r="110" spans="1:9" ht="16">
      <c r="A110" s="172" t="str">
        <f>'Sovereign Ratings (Moody''s,S&amp;P)'!A104</f>
        <v>Norway</v>
      </c>
      <c r="B110" s="165" t="str">
        <f>VLOOKUP(A110,'Regional lookup table'!$A$3:$B$156,2)</f>
        <v>Western Europe</v>
      </c>
      <c r="C110" s="11" t="str">
        <f>'Sovereign Ratings (Moody''s,S&amp;P)'!C104</f>
        <v>Aaa</v>
      </c>
      <c r="D110" s="24">
        <f t="shared" si="17"/>
        <v>0</v>
      </c>
      <c r="E110" s="24">
        <f t="shared" si="10"/>
        <v>5.3699999999999998E-2</v>
      </c>
      <c r="F110" s="13">
        <f t="shared" si="11"/>
        <v>0</v>
      </c>
      <c r="G110" s="13">
        <f>VLOOKUP(A110,'10-year CDS Spreads'!$A$2:$D$152,4)</f>
        <v>0</v>
      </c>
      <c r="H110" s="13">
        <f t="shared" si="12"/>
        <v>5.3699999999999998E-2</v>
      </c>
      <c r="I110" s="16">
        <f t="shared" si="9"/>
        <v>0</v>
      </c>
    </row>
    <row r="111" spans="1:9" ht="16">
      <c r="A111" s="172" t="str">
        <f>'Sovereign Ratings (Moody''s,S&amp;P)'!A105</f>
        <v>Oman</v>
      </c>
      <c r="B111" s="165" t="str">
        <f>VLOOKUP(A111,'Regional lookup table'!$A$3:$B$156,2)</f>
        <v>Middle East</v>
      </c>
      <c r="C111" s="11" t="str">
        <f>'Sovereign Ratings (Moody''s,S&amp;P)'!C105</f>
        <v>Baa3</v>
      </c>
      <c r="D111" s="24">
        <f t="shared" si="17"/>
        <v>2.5454669522026348E-2</v>
      </c>
      <c r="E111" s="24">
        <f t="shared" si="10"/>
        <v>8.4800227600353703E-2</v>
      </c>
      <c r="F111" s="13">
        <f t="shared" si="11"/>
        <v>3.1100227600353709E-2</v>
      </c>
      <c r="G111" s="13">
        <f>VLOOKUP(A111,'10-year CDS Spreads'!$A$2:$D$152,4)</f>
        <v>3.1700000000000006E-2</v>
      </c>
      <c r="H111" s="13">
        <f t="shared" si="12"/>
        <v>9.2430701810059523E-2</v>
      </c>
      <c r="I111" s="16">
        <f t="shared" si="9"/>
        <v>3.8730701810059519E-2</v>
      </c>
    </row>
    <row r="112" spans="1:9" ht="16">
      <c r="A112" s="172" t="str">
        <f>'Sovereign Ratings (Moody''s,S&amp;P)'!A106</f>
        <v>Pakistan</v>
      </c>
      <c r="B112" s="165" t="str">
        <f>VLOOKUP(A112,'Regional lookup table'!$A$3:$B$156,2)</f>
        <v>Asia</v>
      </c>
      <c r="C112" s="11" t="str">
        <f>'Sovereign Ratings (Moody''s,S&amp;P)'!C106</f>
        <v>B3</v>
      </c>
      <c r="D112" s="24">
        <f t="shared" si="17"/>
        <v>7.5216461989266389E-2</v>
      </c>
      <c r="E112" s="24">
        <f t="shared" si="10"/>
        <v>0.14559862336006157</v>
      </c>
      <c r="F112" s="13">
        <f t="shared" si="11"/>
        <v>9.1898623360061577E-2</v>
      </c>
      <c r="G112" s="13">
        <f>VLOOKUP(A112,'10-year CDS Spreads'!$A$2:$D$152,4)</f>
        <v>4.6900000000000004E-2</v>
      </c>
      <c r="H112" s="13">
        <f t="shared" si="12"/>
        <v>0.11100189005967795</v>
      </c>
      <c r="I112" s="16">
        <f t="shared" si="9"/>
        <v>5.7301890059677951E-2</v>
      </c>
    </row>
    <row r="113" spans="1:9" ht="16">
      <c r="A113" s="172" t="str">
        <f>'Sovereign Ratings (Moody''s,S&amp;P)'!A107</f>
        <v>Panama</v>
      </c>
      <c r="B113" s="165" t="str">
        <f>VLOOKUP(A113,'Regional lookup table'!$A$3:$B$156,2)</f>
        <v>Central and South America</v>
      </c>
      <c r="C113" s="11" t="str">
        <f>'Sovereign Ratings (Moody''s,S&amp;P)'!C107</f>
        <v>Baa2</v>
      </c>
      <c r="D113" s="24">
        <f t="shared" si="17"/>
        <v>2.201202979158836E-2</v>
      </c>
      <c r="E113" s="24">
        <f t="shared" si="10"/>
        <v>8.0594049277355057E-2</v>
      </c>
      <c r="F113" s="13">
        <f t="shared" si="11"/>
        <v>2.6894049277355052E-2</v>
      </c>
      <c r="G113" s="13">
        <f>VLOOKUP(A113,'10-year CDS Spreads'!$A$2:$D$152,4)</f>
        <v>8.7999999999999988E-3</v>
      </c>
      <c r="H113" s="13">
        <f t="shared" si="12"/>
        <v>6.4451740565568572E-2</v>
      </c>
      <c r="I113" s="16">
        <f t="shared" si="9"/>
        <v>1.0751740565568569E-2</v>
      </c>
    </row>
    <row r="114" spans="1:9" ht="16">
      <c r="A114" s="172" t="str">
        <f>'Sovereign Ratings (Moody''s,S&amp;P)'!A108</f>
        <v>Papua New Guinea</v>
      </c>
      <c r="B114" s="165" t="str">
        <f>VLOOKUP(A114,'Regional lookup table'!$A$3:$B$156,2)</f>
        <v>Asia</v>
      </c>
      <c r="C114" s="11" t="str">
        <f>'Sovereign Ratings (Moody''s,S&amp;P)'!C108</f>
        <v>B2</v>
      </c>
      <c r="D114" s="24">
        <f t="shared" si="17"/>
        <v>6.3636673805065866E-2</v>
      </c>
      <c r="E114" s="24">
        <f t="shared" si="10"/>
        <v>0.13145056900088425</v>
      </c>
      <c r="F114" s="13">
        <f t="shared" si="11"/>
        <v>7.7750569000884256E-2</v>
      </c>
      <c r="G114" s="13" t="str">
        <f>VLOOKUP(A114,'10-year CDS Spreads'!$A$2:$D$152,4)</f>
        <v>NA</v>
      </c>
      <c r="H114" s="13" t="str">
        <f t="shared" si="12"/>
        <v>NA</v>
      </c>
      <c r="I114" s="16" t="str">
        <f t="shared" si="9"/>
        <v>NA</v>
      </c>
    </row>
    <row r="115" spans="1:9" ht="16">
      <c r="A115" s="172" t="str">
        <f>'Sovereign Ratings (Moody''s,S&amp;P)'!A109</f>
        <v>Paraguay</v>
      </c>
      <c r="B115" s="165" t="str">
        <f>VLOOKUP(A115,'Regional lookup table'!$A$3:$B$156,2)</f>
        <v>Central and South America</v>
      </c>
      <c r="C115" s="11" t="str">
        <f>'Sovereign Ratings (Moody''s,S&amp;P)'!C109</f>
        <v>Ba1</v>
      </c>
      <c r="D115" s="24">
        <f t="shared" si="17"/>
        <v>2.8897309252464341E-2</v>
      </c>
      <c r="E115" s="24">
        <f t="shared" si="10"/>
        <v>8.9006405923352364E-2</v>
      </c>
      <c r="F115" s="13">
        <f t="shared" si="11"/>
        <v>3.5306405923352366E-2</v>
      </c>
      <c r="G115" s="13" t="str">
        <f>VLOOKUP(A115,'10-year CDS Spreads'!$A$2:$D$152,4)</f>
        <v>NA</v>
      </c>
      <c r="H115" s="13" t="str">
        <f t="shared" si="12"/>
        <v>NA</v>
      </c>
      <c r="I115" s="16" t="str">
        <f t="shared" si="9"/>
        <v>NA</v>
      </c>
    </row>
    <row r="116" spans="1:9" ht="16">
      <c r="A116" s="172" t="str">
        <f>'Sovereign Ratings (Moody''s,S&amp;P)'!A110</f>
        <v>Peru</v>
      </c>
      <c r="B116" s="165" t="str">
        <f>VLOOKUP(A116,'Regional lookup table'!$A$3:$B$156,2)</f>
        <v>Central and South America</v>
      </c>
      <c r="C116" s="11" t="str">
        <f>'Sovereign Ratings (Moody''s,S&amp;P)'!C110</f>
        <v>A3</v>
      </c>
      <c r="D116" s="24">
        <f t="shared" si="17"/>
        <v>1.3874881337825837E-2</v>
      </c>
      <c r="E116" s="24">
        <f t="shared" si="10"/>
        <v>7.0652173241176397E-2</v>
      </c>
      <c r="F116" s="13">
        <f t="shared" si="11"/>
        <v>1.6952173241176406E-2</v>
      </c>
      <c r="G116" s="13">
        <f>VLOOKUP(A116,'10-year CDS Spreads'!$A$2:$D$152,4)</f>
        <v>1.21E-2</v>
      </c>
      <c r="H116" s="13">
        <f t="shared" si="12"/>
        <v>6.8483643277656783E-2</v>
      </c>
      <c r="I116" s="16">
        <f t="shared" si="9"/>
        <v>1.4783643277656784E-2</v>
      </c>
    </row>
    <row r="117" spans="1:9" ht="16">
      <c r="A117" s="172" t="str">
        <f>'Sovereign Ratings (Moody''s,S&amp;P)'!A111</f>
        <v>Philippines</v>
      </c>
      <c r="B117" s="165" t="str">
        <f>VLOOKUP(A117,'Regional lookup table'!$A$3:$B$156,2)</f>
        <v>Asia</v>
      </c>
      <c r="C117" s="11" t="str">
        <f>'Sovereign Ratings (Moody''s,S&amp;P)'!C111</f>
        <v>Baa2</v>
      </c>
      <c r="D117" s="24">
        <f t="shared" si="17"/>
        <v>2.201202979158836E-2</v>
      </c>
      <c r="E117" s="24">
        <f t="shared" si="10"/>
        <v>8.0594049277355057E-2</v>
      </c>
      <c r="F117" s="13">
        <f t="shared" si="11"/>
        <v>2.6894049277355052E-2</v>
      </c>
      <c r="G117" s="13">
        <f>VLOOKUP(A117,'10-year CDS Spreads'!$A$2:$D$152,4)</f>
        <v>1.0199999999999999E-2</v>
      </c>
      <c r="H117" s="13">
        <f t="shared" si="12"/>
        <v>6.6162244746454477E-2</v>
      </c>
      <c r="I117" s="16">
        <f t="shared" si="9"/>
        <v>1.2462244746454479E-2</v>
      </c>
    </row>
    <row r="118" spans="1:9" ht="16">
      <c r="A118" s="172" t="str">
        <f>'Sovereign Ratings (Moody''s,S&amp;P)'!A112</f>
        <v>Poland</v>
      </c>
      <c r="B118" s="165" t="str">
        <f>VLOOKUP(A118,'Regional lookup table'!$A$3:$B$156,2)</f>
        <v>Eastern Europe &amp; Russia</v>
      </c>
      <c r="C118" s="11" t="str">
        <f>'Sovereign Ratings (Moody''s,S&amp;P)'!C112</f>
        <v>A2</v>
      </c>
      <c r="D118" s="24">
        <f t="shared" si="17"/>
        <v>9.8063071109445767E-3</v>
      </c>
      <c r="E118" s="24">
        <f t="shared" si="10"/>
        <v>6.5681235223087081E-2</v>
      </c>
      <c r="F118" s="13">
        <f t="shared" si="11"/>
        <v>1.1981235223087083E-2</v>
      </c>
      <c r="G118" s="13">
        <f>VLOOKUP(A118,'10-year CDS Spreads'!$A$2:$D$152,4)</f>
        <v>7.4999999999999997E-3</v>
      </c>
      <c r="H118" s="13">
        <f t="shared" si="12"/>
        <v>6.2863415254745938E-2</v>
      </c>
      <c r="I118" s="16">
        <f t="shared" si="9"/>
        <v>9.1634152547459408E-3</v>
      </c>
    </row>
    <row r="119" spans="1:9" ht="16">
      <c r="A119" s="172" t="str">
        <f>'Sovereign Ratings (Moody''s,S&amp;P)'!A113</f>
        <v>Portugal</v>
      </c>
      <c r="B119" s="165" t="str">
        <f>VLOOKUP(A119,'Regional lookup table'!$A$3:$B$156,2)</f>
        <v>Western Europe</v>
      </c>
      <c r="C119" s="11" t="str">
        <f>'Sovereign Ratings (Moody''s,S&amp;P)'!C113</f>
        <v>Ba1</v>
      </c>
      <c r="D119" s="24">
        <f t="shared" si="17"/>
        <v>2.8897309252464341E-2</v>
      </c>
      <c r="E119" s="24">
        <f t="shared" si="10"/>
        <v>8.9006405923352364E-2</v>
      </c>
      <c r="F119" s="13">
        <f t="shared" si="11"/>
        <v>3.5306405923352366E-2</v>
      </c>
      <c r="G119" s="13">
        <f>VLOOKUP(A119,'10-year CDS Spreads'!$A$2:$D$152,4)</f>
        <v>1.1299999999999999E-2</v>
      </c>
      <c r="H119" s="13">
        <f t="shared" si="12"/>
        <v>6.7506212317150552E-2</v>
      </c>
      <c r="I119" s="16">
        <f t="shared" si="9"/>
        <v>1.3806212317150551E-2</v>
      </c>
    </row>
    <row r="120" spans="1:9" ht="16">
      <c r="A120" s="172" t="str">
        <f>'Sovereign Ratings (Moody''s,S&amp;P)'!A114</f>
        <v>Qatar</v>
      </c>
      <c r="B120" s="165" t="str">
        <f>VLOOKUP(A120,'Regional lookup table'!$A$3:$B$156,2)</f>
        <v>Middle East</v>
      </c>
      <c r="C120" s="11" t="str">
        <f>'Sovereign Ratings (Moody''s,S&amp;P)'!C114</f>
        <v>Aa3</v>
      </c>
      <c r="D120" s="24">
        <f t="shared" si="17"/>
        <v>6.9896018769498571E-3</v>
      </c>
      <c r="E120" s="24">
        <f t="shared" si="10"/>
        <v>6.223981659517909E-2</v>
      </c>
      <c r="F120" s="13">
        <f t="shared" si="11"/>
        <v>8.5398165951790905E-3</v>
      </c>
      <c r="G120" s="13">
        <f>VLOOKUP(A120,'10-year CDS Spreads'!$A$2:$D$152,4)</f>
        <v>1.15E-2</v>
      </c>
      <c r="H120" s="13">
        <f t="shared" si="12"/>
        <v>6.775057005727711E-2</v>
      </c>
      <c r="I120" s="16">
        <f t="shared" si="9"/>
        <v>1.4050570057277108E-2</v>
      </c>
    </row>
    <row r="121" spans="1:9" ht="16">
      <c r="A121" s="172" t="str">
        <f>'Sovereign Ratings (Moody''s,S&amp;P)'!A115</f>
        <v>Ras Al Khaimah (Emirate of)</v>
      </c>
      <c r="B121" s="165" t="str">
        <f>VLOOKUP(A121,'Regional lookup table'!$A$3:$B$156,2)</f>
        <v>Middle East</v>
      </c>
      <c r="C121" s="11" t="str">
        <f>'Sovereign Ratings (Moody''s,S&amp;P)'!C115</f>
        <v>A2</v>
      </c>
      <c r="D121" s="24">
        <f t="shared" si="17"/>
        <v>9.8063071109445767E-3</v>
      </c>
      <c r="E121" s="24">
        <f t="shared" si="10"/>
        <v>6.5681235223087081E-2</v>
      </c>
      <c r="F121" s="13">
        <f t="shared" si="11"/>
        <v>1.1981235223087083E-2</v>
      </c>
      <c r="G121" s="13" t="str">
        <f>VLOOKUP(A121,'10-year CDS Spreads'!$A$2:$D$152,4)</f>
        <v>NA</v>
      </c>
      <c r="H121" s="13" t="str">
        <f t="shared" si="12"/>
        <v>NA</v>
      </c>
      <c r="I121" s="16" t="str">
        <f t="shared" si="9"/>
        <v>NA</v>
      </c>
    </row>
    <row r="122" spans="1:9" ht="16">
      <c r="A122" s="172" t="str">
        <f>'Sovereign Ratings (Moody''s,S&amp;P)'!A116</f>
        <v>Romania</v>
      </c>
      <c r="B122" s="165" t="str">
        <f>VLOOKUP(A122,'Regional lookup table'!$A$3:$B$156,2)</f>
        <v>Eastern Europe &amp; Russia</v>
      </c>
      <c r="C122" s="11" t="str">
        <f>'Sovereign Ratings (Moody''s,S&amp;P)'!C116</f>
        <v>Baa3</v>
      </c>
      <c r="D122" s="24">
        <f t="shared" si="17"/>
        <v>2.5454669522026348E-2</v>
      </c>
      <c r="E122" s="24">
        <f t="shared" si="10"/>
        <v>8.4800227600353703E-2</v>
      </c>
      <c r="F122" s="13">
        <f t="shared" si="11"/>
        <v>3.1100227600353709E-2</v>
      </c>
      <c r="G122" s="13">
        <f>VLOOKUP(A122,'10-year CDS Spreads'!$A$2:$D$152,4)</f>
        <v>1.14E-2</v>
      </c>
      <c r="H122" s="13">
        <f t="shared" si="12"/>
        <v>6.7628391187213824E-2</v>
      </c>
      <c r="I122" s="16">
        <f t="shared" si="9"/>
        <v>1.3928391187213831E-2</v>
      </c>
    </row>
    <row r="123" spans="1:9" ht="16">
      <c r="A123" s="172" t="str">
        <f>'Sovereign Ratings (Moody''s,S&amp;P)'!A117</f>
        <v>Russia</v>
      </c>
      <c r="B123" s="165" t="str">
        <f>VLOOKUP(A123,'Regional lookup table'!$A$3:$B$156,2)</f>
        <v>Eastern Europe &amp; Russia</v>
      </c>
      <c r="C123" s="11" t="str">
        <f>'Sovereign Ratings (Moody''s,S&amp;P)'!C117</f>
        <v>Ba1</v>
      </c>
      <c r="D123" s="24">
        <f t="shared" si="17"/>
        <v>2.8897309252464341E-2</v>
      </c>
      <c r="E123" s="24">
        <f t="shared" si="10"/>
        <v>8.9006405923352364E-2</v>
      </c>
      <c r="F123" s="13">
        <f t="shared" si="11"/>
        <v>3.5306405923352366E-2</v>
      </c>
      <c r="G123" s="13">
        <f>VLOOKUP(A123,'10-year CDS Spreads'!$A$2:$D$152,4)</f>
        <v>1.7399999999999999E-2</v>
      </c>
      <c r="H123" s="13">
        <f t="shared" si="12"/>
        <v>7.4959123391010574E-2</v>
      </c>
      <c r="I123" s="16">
        <f t="shared" si="9"/>
        <v>2.1259123391010579E-2</v>
      </c>
    </row>
    <row r="124" spans="1:9" ht="16">
      <c r="A124" s="172" t="str">
        <f>'Sovereign Ratings (Moody''s,S&amp;P)'!A118</f>
        <v>Rwanda</v>
      </c>
      <c r="B124" s="165" t="str">
        <f>VLOOKUP(A124,'Regional lookup table'!$A$3:$B$156,2)</f>
        <v>Africa</v>
      </c>
      <c r="C124" s="11" t="str">
        <f>'Sovereign Ratings (Moody''s,S&amp;P)'!C118</f>
        <v>B2</v>
      </c>
      <c r="D124" s="24">
        <f t="shared" si="17"/>
        <v>6.3636673805065866E-2</v>
      </c>
      <c r="E124" s="24">
        <f t="shared" si="10"/>
        <v>0.13145056900088425</v>
      </c>
      <c r="F124" s="13">
        <f t="shared" si="11"/>
        <v>7.7750569000884256E-2</v>
      </c>
      <c r="G124" s="13">
        <f>VLOOKUP(A124,'10-year CDS Spreads'!$A$2:$D$152,4)</f>
        <v>3.8500000000000006E-2</v>
      </c>
      <c r="H124" s="13">
        <f t="shared" si="12"/>
        <v>0.1007388649743625</v>
      </c>
      <c r="I124" s="16">
        <f t="shared" si="9"/>
        <v>4.7038864974362507E-2</v>
      </c>
    </row>
    <row r="125" spans="1:9" ht="16">
      <c r="A125" s="172" t="str">
        <f>'Sovereign Ratings (Moody''s,S&amp;P)'!A119</f>
        <v>Saudi Arabia</v>
      </c>
      <c r="B125" s="165" t="str">
        <f>VLOOKUP(A125,'Regional lookup table'!$A$3:$B$156,2)</f>
        <v>Middle East</v>
      </c>
      <c r="C125" s="11" t="str">
        <f>'Sovereign Ratings (Moody''s,S&amp;P)'!C119</f>
        <v>A1</v>
      </c>
      <c r="D125" s="24">
        <f t="shared" si="17"/>
        <v>8.1371484537625226E-3</v>
      </c>
      <c r="E125" s="24">
        <f t="shared" si="10"/>
        <v>6.3641876036178643E-2</v>
      </c>
      <c r="F125" s="13">
        <f t="shared" si="11"/>
        <v>9.9418760361786457E-3</v>
      </c>
      <c r="G125" s="13">
        <f>VLOOKUP(A125,'10-year CDS Spreads'!$A$2:$D$152,4)</f>
        <v>1.14E-2</v>
      </c>
      <c r="H125" s="13">
        <f t="shared" si="12"/>
        <v>6.7628391187213824E-2</v>
      </c>
      <c r="I125" s="16">
        <f t="shared" si="9"/>
        <v>1.3928391187213831E-2</v>
      </c>
    </row>
    <row r="126" spans="1:9" ht="16">
      <c r="A126" s="172" t="str">
        <f>'Sovereign Ratings (Moody''s,S&amp;P)'!A120</f>
        <v>Senegal</v>
      </c>
      <c r="B126" s="165" t="str">
        <f>VLOOKUP(A126,'Regional lookup table'!$A$3:$B$156,2)</f>
        <v>Africa</v>
      </c>
      <c r="C126" s="11" t="str">
        <f>'Sovereign Ratings (Moody''s,S&amp;P)'!C120</f>
        <v>Ba3</v>
      </c>
      <c r="D126" s="24">
        <f t="shared" si="17"/>
        <v>4.1624644013477513E-2</v>
      </c>
      <c r="E126" s="24">
        <f t="shared" si="10"/>
        <v>0.10455651972352922</v>
      </c>
      <c r="F126" s="13">
        <f t="shared" si="11"/>
        <v>5.0856519723529219E-2</v>
      </c>
      <c r="G126" s="13">
        <f>VLOOKUP(A126,'10-year CDS Spreads'!$A$2:$D$152,4)</f>
        <v>3.6900000000000002E-2</v>
      </c>
      <c r="H126" s="13">
        <f t="shared" si="12"/>
        <v>9.8784003053350028E-2</v>
      </c>
      <c r="I126" s="16">
        <f t="shared" si="9"/>
        <v>4.508400305335003E-2</v>
      </c>
    </row>
    <row r="127" spans="1:9" ht="16">
      <c r="A127" s="172" t="str">
        <f>'Sovereign Ratings (Moody''s,S&amp;P)'!A121</f>
        <v>Serbia</v>
      </c>
      <c r="B127" s="165" t="str">
        <f>VLOOKUP(A127,'Regional lookup table'!$A$3:$B$156,2)</f>
        <v>Eastern Europe &amp; Russia</v>
      </c>
      <c r="C127" s="11" t="str">
        <f>'Sovereign Ratings (Moody''s,S&amp;P)'!C121</f>
        <v>Ba3</v>
      </c>
      <c r="D127" s="24">
        <f t="shared" si="17"/>
        <v>4.1624644013477513E-2</v>
      </c>
      <c r="E127" s="24">
        <f t="shared" si="10"/>
        <v>0.10455651972352922</v>
      </c>
      <c r="F127" s="13">
        <f t="shared" si="11"/>
        <v>5.0856519723529219E-2</v>
      </c>
      <c r="G127" s="13">
        <f>VLOOKUP(A127,'10-year CDS Spreads'!$A$2:$D$152,4)</f>
        <v>1.38E-2</v>
      </c>
      <c r="H127" s="13">
        <f t="shared" si="12"/>
        <v>7.0560684068732532E-2</v>
      </c>
      <c r="I127" s="16">
        <f t="shared" si="9"/>
        <v>1.6860684068732531E-2</v>
      </c>
    </row>
    <row r="128" spans="1:9" ht="16">
      <c r="A128" s="172" t="str">
        <f>'Sovereign Ratings (Moody''s,S&amp;P)'!A122</f>
        <v>Sharjah</v>
      </c>
      <c r="B128" s="165" t="str">
        <f>VLOOKUP(A128,'Regional lookup table'!$A$3:$B$156,2)</f>
        <v>Middle East</v>
      </c>
      <c r="C128" s="11" t="str">
        <f>'Sovereign Ratings (Moody''s,S&amp;P)'!C122</f>
        <v>A3</v>
      </c>
      <c r="D128" s="24">
        <f t="shared" si="17"/>
        <v>1.3874881337825837E-2</v>
      </c>
      <c r="E128" s="24">
        <f t="shared" si="10"/>
        <v>7.0652173241176397E-2</v>
      </c>
      <c r="F128" s="13">
        <f t="shared" si="11"/>
        <v>1.6952173241176406E-2</v>
      </c>
      <c r="G128" s="13" t="str">
        <f>VLOOKUP(A128,'10-year CDS Spreads'!$A$2:$D$152,4)</f>
        <v>NA</v>
      </c>
      <c r="H128" s="13" t="str">
        <f t="shared" si="12"/>
        <v>NA</v>
      </c>
      <c r="I128" s="16" t="str">
        <f t="shared" si="9"/>
        <v>NA</v>
      </c>
    </row>
    <row r="129" spans="1:9" ht="16">
      <c r="A129" s="172" t="str">
        <f>'Sovereign Ratings (Moody''s,S&amp;P)'!A123</f>
        <v>Singapore</v>
      </c>
      <c r="B129" s="165" t="str">
        <f>VLOOKUP(A129,'Regional lookup table'!$A$3:$B$156,2)</f>
        <v>Asia</v>
      </c>
      <c r="C129" s="11" t="str">
        <f>'Sovereign Ratings (Moody''s,S&amp;P)'!C123</f>
        <v>Aaa</v>
      </c>
      <c r="D129" s="24">
        <f t="shared" si="17"/>
        <v>0</v>
      </c>
      <c r="E129" s="24">
        <f t="shared" si="10"/>
        <v>5.3699999999999998E-2</v>
      </c>
      <c r="F129" s="13">
        <f>IF($E$4="Yes",D129*$E$5,D129)</f>
        <v>0</v>
      </c>
      <c r="G129" s="13" t="str">
        <f>VLOOKUP(A129,'10-year CDS Spreads'!$A$2:$D$152,4)</f>
        <v>NA</v>
      </c>
      <c r="H129" s="13" t="str">
        <f t="shared" si="12"/>
        <v>NA</v>
      </c>
      <c r="I129" s="16" t="str">
        <f t="shared" si="9"/>
        <v>NA</v>
      </c>
    </row>
    <row r="130" spans="1:9" ht="16">
      <c r="A130" s="172" t="str">
        <f>'Sovereign Ratings (Moody''s,S&amp;P)'!A124</f>
        <v>Slovakia</v>
      </c>
      <c r="B130" s="165" t="str">
        <f>VLOOKUP(A130,'Regional lookup table'!$A$3:$B$156,2)</f>
        <v>Eastern Europe &amp; Russia</v>
      </c>
      <c r="C130" s="11" t="str">
        <f>'Sovereign Ratings (Moody''s,S&amp;P)'!C124</f>
        <v>A2</v>
      </c>
      <c r="D130" s="24">
        <f t="shared" si="17"/>
        <v>9.8063071109445767E-3</v>
      </c>
      <c r="E130" s="24">
        <f t="shared" si="10"/>
        <v>6.5681235223087081E-2</v>
      </c>
      <c r="F130" s="13">
        <f t="shared" ref="F130:F141" si="18">IF($E$4="Yes",D130*$E$5,D130)</f>
        <v>1.1981235223087083E-2</v>
      </c>
      <c r="G130" s="13">
        <f>VLOOKUP(A130,'10-year CDS Spreads'!$A$2:$D$152,4)</f>
        <v>5.2999999999999992E-3</v>
      </c>
      <c r="H130" s="13">
        <f t="shared" si="12"/>
        <v>6.0175480113353795E-2</v>
      </c>
      <c r="I130" s="16">
        <f t="shared" si="9"/>
        <v>6.4754801133537973E-3</v>
      </c>
    </row>
    <row r="131" spans="1:9" ht="16">
      <c r="A131" s="172" t="str">
        <f>'Sovereign Ratings (Moody''s,S&amp;P)'!A125</f>
        <v>Slovenia</v>
      </c>
      <c r="B131" s="165" t="str">
        <f>VLOOKUP(A131,'Regional lookup table'!$A$3:$B$156,2)</f>
        <v>Eastern Europe &amp; Russia</v>
      </c>
      <c r="C131" s="11" t="str">
        <f>'Sovereign Ratings (Moody''s,S&amp;P)'!C125</f>
        <v>Baa1</v>
      </c>
      <c r="D131" s="24">
        <f t="shared" si="17"/>
        <v>1.846506764507649E-2</v>
      </c>
      <c r="E131" s="24">
        <f t="shared" si="10"/>
        <v>7.6260411005174611E-2</v>
      </c>
      <c r="F131" s="13">
        <f t="shared" si="18"/>
        <v>2.2560411005174617E-2</v>
      </c>
      <c r="G131" s="13">
        <f>VLOOKUP(A131,'10-year CDS Spreads'!$A$2:$D$152,4)</f>
        <v>8.9999999999999993E-3</v>
      </c>
      <c r="H131" s="13">
        <f t="shared" si="12"/>
        <v>6.4696098305695129E-2</v>
      </c>
      <c r="I131" s="16">
        <f t="shared" si="9"/>
        <v>1.0996098305695128E-2</v>
      </c>
    </row>
    <row r="132" spans="1:9" ht="16">
      <c r="A132" s="172" t="str">
        <f>'Sovereign Ratings (Moody''s,S&amp;P)'!A126</f>
        <v>Solomon Islands</v>
      </c>
      <c r="B132" s="165" t="str">
        <f>VLOOKUP(A132,'Regional lookup table'!$A$3:$B$156,2)</f>
        <v>Asia</v>
      </c>
      <c r="C132" s="11" t="str">
        <f>'Sovereign Ratings (Moody''s,S&amp;P)'!C126</f>
        <v>B3</v>
      </c>
      <c r="D132" s="24">
        <f t="shared" si="17"/>
        <v>7.5216461989266389E-2</v>
      </c>
      <c r="E132" s="24">
        <f t="shared" ref="E132" si="19">$E$3+F132</f>
        <v>0.14559862336006157</v>
      </c>
      <c r="F132" s="13">
        <f t="shared" ref="F132" si="20">IF($E$4="Yes",D132*$E$5,D132)</f>
        <v>9.1898623360061577E-2</v>
      </c>
      <c r="G132" s="13" t="str">
        <f>VLOOKUP(A132,'10-year CDS Spreads'!$A$2:$D$152,4)</f>
        <v>NA</v>
      </c>
      <c r="H132" s="13" t="str">
        <f t="shared" ref="H132" si="21">IF(I132="NA","NA",$E$3+I132)</f>
        <v>NA</v>
      </c>
      <c r="I132" s="16" t="str">
        <f t="shared" ref="I132" si="22">IF(G132="NA","NA",G132*$E$5)</f>
        <v>NA</v>
      </c>
    </row>
    <row r="133" spans="1:9" ht="16">
      <c r="A133" s="172" t="str">
        <f>'Sovereign Ratings (Moody''s,S&amp;P)'!A127</f>
        <v>South Africa</v>
      </c>
      <c r="B133" s="165" t="str">
        <f>VLOOKUP(A133,'Regional lookup table'!$A$3:$B$156,2)</f>
        <v>Africa</v>
      </c>
      <c r="C133" s="11" t="str">
        <f>'Sovereign Ratings (Moody''s,S&amp;P)'!C127</f>
        <v>Baa3</v>
      </c>
      <c r="D133" s="24">
        <f t="shared" si="17"/>
        <v>2.5454669522026348E-2</v>
      </c>
      <c r="E133" s="24">
        <f t="shared" si="10"/>
        <v>8.4800227600353703E-2</v>
      </c>
      <c r="F133" s="13">
        <f t="shared" si="18"/>
        <v>3.1100227600353709E-2</v>
      </c>
      <c r="G133" s="13">
        <f>VLOOKUP(A133,'10-year CDS Spreads'!$A$2:$D$152,4)</f>
        <v>2.3900000000000001E-2</v>
      </c>
      <c r="H133" s="13">
        <f t="shared" si="12"/>
        <v>8.2900749945123725E-2</v>
      </c>
      <c r="I133" s="16">
        <f t="shared" si="9"/>
        <v>2.9200749945123734E-2</v>
      </c>
    </row>
    <row r="134" spans="1:9" ht="16">
      <c r="A134" s="172" t="str">
        <f>'Sovereign Ratings (Moody''s,S&amp;P)'!A128</f>
        <v>Spain</v>
      </c>
      <c r="B134" s="165" t="str">
        <f>VLOOKUP(A134,'Regional lookup table'!$A$3:$B$156,2)</f>
        <v>Western Europe</v>
      </c>
      <c r="C134" s="11" t="str">
        <f>'Sovereign Ratings (Moody''s,S&amp;P)'!C128</f>
        <v>Baa1</v>
      </c>
      <c r="D134" s="24">
        <f t="shared" si="17"/>
        <v>1.846506764507649E-2</v>
      </c>
      <c r="E134" s="24">
        <f t="shared" si="10"/>
        <v>7.6260411005174611E-2</v>
      </c>
      <c r="F134" s="13">
        <f t="shared" si="18"/>
        <v>2.2560411005174617E-2</v>
      </c>
      <c r="G134" s="13">
        <f>VLOOKUP(A134,'10-year CDS Spreads'!$A$2:$D$152,4)</f>
        <v>6.9999999999999993E-3</v>
      </c>
      <c r="H134" s="13">
        <f t="shared" si="12"/>
        <v>6.2252520904429544E-2</v>
      </c>
      <c r="I134" s="16">
        <f t="shared" si="9"/>
        <v>8.5525209044295444E-3</v>
      </c>
    </row>
    <row r="135" spans="1:9" ht="16">
      <c r="A135" s="172" t="str">
        <f>'Sovereign Ratings (Moody''s,S&amp;P)'!A129</f>
        <v>Sri Lanka</v>
      </c>
      <c r="B135" s="165" t="str">
        <f>VLOOKUP(A135,'Regional lookup table'!$A$3:$B$156,2)</f>
        <v>Asia</v>
      </c>
      <c r="C135" s="11" t="str">
        <f>'Sovereign Ratings (Moody''s,S&amp;P)'!C129</f>
        <v>B1</v>
      </c>
      <c r="D135" s="24">
        <f t="shared" si="17"/>
        <v>5.2056885620865363E-2</v>
      </c>
      <c r="E135" s="24">
        <f t="shared" si="10"/>
        <v>0.11730251464170696</v>
      </c>
      <c r="F135" s="13">
        <f t="shared" si="18"/>
        <v>6.3602514641706964E-2</v>
      </c>
      <c r="G135" s="13" t="str">
        <f>VLOOKUP(A135,'10-year CDS Spreads'!$A$2:$D$152,4)</f>
        <v>NA</v>
      </c>
      <c r="H135" s="13" t="str">
        <f t="shared" si="12"/>
        <v>NA</v>
      </c>
      <c r="I135" s="16" t="str">
        <f t="shared" si="9"/>
        <v>NA</v>
      </c>
    </row>
    <row r="136" spans="1:9" ht="16">
      <c r="A136" s="172" t="str">
        <f>'Sovereign Ratings (Moody''s,S&amp;P)'!A130</f>
        <v>St. Maarten</v>
      </c>
      <c r="B136" s="165" t="str">
        <f>VLOOKUP(A136,'Regional lookup table'!$A$3:$B$156,2)</f>
        <v>Caribbean</v>
      </c>
      <c r="C136" s="11" t="str">
        <f>'Sovereign Ratings (Moody''s,S&amp;P)'!C130</f>
        <v>Baa2</v>
      </c>
      <c r="D136" s="24">
        <f t="shared" ref="D136:D158" si="23">VLOOKUP(C136,$J$9:$K$29,2)/10000</f>
        <v>2.201202979158836E-2</v>
      </c>
      <c r="E136" s="24">
        <f t="shared" si="10"/>
        <v>8.0594049277355057E-2</v>
      </c>
      <c r="F136" s="13">
        <f t="shared" si="18"/>
        <v>2.6894049277355052E-2</v>
      </c>
      <c r="G136" s="13" t="str">
        <f>VLOOKUP(A136,'10-year CDS Spreads'!$A$2:$D$152,4)</f>
        <v>NA</v>
      </c>
      <c r="H136" s="13" t="str">
        <f t="shared" si="12"/>
        <v>NA</v>
      </c>
      <c r="I136" s="16" t="str">
        <f t="shared" si="9"/>
        <v>NA</v>
      </c>
    </row>
    <row r="137" spans="1:9" ht="16">
      <c r="A137" s="172" t="str">
        <f>'Sovereign Ratings (Moody''s,S&amp;P)'!A131</f>
        <v>St. Vincent &amp; the Grenadines</v>
      </c>
      <c r="B137" s="165" t="str">
        <f>VLOOKUP(A137,'Regional lookup table'!$A$3:$B$156,2)</f>
        <v>Caribbean</v>
      </c>
      <c r="C137" s="11" t="str">
        <f>'Sovereign Ratings (Moody''s,S&amp;P)'!C131</f>
        <v>B3</v>
      </c>
      <c r="D137" s="24">
        <f t="shared" si="23"/>
        <v>7.5216461989266389E-2</v>
      </c>
      <c r="E137" s="24">
        <f t="shared" si="10"/>
        <v>0.14559862336006157</v>
      </c>
      <c r="F137" s="13">
        <f t="shared" si="18"/>
        <v>9.1898623360061577E-2</v>
      </c>
      <c r="G137" s="13" t="str">
        <f>VLOOKUP(A137,'10-year CDS Spreads'!$A$2:$D$152,4)</f>
        <v>NA</v>
      </c>
      <c r="H137" s="13" t="str">
        <f t="shared" si="12"/>
        <v>NA</v>
      </c>
      <c r="I137" s="16" t="str">
        <f t="shared" si="9"/>
        <v>NA</v>
      </c>
    </row>
    <row r="138" spans="1:9" ht="16">
      <c r="A138" s="172" t="str">
        <f>'Sovereign Ratings (Moody''s,S&amp;P)'!A132</f>
        <v>Suriname</v>
      </c>
      <c r="B138" s="165" t="str">
        <f>VLOOKUP(A138,'Regional lookup table'!$A$3:$B$156,2)</f>
        <v>Central and South America</v>
      </c>
      <c r="C138" s="11" t="str">
        <f>'Sovereign Ratings (Moody''s,S&amp;P)'!C132</f>
        <v>B2</v>
      </c>
      <c r="D138" s="24">
        <f t="shared" si="23"/>
        <v>6.3636673805065866E-2</v>
      </c>
      <c r="E138" s="24">
        <f t="shared" si="10"/>
        <v>0.13145056900088425</v>
      </c>
      <c r="F138" s="13">
        <f t="shared" si="18"/>
        <v>7.7750569000884256E-2</v>
      </c>
      <c r="G138" s="13" t="str">
        <f>VLOOKUP(A138,'10-year CDS Spreads'!$A$2:$D$152,4)</f>
        <v>NA</v>
      </c>
      <c r="H138" s="13" t="str">
        <f t="shared" si="12"/>
        <v>NA</v>
      </c>
      <c r="I138" s="16" t="str">
        <f t="shared" si="9"/>
        <v>NA</v>
      </c>
    </row>
    <row r="139" spans="1:9" ht="16">
      <c r="A139" s="172" t="str">
        <f>'Sovereign Ratings (Moody''s,S&amp;P)'!A133</f>
        <v>Swaziland</v>
      </c>
      <c r="B139" s="165" t="str">
        <f>VLOOKUP(A139,'Regional lookup table'!$A$3:$B$156,2)</f>
        <v>Africa</v>
      </c>
      <c r="C139" s="11" t="str">
        <f>'Sovereign Ratings (Moody''s,S&amp;P)'!C133</f>
        <v>B2</v>
      </c>
      <c r="D139" s="24">
        <f t="shared" si="23"/>
        <v>6.3636673805065866E-2</v>
      </c>
      <c r="E139" s="24">
        <f>$E$3+F139</f>
        <v>0.13145056900088425</v>
      </c>
      <c r="F139" s="13">
        <f>IF($E$4="Yes",D139*$E$5,D139)</f>
        <v>7.7750569000884256E-2</v>
      </c>
      <c r="G139" s="13" t="str">
        <f>VLOOKUP(A139,'10-year CDS Spreads'!$A$2:$D$152,4)</f>
        <v>NA</v>
      </c>
      <c r="H139" s="13" t="str">
        <f>IF(I139="NA","NA",$E$3+I139)</f>
        <v>NA</v>
      </c>
      <c r="I139" s="16" t="str">
        <f>IF(G139="NA","NA",G139*$E$5)</f>
        <v>NA</v>
      </c>
    </row>
    <row r="140" spans="1:9" ht="16">
      <c r="A140" s="172" t="str">
        <f>'Sovereign Ratings (Moody''s,S&amp;P)'!A134</f>
        <v>Sweden</v>
      </c>
      <c r="B140" s="165" t="str">
        <f>VLOOKUP(A140,'Regional lookup table'!$A$3:$B$156,2)</f>
        <v>Western Europe</v>
      </c>
      <c r="C140" s="11" t="str">
        <f>'Sovereign Ratings (Moody''s,S&amp;P)'!C134</f>
        <v>Aaa</v>
      </c>
      <c r="D140" s="24">
        <f t="shared" si="23"/>
        <v>0</v>
      </c>
      <c r="E140" s="24">
        <f t="shared" si="10"/>
        <v>5.3699999999999998E-2</v>
      </c>
      <c r="F140" s="13">
        <f t="shared" si="18"/>
        <v>0</v>
      </c>
      <c r="G140" s="13">
        <f>VLOOKUP(A140,'10-year CDS Spreads'!$A$2:$D$152,4)</f>
        <v>0</v>
      </c>
      <c r="H140" s="13">
        <f t="shared" si="12"/>
        <v>5.3699999999999998E-2</v>
      </c>
      <c r="I140" s="16">
        <f t="shared" ref="I140:I158" si="24">IF(G140="NA","NA",G140*$E$5)</f>
        <v>0</v>
      </c>
    </row>
    <row r="141" spans="1:9" ht="16">
      <c r="A141" s="172" t="str">
        <f>'Sovereign Ratings (Moody''s,S&amp;P)'!A135</f>
        <v>Switzerland</v>
      </c>
      <c r="B141" s="165" t="str">
        <f>VLOOKUP(A141,'Regional lookup table'!$A$3:$B$156,2)</f>
        <v>Western Europe</v>
      </c>
      <c r="C141" s="11" t="str">
        <f>'Sovereign Ratings (Moody''s,S&amp;P)'!C135</f>
        <v>Aaa</v>
      </c>
      <c r="D141" s="24">
        <f t="shared" si="23"/>
        <v>0</v>
      </c>
      <c r="E141" s="24">
        <f t="shared" si="10"/>
        <v>5.3699999999999998E-2</v>
      </c>
      <c r="F141" s="13">
        <f t="shared" si="18"/>
        <v>0</v>
      </c>
      <c r="G141" s="13">
        <f>VLOOKUP(A141,'10-year CDS Spreads'!$A$2:$D$152,4)</f>
        <v>0</v>
      </c>
      <c r="H141" s="13">
        <f t="shared" si="12"/>
        <v>5.3699999999999998E-2</v>
      </c>
      <c r="I141" s="16">
        <f t="shared" si="24"/>
        <v>0</v>
      </c>
    </row>
    <row r="142" spans="1:9" ht="16">
      <c r="A142" s="172" t="str">
        <f>'Sovereign Ratings (Moody''s,S&amp;P)'!A136</f>
        <v>Taiwan</v>
      </c>
      <c r="B142" s="165" t="str">
        <f>VLOOKUP(A142,'Regional lookup table'!$A$3:$B$156,2)</f>
        <v>Asia</v>
      </c>
      <c r="C142" s="11" t="str">
        <f>'Sovereign Ratings (Moody''s,S&amp;P)'!C136</f>
        <v>Aa3</v>
      </c>
      <c r="D142" s="24">
        <f t="shared" si="23"/>
        <v>6.9896018769498571E-3</v>
      </c>
      <c r="E142" s="24">
        <f t="shared" si="10"/>
        <v>6.223981659517909E-2</v>
      </c>
      <c r="F142" s="13">
        <f t="shared" ref="F142:F149" si="25">IF($E$4="Yes",D142*$E$5,D142)</f>
        <v>8.5398165951790905E-3</v>
      </c>
      <c r="G142" s="13" t="str">
        <f>VLOOKUP(A142,'10-year CDS Spreads'!$A$2:$D$152,4)</f>
        <v>NA</v>
      </c>
      <c r="H142" s="13" t="str">
        <f t="shared" si="12"/>
        <v>NA</v>
      </c>
      <c r="I142" s="16" t="str">
        <f t="shared" si="24"/>
        <v>NA</v>
      </c>
    </row>
    <row r="143" spans="1:9" ht="16">
      <c r="A143" s="172" t="str">
        <f>'Sovereign Ratings (Moody''s,S&amp;P)'!A137</f>
        <v>Tajikistan</v>
      </c>
      <c r="B143" s="165" t="str">
        <f>VLOOKUP(A143,'Regional lookup table'!$A$3:$B$156,2)</f>
        <v>Eastern Europe &amp; Russia</v>
      </c>
      <c r="C143" s="11" t="str">
        <f>'Sovereign Ratings (Moody''s,S&amp;P)'!C137</f>
        <v>B3</v>
      </c>
      <c r="D143" s="24">
        <f t="shared" si="23"/>
        <v>7.5216461989266389E-2</v>
      </c>
      <c r="E143" s="24">
        <f>$E$3+F143</f>
        <v>0.14559862336006157</v>
      </c>
      <c r="F143" s="13">
        <f>IF($E$4="Yes",D143*$E$5,D143)</f>
        <v>9.1898623360061577E-2</v>
      </c>
      <c r="G143" s="13" t="str">
        <f>VLOOKUP(A143,'10-year CDS Spreads'!$A$2:$D$152,4)</f>
        <v>NA</v>
      </c>
      <c r="H143" s="13" t="str">
        <f>IF(I143="NA","NA",$E$3+I143)</f>
        <v>NA</v>
      </c>
      <c r="I143" s="16" t="str">
        <f>IF(G143="NA","NA",G143*$E$5)</f>
        <v>NA</v>
      </c>
    </row>
    <row r="144" spans="1:9" ht="16">
      <c r="A144" s="172" t="str">
        <f>'Sovereign Ratings (Moody''s,S&amp;P)'!A138</f>
        <v>Tanzania</v>
      </c>
      <c r="B144" s="165" t="str">
        <f>VLOOKUP(A144,'Regional lookup table'!$A$3:$B$156,2)</f>
        <v>Africa</v>
      </c>
      <c r="C144" s="11" t="str">
        <f>'Sovereign Ratings (Moody''s,S&amp;P)'!C138</f>
        <v>B1</v>
      </c>
      <c r="D144" s="24">
        <f t="shared" si="23"/>
        <v>5.2056885620865363E-2</v>
      </c>
      <c r="E144" s="24">
        <f>$E$3+F144</f>
        <v>0.11730251464170696</v>
      </c>
      <c r="F144" s="13">
        <f>IF($E$4="Yes",D144*$E$5,D144)</f>
        <v>6.3602514641706964E-2</v>
      </c>
      <c r="G144" s="13" t="str">
        <f>VLOOKUP(A144,'10-year CDS Spreads'!$A$2:$D$152,4)</f>
        <v>NA</v>
      </c>
      <c r="H144" s="13" t="str">
        <f>IF(I144="NA","NA",$E$3+I144)</f>
        <v>NA</v>
      </c>
      <c r="I144" s="16" t="str">
        <f>IF(G144="NA","NA",G144*$E$5)</f>
        <v>NA</v>
      </c>
    </row>
    <row r="145" spans="1:9" ht="16">
      <c r="A145" s="172" t="str">
        <f>'Sovereign Ratings (Moody''s,S&amp;P)'!A139</f>
        <v>Thailand</v>
      </c>
      <c r="B145" s="165" t="str">
        <f>VLOOKUP(A145,'Regional lookup table'!$A$3:$B$156,2)</f>
        <v>Asia</v>
      </c>
      <c r="C145" s="11" t="str">
        <f>'Sovereign Ratings (Moody''s,S&amp;P)'!C139</f>
        <v>Baa1</v>
      </c>
      <c r="D145" s="24">
        <f t="shared" si="23"/>
        <v>1.846506764507649E-2</v>
      </c>
      <c r="E145" s="24">
        <f t="shared" ref="E145:E153" si="26">$E$3+F145</f>
        <v>7.6260411005174611E-2</v>
      </c>
      <c r="F145" s="13">
        <f t="shared" si="25"/>
        <v>2.2560411005174617E-2</v>
      </c>
      <c r="G145" s="13">
        <f>VLOOKUP(A145,'10-year CDS Spreads'!$A$2:$D$152,4)</f>
        <v>5.4999999999999997E-3</v>
      </c>
      <c r="H145" s="13">
        <f t="shared" ref="H145:H153" si="27">IF(I145="NA","NA",$E$3+I145)</f>
        <v>6.0419837853480353E-2</v>
      </c>
      <c r="I145" s="16">
        <f t="shared" si="24"/>
        <v>6.719837853480356E-3</v>
      </c>
    </row>
    <row r="146" spans="1:9" ht="16">
      <c r="A146" s="172" t="str">
        <f>'Sovereign Ratings (Moody''s,S&amp;P)'!A140</f>
        <v>Trinidad and Tobago</v>
      </c>
      <c r="B146" s="165" t="str">
        <f>VLOOKUP(A146,'Regional lookup table'!$A$3:$B$156,2)</f>
        <v>Caribbean</v>
      </c>
      <c r="C146" s="11" t="str">
        <f>'Sovereign Ratings (Moody''s,S&amp;P)'!C140</f>
        <v>Ba1</v>
      </c>
      <c r="D146" s="24">
        <f t="shared" si="23"/>
        <v>2.8897309252464341E-2</v>
      </c>
      <c r="E146" s="24">
        <f t="shared" si="26"/>
        <v>8.9006405923352364E-2</v>
      </c>
      <c r="F146" s="13">
        <f t="shared" si="25"/>
        <v>3.5306405923352366E-2</v>
      </c>
      <c r="G146" s="13" t="str">
        <f>VLOOKUP(A146,'10-year CDS Spreads'!$A$2:$D$152,4)</f>
        <v>NA</v>
      </c>
      <c r="H146" s="13" t="str">
        <f t="shared" si="27"/>
        <v>NA</v>
      </c>
      <c r="I146" s="16" t="str">
        <f t="shared" si="24"/>
        <v>NA</v>
      </c>
    </row>
    <row r="147" spans="1:9" ht="16">
      <c r="A147" s="172" t="str">
        <f>'Sovereign Ratings (Moody''s,S&amp;P)'!A141</f>
        <v>Tunisia</v>
      </c>
      <c r="B147" s="165" t="str">
        <f>VLOOKUP(A147,'Regional lookup table'!$A$3:$B$156,2)</f>
        <v>Africa</v>
      </c>
      <c r="C147" s="11" t="str">
        <f>'Sovereign Ratings (Moody''s,S&amp;P)'!C141</f>
        <v>B2</v>
      </c>
      <c r="D147" s="24">
        <f t="shared" si="23"/>
        <v>6.3636673805065866E-2</v>
      </c>
      <c r="E147" s="24">
        <f t="shared" si="26"/>
        <v>0.13145056900088425</v>
      </c>
      <c r="F147" s="13">
        <f t="shared" si="25"/>
        <v>7.7750569000884256E-2</v>
      </c>
      <c r="G147" s="13">
        <f>VLOOKUP(A147,'10-year CDS Spreads'!$A$2:$D$152,4)</f>
        <v>3.2200000000000006E-2</v>
      </c>
      <c r="H147" s="13">
        <f t="shared" si="27"/>
        <v>9.3041596160375911E-2</v>
      </c>
      <c r="I147" s="16">
        <f t="shared" si="24"/>
        <v>3.9341596160375913E-2</v>
      </c>
    </row>
    <row r="148" spans="1:9" ht="16">
      <c r="A148" s="172" t="str">
        <f>'Sovereign Ratings (Moody''s,S&amp;P)'!A142</f>
        <v>Turkey</v>
      </c>
      <c r="B148" s="165" t="str">
        <f>VLOOKUP(A148,'Regional lookup table'!$A$3:$B$156,2)</f>
        <v>Western Europe</v>
      </c>
      <c r="C148" s="11" t="str">
        <f>'Sovereign Ratings (Moody''s,S&amp;P)'!C142</f>
        <v>Ba2</v>
      </c>
      <c r="D148" s="24">
        <f t="shared" si="23"/>
        <v>3.4739364552601529E-2</v>
      </c>
      <c r="E148" s="24">
        <f t="shared" si="26"/>
        <v>9.6144163077531902E-2</v>
      </c>
      <c r="F148" s="13">
        <f t="shared" si="25"/>
        <v>4.2444163077531898E-2</v>
      </c>
      <c r="G148" s="13">
        <f>VLOOKUP(A148,'10-year CDS Spreads'!$A$2:$D$152,4)</f>
        <v>3.56E-2</v>
      </c>
      <c r="H148" s="13">
        <f t="shared" si="27"/>
        <v>9.7195677742527395E-2</v>
      </c>
      <c r="I148" s="16">
        <f t="shared" si="24"/>
        <v>4.3495677742527397E-2</v>
      </c>
    </row>
    <row r="149" spans="1:9" ht="16">
      <c r="A149" s="172" t="str">
        <f>'Sovereign Ratings (Moody''s,S&amp;P)'!A143</f>
        <v>Turks and Caicos Islands</v>
      </c>
      <c r="B149" s="165" t="str">
        <f>VLOOKUP(A149,'Regional lookup table'!$A$3:$B$156,2)</f>
        <v>Caribbean</v>
      </c>
      <c r="C149" s="11" t="str">
        <f>'Sovereign Ratings (Moody''s,S&amp;P)'!C143</f>
        <v>Baa1</v>
      </c>
      <c r="D149" s="24">
        <f t="shared" si="23"/>
        <v>1.846506764507649E-2</v>
      </c>
      <c r="E149" s="24">
        <f t="shared" si="26"/>
        <v>7.6260411005174611E-2</v>
      </c>
      <c r="F149" s="13">
        <f t="shared" si="25"/>
        <v>2.2560411005174617E-2</v>
      </c>
      <c r="G149" s="13" t="str">
        <f>VLOOKUP(A149,'10-year CDS Spreads'!$A$2:$D$152,4)</f>
        <v>NA</v>
      </c>
      <c r="H149" s="13" t="str">
        <f t="shared" si="27"/>
        <v>NA</v>
      </c>
      <c r="I149" s="16" t="str">
        <f t="shared" si="24"/>
        <v>NA</v>
      </c>
    </row>
    <row r="150" spans="1:9" ht="16">
      <c r="A150" s="172" t="str">
        <f>'Sovereign Ratings (Moody''s,S&amp;P)'!A144</f>
        <v>Uganda</v>
      </c>
      <c r="B150" s="165" t="str">
        <f>VLOOKUP(A150,'Regional lookup table'!$A$3:$B$156,2)</f>
        <v>Africa</v>
      </c>
      <c r="C150" s="11" t="str">
        <f>'Sovereign Ratings (Moody''s,S&amp;P)'!C144</f>
        <v>B2</v>
      </c>
      <c r="D150" s="24">
        <f t="shared" si="23"/>
        <v>6.3636673805065866E-2</v>
      </c>
      <c r="E150" s="24">
        <f t="shared" si="26"/>
        <v>0.13145056900088425</v>
      </c>
      <c r="F150" s="13">
        <f t="shared" ref="F150:F158" si="28">IF($E$4="Yes",D150*$E$5,D150)</f>
        <v>7.7750569000884256E-2</v>
      </c>
      <c r="G150" s="13" t="str">
        <f>VLOOKUP(A150,'10-year CDS Spreads'!$A$2:$D$152,4)</f>
        <v>NA</v>
      </c>
      <c r="H150" s="13" t="str">
        <f t="shared" si="27"/>
        <v>NA</v>
      </c>
      <c r="I150" s="16" t="str">
        <f t="shared" si="24"/>
        <v>NA</v>
      </c>
    </row>
    <row r="151" spans="1:9" ht="16">
      <c r="A151" s="172" t="str">
        <f>'Sovereign Ratings (Moody''s,S&amp;P)'!A145</f>
        <v>Ukraine</v>
      </c>
      <c r="B151" s="165" t="str">
        <f>VLOOKUP(A151,'Regional lookup table'!$A$3:$B$156,2)</f>
        <v>Eastern Europe &amp; Russia</v>
      </c>
      <c r="C151" s="11" t="str">
        <f>'Sovereign Ratings (Moody''s,S&amp;P)'!C145</f>
        <v>Caa2</v>
      </c>
      <c r="D151" s="24">
        <f t="shared" si="23"/>
        <v>0.10411377124173073</v>
      </c>
      <c r="E151" s="24">
        <f t="shared" si="26"/>
        <v>0.18090502928341393</v>
      </c>
      <c r="F151" s="13">
        <f t="shared" si="28"/>
        <v>0.12720502928341393</v>
      </c>
      <c r="G151" s="13">
        <f>VLOOKUP(A151,'10-year CDS Spreads'!$A$2:$D$152,4)</f>
        <v>5.1900000000000002E-2</v>
      </c>
      <c r="H151" s="13">
        <f t="shared" si="27"/>
        <v>0.11711083356284191</v>
      </c>
      <c r="I151" s="16">
        <f t="shared" si="24"/>
        <v>6.3410833562841912E-2</v>
      </c>
    </row>
    <row r="152" spans="1:9" ht="16">
      <c r="A152" s="172" t="str">
        <f>'Sovereign Ratings (Moody''s,S&amp;P)'!A146</f>
        <v>United Arab Emirates</v>
      </c>
      <c r="B152" s="165" t="str">
        <f>VLOOKUP(A152,'Regional lookup table'!$A$3:$B$156,2)</f>
        <v>Middle East</v>
      </c>
      <c r="C152" s="11" t="str">
        <f>'Sovereign Ratings (Moody''s,S&amp;P)'!C146</f>
        <v>Aa2</v>
      </c>
      <c r="D152" s="24">
        <f t="shared" si="23"/>
        <v>5.7377328840633162E-3</v>
      </c>
      <c r="E152" s="24">
        <f t="shared" si="26"/>
        <v>6.0710297204997758E-2</v>
      </c>
      <c r="F152" s="13">
        <f t="shared" si="28"/>
        <v>7.0102972049977622E-3</v>
      </c>
      <c r="G152" s="13" t="str">
        <f>VLOOKUP(A152,'10-year CDS Spreads'!$A$2:$D$152,4)</f>
        <v>NA</v>
      </c>
      <c r="H152" s="13" t="str">
        <f t="shared" si="27"/>
        <v>NA</v>
      </c>
      <c r="I152" s="16" t="str">
        <f t="shared" si="24"/>
        <v>NA</v>
      </c>
    </row>
    <row r="153" spans="1:9" ht="16">
      <c r="A153" s="172" t="str">
        <f>'Sovereign Ratings (Moody''s,S&amp;P)'!A147</f>
        <v>United Kingdom</v>
      </c>
      <c r="B153" s="165" t="str">
        <f>VLOOKUP(A153,'Regional lookup table'!$A$3:$B$156,2)</f>
        <v>Western Europe</v>
      </c>
      <c r="C153" s="11" t="str">
        <f>'Sovereign Ratings (Moody''s,S&amp;P)'!C147</f>
        <v>Aa2</v>
      </c>
      <c r="D153" s="24">
        <f t="shared" si="23"/>
        <v>5.7377328840633162E-3</v>
      </c>
      <c r="E153" s="24">
        <f t="shared" si="26"/>
        <v>6.0710297204997758E-2</v>
      </c>
      <c r="F153" s="13">
        <f t="shared" si="28"/>
        <v>7.0102972049977622E-3</v>
      </c>
      <c r="G153" s="13">
        <f>VLOOKUP(A153,'10-year CDS Spreads'!$A$2:$D$152,4)</f>
        <v>1.6000000000000003E-3</v>
      </c>
      <c r="H153" s="13">
        <f t="shared" si="27"/>
        <v>5.5654861921012468E-2</v>
      </c>
      <c r="I153" s="16">
        <f t="shared" si="24"/>
        <v>1.9548619210124677E-3</v>
      </c>
    </row>
    <row r="154" spans="1:9" ht="16">
      <c r="A154" s="172" t="str">
        <f>'Sovereign Ratings (Moody''s,S&amp;P)'!A148</f>
        <v>United States</v>
      </c>
      <c r="B154" s="165" t="str">
        <f>VLOOKUP(A154,'Regional lookup table'!$A$3:$B$156,2)</f>
        <v>North America</v>
      </c>
      <c r="C154" s="11" t="str">
        <f>'Sovereign Ratings (Moody''s,S&amp;P)'!C148</f>
        <v>Aaa</v>
      </c>
      <c r="D154" s="24">
        <f t="shared" si="23"/>
        <v>0</v>
      </c>
      <c r="E154" s="24">
        <f>$E$3+F154</f>
        <v>5.3699999999999998E-2</v>
      </c>
      <c r="F154" s="13">
        <f t="shared" si="28"/>
        <v>0</v>
      </c>
      <c r="G154" s="13">
        <f>VLOOKUP(A154,'10-year CDS Spreads'!$A$2:$D$152,4)</f>
        <v>0</v>
      </c>
      <c r="H154" s="13">
        <f>IF(I154="NA","NA",$E$3+I154)</f>
        <v>5.3699999999999998E-2</v>
      </c>
      <c r="I154" s="16">
        <f t="shared" si="24"/>
        <v>0</v>
      </c>
    </row>
    <row r="155" spans="1:9" ht="16">
      <c r="A155" s="172" t="str">
        <f>'Sovereign Ratings (Moody''s,S&amp;P)'!A149</f>
        <v>Uruguay</v>
      </c>
      <c r="B155" s="165" t="str">
        <f>VLOOKUP(A155,'Regional lookup table'!$A$3:$B$156,2)</f>
        <v>Central and South America</v>
      </c>
      <c r="C155" s="11" t="str">
        <f>'Sovereign Ratings (Moody''s,S&amp;P)'!C149</f>
        <v>Baa2</v>
      </c>
      <c r="D155" s="24">
        <f t="shared" si="23"/>
        <v>2.201202979158836E-2</v>
      </c>
      <c r="E155" s="24">
        <f>$E$3+F155</f>
        <v>8.0594049277355057E-2</v>
      </c>
      <c r="F155" s="13">
        <f t="shared" si="28"/>
        <v>2.6894049277355052E-2</v>
      </c>
      <c r="G155" s="13">
        <f>VLOOKUP(A155,'10-year CDS Spreads'!$A$2:$D$152,4)</f>
        <v>1.67E-2</v>
      </c>
      <c r="H155" s="13">
        <f>IF(I155="NA","NA",$E$3+I155)</f>
        <v>7.4103871300567628E-2</v>
      </c>
      <c r="I155" s="16">
        <f t="shared" si="24"/>
        <v>2.0403871300567627E-2</v>
      </c>
    </row>
    <row r="156" spans="1:9" ht="16">
      <c r="A156" s="172" t="str">
        <f>'Sovereign Ratings (Moody''s,S&amp;P)'!A150</f>
        <v>Venezuela</v>
      </c>
      <c r="B156" s="165" t="str">
        <f>VLOOKUP(A156,'Regional lookup table'!$A$3:$B$156,2)</f>
        <v>Central and South America</v>
      </c>
      <c r="C156" s="11" t="str">
        <f>'Sovereign Ratings (Moody''s,S&amp;P)'!C150</f>
        <v>C</v>
      </c>
      <c r="D156" s="24">
        <f t="shared" si="23"/>
        <v>0.18</v>
      </c>
      <c r="E156" s="24">
        <f>$E$3+F156</f>
        <v>0.27362196611390255</v>
      </c>
      <c r="F156" s="13">
        <f t="shared" si="28"/>
        <v>0.21992196611390258</v>
      </c>
      <c r="G156" s="13" t="str">
        <f>VLOOKUP(A156,'10-year CDS Spreads'!$A$2:$D$152,4)</f>
        <v>NA</v>
      </c>
      <c r="H156" s="13" t="str">
        <f>IF(I156="NA","NA",$E$3+I156)</f>
        <v>NA</v>
      </c>
      <c r="I156" s="16" t="str">
        <f t="shared" si="24"/>
        <v>NA</v>
      </c>
    </row>
    <row r="157" spans="1:9" ht="16">
      <c r="A157" s="172" t="str">
        <f>'Sovereign Ratings (Moody''s,S&amp;P)'!A151</f>
        <v>Vietnam</v>
      </c>
      <c r="B157" s="165" t="str">
        <f>VLOOKUP(A157,'Regional lookup table'!$A$3:$B$156,2)</f>
        <v>Asia</v>
      </c>
      <c r="C157" s="11" t="str">
        <f>'Sovereign Ratings (Moody''s,S&amp;P)'!C151</f>
        <v>B1</v>
      </c>
      <c r="D157" s="24">
        <f t="shared" si="23"/>
        <v>5.2056885620865363E-2</v>
      </c>
      <c r="E157" s="24">
        <f>$E$3+F157</f>
        <v>0.11730251464170696</v>
      </c>
      <c r="F157" s="13">
        <f t="shared" si="28"/>
        <v>6.3602514641706964E-2</v>
      </c>
      <c r="G157" s="13">
        <f>VLOOKUP(A157,'10-year CDS Spreads'!$A$2:$D$152,4)</f>
        <v>1.9E-2</v>
      </c>
      <c r="H157" s="13">
        <f>IF(I157="NA","NA",$E$3+I157)</f>
        <v>7.691398531202305E-2</v>
      </c>
      <c r="I157" s="16">
        <f t="shared" si="24"/>
        <v>2.3213985312023049E-2</v>
      </c>
    </row>
    <row r="158" spans="1:9" ht="16">
      <c r="A158" s="179" t="str">
        <f>'Sovereign Ratings (Moody''s,S&amp;P)'!A152</f>
        <v>Zambia</v>
      </c>
      <c r="B158" s="168" t="str">
        <f>VLOOKUP(A158,'Regional lookup table'!$A$3:$B$156,2)</f>
        <v>Africa</v>
      </c>
      <c r="C158" s="123" t="str">
        <f>'Sovereign Ratings (Moody''s,S&amp;P)'!C152</f>
        <v>B3</v>
      </c>
      <c r="D158" s="180">
        <f t="shared" si="23"/>
        <v>7.5216461989266389E-2</v>
      </c>
      <c r="E158" s="180">
        <f>$E$3+F158</f>
        <v>0.14559862336006157</v>
      </c>
      <c r="F158" s="181">
        <f t="shared" si="28"/>
        <v>9.1898623360061577E-2</v>
      </c>
      <c r="G158" s="181" t="str">
        <f>VLOOKUP(A158,'10-year CDS Spreads'!$A$2:$D$152,4)</f>
        <v>NA</v>
      </c>
      <c r="H158" s="181" t="str">
        <f>IF(I158="NA","NA",$E$3+I158)</f>
        <v>NA</v>
      </c>
      <c r="I158" s="182" t="str">
        <f t="shared" si="24"/>
        <v>NA</v>
      </c>
    </row>
    <row r="160" spans="1:9" ht="16">
      <c r="A160" s="167"/>
      <c r="B160" s="165"/>
      <c r="C160" s="11"/>
      <c r="D160" s="29"/>
      <c r="E160" s="30"/>
      <c r="F160" s="31"/>
      <c r="G160" s="31"/>
      <c r="H160" s="31"/>
      <c r="I160" s="31"/>
    </row>
    <row r="161" spans="1:9" ht="16">
      <c r="A161" s="167"/>
      <c r="B161" s="165"/>
      <c r="C161" s="11"/>
      <c r="D161" s="29"/>
      <c r="E161" s="30"/>
      <c r="F161" s="31"/>
      <c r="G161" s="31"/>
      <c r="H161" s="31"/>
      <c r="I161" s="31"/>
    </row>
    <row r="162" spans="1:9" ht="16">
      <c r="A162" s="222" t="s">
        <v>401</v>
      </c>
      <c r="B162" s="222"/>
      <c r="C162" s="222"/>
      <c r="D162" s="222"/>
      <c r="E162" s="222"/>
      <c r="F162" s="31"/>
      <c r="G162" s="31"/>
      <c r="H162" s="31"/>
      <c r="I162" s="31"/>
    </row>
    <row r="163" spans="1:9" s="130" customFormat="1" ht="16">
      <c r="A163" s="169" t="s">
        <v>77</v>
      </c>
      <c r="B163" s="169" t="s">
        <v>402</v>
      </c>
      <c r="C163" s="130" t="s">
        <v>322</v>
      </c>
      <c r="D163" s="130" t="s">
        <v>403</v>
      </c>
      <c r="E163" s="130" t="s">
        <v>323</v>
      </c>
      <c r="F163" s="137"/>
      <c r="G163" s="137"/>
      <c r="H163" s="137"/>
      <c r="I163" s="137"/>
    </row>
    <row r="164" spans="1:9" ht="16">
      <c r="A164" s="57" t="str">
        <f>'PRS Worksheet'!A150</f>
        <v>Algeria</v>
      </c>
      <c r="B164" s="72">
        <f>'PRS Worksheet'!B150</f>
        <v>61</v>
      </c>
      <c r="C164" s="127">
        <f>'PRS Worksheet'!E150</f>
        <v>0.15961921777005708</v>
      </c>
      <c r="D164" s="75">
        <f>'PRS Worksheet'!G150</f>
        <v>0.10591921777005708</v>
      </c>
      <c r="E164" s="75">
        <f>'PRS Worksheet'!D150</f>
        <v>8.6691927757393011E-2</v>
      </c>
      <c r="F164" s="31"/>
      <c r="G164" s="31"/>
      <c r="H164" s="31"/>
    </row>
    <row r="165" spans="1:9" ht="16">
      <c r="A165" s="57" t="str">
        <f>'PRS Worksheet'!A151</f>
        <v>Brunei</v>
      </c>
      <c r="B165" s="72">
        <f>'PRS Worksheet'!B151</f>
        <v>76.5</v>
      </c>
      <c r="C165" s="127">
        <f>'PRS Worksheet'!E151</f>
        <v>6.5681235223087081E-2</v>
      </c>
      <c r="D165" s="75">
        <f>'PRS Worksheet'!G151</f>
        <v>1.1981235223087083E-2</v>
      </c>
      <c r="E165" s="75">
        <f>'PRS Worksheet'!D151</f>
        <v>9.8063071109445767E-3</v>
      </c>
      <c r="F165" s="31"/>
      <c r="G165" s="31"/>
      <c r="H165" s="31"/>
    </row>
    <row r="166" spans="1:9" ht="16">
      <c r="A166" s="57" t="str">
        <f>'PRS Worksheet'!A152</f>
        <v>Gambia</v>
      </c>
      <c r="B166" s="72">
        <f>'PRS Worksheet'!B152</f>
        <v>62</v>
      </c>
      <c r="C166" s="127">
        <f>'PRS Worksheet'!E152</f>
        <v>0.15961921777005708</v>
      </c>
      <c r="D166" s="75">
        <f>'PRS Worksheet'!G152</f>
        <v>0.10591921777005708</v>
      </c>
      <c r="E166" s="75">
        <f>'PRS Worksheet'!D152</f>
        <v>8.6691927757393011E-2</v>
      </c>
      <c r="F166" s="31"/>
      <c r="G166" s="31"/>
      <c r="H166" s="31"/>
    </row>
    <row r="167" spans="1:9" ht="16">
      <c r="A167" s="57" t="str">
        <f>'PRS Worksheet'!A153</f>
        <v>Guinea</v>
      </c>
      <c r="B167" s="72">
        <f>'PRS Worksheet'!B153</f>
        <v>56.75</v>
      </c>
      <c r="C167" s="127">
        <f>'PRS Worksheet'!E153</f>
        <v>0.19492562369340946</v>
      </c>
      <c r="D167" s="75">
        <f>'PRS Worksheet'!G153</f>
        <v>0.14122562369340946</v>
      </c>
      <c r="E167" s="75">
        <f>'PRS Worksheet'!D153</f>
        <v>0.11558923700985736</v>
      </c>
      <c r="F167" s="31"/>
      <c r="G167" s="31"/>
      <c r="H167" s="31"/>
    </row>
    <row r="168" spans="1:9" ht="16">
      <c r="A168" s="57" t="str">
        <f>'PRS Worksheet'!A154</f>
        <v>Guinea-Bissau</v>
      </c>
      <c r="B168" s="72">
        <f>'PRS Worksheet'!B154</f>
        <v>65</v>
      </c>
      <c r="C168" s="127">
        <f>'PRS Worksheet'!E154</f>
        <v>0.13145056900088425</v>
      </c>
      <c r="D168" s="75">
        <f>'PRS Worksheet'!G154</f>
        <v>7.7750569000884256E-2</v>
      </c>
      <c r="E168" s="75">
        <f>'PRS Worksheet'!D154</f>
        <v>6.3636673805065866E-2</v>
      </c>
      <c r="F168" s="31"/>
      <c r="G168" s="31"/>
      <c r="H168" s="31"/>
    </row>
    <row r="169" spans="1:9" ht="16">
      <c r="A169" s="57" t="str">
        <f>'PRS Worksheet'!A155</f>
        <v>Guyana</v>
      </c>
      <c r="B169" s="72">
        <f>'PRS Worksheet'!B155</f>
        <v>68.5</v>
      </c>
      <c r="C169" s="127">
        <f>'PRS Worksheet'!E155</f>
        <v>0.10455651972352922</v>
      </c>
      <c r="D169" s="75">
        <f>'PRS Worksheet'!G155</f>
        <v>5.0856519723529225E-2</v>
      </c>
      <c r="E169" s="75">
        <f>'PRS Worksheet'!D155</f>
        <v>4.162464401347752E-2</v>
      </c>
      <c r="F169" s="31"/>
      <c r="G169" s="31"/>
      <c r="H169" s="31"/>
    </row>
    <row r="170" spans="1:9" ht="16">
      <c r="A170" s="57" t="str">
        <f>'PRS Worksheet'!A156</f>
        <v>Haiti</v>
      </c>
      <c r="B170" s="72">
        <f>'PRS Worksheet'!B156</f>
        <v>62.8</v>
      </c>
      <c r="C170" s="127">
        <f>'PRS Worksheet'!E156</f>
        <v>0.14559862336006157</v>
      </c>
      <c r="D170" s="75">
        <f>'PRS Worksheet'!G156</f>
        <v>9.1898623360061577E-2</v>
      </c>
      <c r="E170" s="75">
        <f>'PRS Worksheet'!D156</f>
        <v>7.5216461989266389E-2</v>
      </c>
      <c r="F170" s="31"/>
      <c r="G170" s="31"/>
      <c r="H170" s="31"/>
    </row>
    <row r="171" spans="1:9" ht="16">
      <c r="A171" s="57" t="str">
        <f>'PRS Worksheet'!A157</f>
        <v>Iran</v>
      </c>
      <c r="B171" s="72">
        <f>'PRS Worksheet'!B157</f>
        <v>69</v>
      </c>
      <c r="C171" s="127">
        <f>'PRS Worksheet'!E157</f>
        <v>0.10455651972352922</v>
      </c>
      <c r="D171" s="75">
        <f>'PRS Worksheet'!G157</f>
        <v>5.0856519723529225E-2</v>
      </c>
      <c r="E171" s="75">
        <f>'PRS Worksheet'!D157</f>
        <v>4.162464401347752E-2</v>
      </c>
      <c r="F171" s="31"/>
      <c r="G171" s="31"/>
      <c r="H171" s="31"/>
    </row>
    <row r="172" spans="1:9" ht="16">
      <c r="A172" s="57" t="str">
        <f>'PRS Worksheet'!A158</f>
        <v>Korea, D.P.R.</v>
      </c>
      <c r="B172" s="72">
        <f>'PRS Worksheet'!B158</f>
        <v>57.3</v>
      </c>
      <c r="C172" s="127">
        <f>'PRS Worksheet'!E158</f>
        <v>0.18090502928341393</v>
      </c>
      <c r="D172" s="75">
        <f>'PRS Worksheet'!G158</f>
        <v>0.12720502928341393</v>
      </c>
      <c r="E172" s="75">
        <f>'PRS Worksheet'!D158</f>
        <v>0.10411377124173071</v>
      </c>
      <c r="F172" s="31"/>
      <c r="G172" s="31"/>
      <c r="H172" s="31"/>
    </row>
    <row r="173" spans="1:9" ht="16">
      <c r="A173" s="57" t="str">
        <f>'PRS Worksheet'!A159</f>
        <v>Liberia</v>
      </c>
      <c r="B173" s="72">
        <f>'PRS Worksheet'!B159</f>
        <v>55.75</v>
      </c>
      <c r="C173" s="127">
        <f>'PRS Worksheet'!E159</f>
        <v>0.19492562369340946</v>
      </c>
      <c r="D173" s="75">
        <f>'PRS Worksheet'!G159</f>
        <v>0.14122562369340946</v>
      </c>
      <c r="E173" s="75">
        <f>'PRS Worksheet'!D159</f>
        <v>0.11558923700985736</v>
      </c>
      <c r="F173" s="31"/>
      <c r="G173" s="31"/>
      <c r="H173" s="31"/>
    </row>
    <row r="174" spans="1:9" ht="16">
      <c r="A174" s="57" t="str">
        <f>'PRS Worksheet'!A160</f>
        <v>Libya</v>
      </c>
      <c r="B174" s="72">
        <f>'PRS Worksheet'!B160</f>
        <v>67.75</v>
      </c>
      <c r="C174" s="127">
        <f>'PRS Worksheet'!E160</f>
        <v>0.11730251464170696</v>
      </c>
      <c r="D174" s="75">
        <f>'PRS Worksheet'!G160</f>
        <v>6.3602514641706964E-2</v>
      </c>
      <c r="E174" s="75">
        <f>'PRS Worksheet'!D160</f>
        <v>5.2056885620865356E-2</v>
      </c>
      <c r="F174" s="31"/>
      <c r="G174" s="31"/>
      <c r="H174" s="31"/>
    </row>
    <row r="175" spans="1:9" ht="16">
      <c r="A175" s="57" t="str">
        <f>'PRS Worksheet'!A161</f>
        <v>Madagascar</v>
      </c>
      <c r="B175" s="72">
        <f>'PRS Worksheet'!B161</f>
        <v>63.75</v>
      </c>
      <c r="C175" s="127">
        <f>'PRS Worksheet'!E161</f>
        <v>0.14559862336006157</v>
      </c>
      <c r="D175" s="75">
        <f>'PRS Worksheet'!G161</f>
        <v>9.1898623360061577E-2</v>
      </c>
      <c r="E175" s="75">
        <f>'PRS Worksheet'!D161</f>
        <v>7.5216461989266389E-2</v>
      </c>
      <c r="F175" s="31"/>
      <c r="G175" s="31"/>
      <c r="H175" s="31"/>
    </row>
    <row r="176" spans="1:9" ht="16">
      <c r="A176" s="57" t="str">
        <f>'PRS Worksheet'!A162</f>
        <v>Malawi</v>
      </c>
      <c r="B176" s="72">
        <f>'PRS Worksheet'!B162</f>
        <v>61</v>
      </c>
      <c r="C176" s="127">
        <f>'PRS Worksheet'!E162</f>
        <v>0.15961921777005708</v>
      </c>
      <c r="D176" s="75">
        <f>'PRS Worksheet'!G162</f>
        <v>0.10591921777005708</v>
      </c>
      <c r="E176" s="75">
        <f>'PRS Worksheet'!D162</f>
        <v>8.6691927757393011E-2</v>
      </c>
      <c r="F176" s="31"/>
      <c r="G176" s="31"/>
      <c r="H176" s="31"/>
    </row>
    <row r="177" spans="1:8" ht="16">
      <c r="A177" s="57" t="str">
        <f>'PRS Worksheet'!A163</f>
        <v>Mali</v>
      </c>
      <c r="B177" s="72">
        <f>'PRS Worksheet'!B163</f>
        <v>61</v>
      </c>
      <c r="C177" s="127">
        <f>'PRS Worksheet'!E163</f>
        <v>0.15961921777005708</v>
      </c>
      <c r="D177" s="75">
        <f>'PRS Worksheet'!G163</f>
        <v>0.10591921777005708</v>
      </c>
      <c r="E177" s="75">
        <f>'PRS Worksheet'!D163</f>
        <v>8.6691927757393011E-2</v>
      </c>
      <c r="F177" s="31"/>
      <c r="G177" s="31"/>
      <c r="H177" s="31"/>
    </row>
    <row r="178" spans="1:8" ht="16">
      <c r="A178" s="57" t="str">
        <f>'PRS Worksheet'!A164</f>
        <v>Myanmar</v>
      </c>
      <c r="B178" s="72">
        <f>'PRS Worksheet'!B164</f>
        <v>64.5</v>
      </c>
      <c r="C178" s="127">
        <f>'PRS Worksheet'!E164</f>
        <v>0.13145056900088425</v>
      </c>
      <c r="D178" s="75">
        <f>'PRS Worksheet'!G164</f>
        <v>7.7750569000884256E-2</v>
      </c>
      <c r="E178" s="75">
        <f>'PRS Worksheet'!D164</f>
        <v>6.3636673805065866E-2</v>
      </c>
      <c r="F178" s="31"/>
      <c r="G178" s="31"/>
      <c r="H178" s="31"/>
    </row>
    <row r="179" spans="1:8" ht="16">
      <c r="A179" s="57" t="str">
        <f>'PRS Worksheet'!A165</f>
        <v>Niger</v>
      </c>
      <c r="B179" s="72">
        <f>'PRS Worksheet'!B165</f>
        <v>54.8</v>
      </c>
      <c r="C179" s="127">
        <f>'PRS Worksheet'!E165</f>
        <v>0.22322173241176405</v>
      </c>
      <c r="D179" s="75">
        <f>'PRS Worksheet'!G165</f>
        <v>0.16952173241176405</v>
      </c>
      <c r="E179" s="75">
        <f>'PRS Worksheet'!D165</f>
        <v>0.13874881337825837</v>
      </c>
      <c r="F179" s="31"/>
      <c r="G179" s="31"/>
      <c r="H179" s="31"/>
    </row>
    <row r="180" spans="1:8" ht="16">
      <c r="A180" s="57" t="str">
        <f>'PRS Worksheet'!A166</f>
        <v>Sierra Leone</v>
      </c>
      <c r="B180" s="72">
        <f>'PRS Worksheet'!B166</f>
        <v>55</v>
      </c>
      <c r="C180" s="127">
        <f>'PRS Worksheet'!E166</f>
        <v>0.22322173241176405</v>
      </c>
      <c r="D180" s="75">
        <f>'PRS Worksheet'!G166</f>
        <v>0.16952173241176405</v>
      </c>
      <c r="E180" s="75">
        <f>'PRS Worksheet'!D166</f>
        <v>0.13874881337825837</v>
      </c>
      <c r="F180" s="31"/>
      <c r="G180" s="31"/>
      <c r="H180" s="31"/>
    </row>
    <row r="181" spans="1:8" ht="16">
      <c r="A181" s="57" t="str">
        <f>'PRS Worksheet'!A167</f>
        <v>Somalia</v>
      </c>
      <c r="B181" s="72">
        <f>'PRS Worksheet'!B167</f>
        <v>52</v>
      </c>
      <c r="C181" s="127">
        <f>'PRS Worksheet'!E167</f>
        <v>0.22322173241176405</v>
      </c>
      <c r="D181" s="75">
        <f>'PRS Worksheet'!G167</f>
        <v>0.16952173241176405</v>
      </c>
      <c r="E181" s="75">
        <f>'PRS Worksheet'!D167</f>
        <v>0.13874881337825837</v>
      </c>
      <c r="F181" s="31"/>
      <c r="G181" s="31"/>
      <c r="H181" s="31"/>
    </row>
    <row r="182" spans="1:8" ht="16">
      <c r="A182" s="57" t="str">
        <f>'PRS Worksheet'!A168</f>
        <v>Sudan</v>
      </c>
      <c r="B182" s="72">
        <f>'PRS Worksheet'!B168</f>
        <v>43.3</v>
      </c>
      <c r="C182" s="127">
        <f>'PRS Worksheet'!E168</f>
        <v>0.27362196611390255</v>
      </c>
      <c r="D182" s="75">
        <f>'PRS Worksheet'!G168</f>
        <v>0.21992196611390255</v>
      </c>
      <c r="E182" s="75">
        <f>'PRS Worksheet'!D168</f>
        <v>0.17999999999999997</v>
      </c>
      <c r="F182" s="31"/>
      <c r="G182" s="31"/>
      <c r="H182" s="31"/>
    </row>
    <row r="183" spans="1:8" ht="16">
      <c r="A183" s="57" t="str">
        <f>'PRS Worksheet'!A169</f>
        <v>Syria</v>
      </c>
      <c r="B183" s="72">
        <f>'PRS Worksheet'!B169</f>
        <v>50.3</v>
      </c>
      <c r="C183" s="127">
        <f>'PRS Worksheet'!E169</f>
        <v>0.22322173241176405</v>
      </c>
      <c r="D183" s="75">
        <f>'PRS Worksheet'!G169</f>
        <v>0.16952173241176405</v>
      </c>
      <c r="E183" s="75">
        <f>'PRS Worksheet'!D169</f>
        <v>0.13874881337825837</v>
      </c>
      <c r="F183" s="31"/>
      <c r="G183" s="31"/>
      <c r="H183" s="31"/>
    </row>
    <row r="184" spans="1:8" ht="16">
      <c r="A184" s="57" t="str">
        <f>'PRS Worksheet'!A170</f>
        <v>Togo</v>
      </c>
      <c r="B184" s="72">
        <f>'PRS Worksheet'!B170</f>
        <v>61</v>
      </c>
      <c r="C184" s="127">
        <f>'PRS Worksheet'!E170</f>
        <v>0.15961921777005708</v>
      </c>
      <c r="D184" s="75">
        <f>'PRS Worksheet'!G170</f>
        <v>0.10591921777005708</v>
      </c>
      <c r="E184" s="75">
        <f>'PRS Worksheet'!D170</f>
        <v>8.6691927757393011E-2</v>
      </c>
      <c r="F184" s="31"/>
      <c r="G184" s="31"/>
      <c r="H184" s="31"/>
    </row>
    <row r="185" spans="1:8" ht="16">
      <c r="A185" s="57" t="str">
        <f>'PRS Worksheet'!A171</f>
        <v>Yemen, Republic</v>
      </c>
      <c r="B185" s="72">
        <f>'PRS Worksheet'!B171</f>
        <v>49.3</v>
      </c>
      <c r="C185" s="127">
        <f>'PRS Worksheet'!E171</f>
        <v>0.27362196611390255</v>
      </c>
      <c r="D185" s="75">
        <f>'PRS Worksheet'!G171</f>
        <v>0.21992196611390255</v>
      </c>
      <c r="E185" s="75">
        <f>'PRS Worksheet'!D171</f>
        <v>0.17999999999999997</v>
      </c>
      <c r="F185" s="31"/>
      <c r="G185" s="31"/>
      <c r="H185" s="31"/>
    </row>
    <row r="186" spans="1:8" ht="16">
      <c r="A186" s="57" t="str">
        <f>'PRS Worksheet'!A172</f>
        <v>Zimbabwe</v>
      </c>
      <c r="B186" s="72">
        <f>'PRS Worksheet'!B172</f>
        <v>61</v>
      </c>
      <c r="C186" s="127">
        <f>'PRS Worksheet'!E172</f>
        <v>0.15961921777005708</v>
      </c>
      <c r="D186" s="75">
        <f>'PRS Worksheet'!G172</f>
        <v>0.10591921777005708</v>
      </c>
      <c r="E186" s="75">
        <f>'PRS Worksheet'!D172</f>
        <v>8.6691927757393011E-2</v>
      </c>
      <c r="F186" s="31"/>
      <c r="G186" s="31"/>
      <c r="H186" s="31"/>
    </row>
    <row r="187" spans="1:8" ht="16">
      <c r="A187" s="124"/>
      <c r="B187" s="171"/>
      <c r="C187" s="125"/>
      <c r="D187" s="30"/>
      <c r="E187" s="31"/>
      <c r="F187" s="31"/>
      <c r="G187" s="31"/>
      <c r="H187" s="31"/>
    </row>
    <row r="188" spans="1:8">
      <c r="B188" s="20" t="s">
        <v>40</v>
      </c>
      <c r="C188" s="20" t="s">
        <v>41</v>
      </c>
    </row>
    <row r="189" spans="1:8">
      <c r="B189" s="5" t="s">
        <v>42</v>
      </c>
      <c r="C189" s="217">
        <f>'Default Spreads for Ratings'!C2</f>
        <v>81.371484537625221</v>
      </c>
    </row>
    <row r="190" spans="1:8">
      <c r="B190" s="5" t="s">
        <v>43</v>
      </c>
      <c r="C190" s="217">
        <f>'Default Spreads for Ratings'!C3</f>
        <v>98.063071109445772</v>
      </c>
    </row>
    <row r="191" spans="1:8">
      <c r="B191" s="5" t="s">
        <v>44</v>
      </c>
      <c r="C191" s="217">
        <f>'Default Spreads for Ratings'!C4</f>
        <v>138.74881337825838</v>
      </c>
    </row>
    <row r="192" spans="1:8">
      <c r="B192" s="5" t="s">
        <v>45</v>
      </c>
      <c r="C192" s="217">
        <f>'Default Spreads for Ratings'!C5</f>
        <v>45.901863072506522</v>
      </c>
    </row>
    <row r="193" spans="2:3">
      <c r="B193" s="5" t="s">
        <v>46</v>
      </c>
      <c r="C193" s="217">
        <f>'Default Spreads for Ratings'!C6</f>
        <v>57.377328840633162</v>
      </c>
    </row>
    <row r="194" spans="2:3">
      <c r="B194" s="5" t="s">
        <v>47</v>
      </c>
      <c r="C194" s="217">
        <f>'Default Spreads for Ratings'!C7</f>
        <v>69.896018769498568</v>
      </c>
    </row>
    <row r="195" spans="2:3">
      <c r="B195" s="5" t="s">
        <v>48</v>
      </c>
      <c r="C195" s="217">
        <f>'Default Spreads for Ratings'!C8</f>
        <v>0</v>
      </c>
    </row>
    <row r="196" spans="2:3">
      <c r="B196" s="5" t="s">
        <v>49</v>
      </c>
      <c r="C196" s="217">
        <f>'Default Spreads for Ratings'!C9</f>
        <v>520.56885620865364</v>
      </c>
    </row>
    <row r="197" spans="2:3">
      <c r="B197" s="5" t="s">
        <v>50</v>
      </c>
      <c r="C197" s="217">
        <f>'Default Spreads for Ratings'!C10</f>
        <v>636.36673805065868</v>
      </c>
    </row>
    <row r="198" spans="2:3">
      <c r="B198" s="5" t="s">
        <v>80</v>
      </c>
      <c r="C198" s="217">
        <f>'Default Spreads for Ratings'!C11</f>
        <v>752.16461989266384</v>
      </c>
    </row>
    <row r="199" spans="2:3">
      <c r="B199" s="5" t="s">
        <v>81</v>
      </c>
      <c r="C199" s="217">
        <f>'Default Spreads for Ratings'!C12</f>
        <v>288.97309252464339</v>
      </c>
    </row>
    <row r="200" spans="2:3">
      <c r="B200" s="5" t="s">
        <v>82</v>
      </c>
      <c r="C200" s="217">
        <f>'Default Spreads for Ratings'!C13</f>
        <v>347.39364552601529</v>
      </c>
    </row>
    <row r="201" spans="2:3">
      <c r="B201" s="5" t="s">
        <v>83</v>
      </c>
      <c r="C201" s="217">
        <f>'Default Spreads for Ratings'!C14</f>
        <v>416.24644013477513</v>
      </c>
    </row>
    <row r="202" spans="2:3">
      <c r="B202" s="5" t="s">
        <v>84</v>
      </c>
      <c r="C202" s="217">
        <f>'Default Spreads for Ratings'!C15</f>
        <v>184.65067645076491</v>
      </c>
    </row>
    <row r="203" spans="2:3">
      <c r="B203" s="5" t="s">
        <v>85</v>
      </c>
      <c r="C203" s="217">
        <f>'Default Spreads for Ratings'!C16</f>
        <v>220.12029791588358</v>
      </c>
    </row>
    <row r="204" spans="2:3">
      <c r="B204" s="5" t="s">
        <v>126</v>
      </c>
      <c r="C204" s="217">
        <f>'Default Spreads for Ratings'!C17</f>
        <v>254.54669522026347</v>
      </c>
    </row>
    <row r="205" spans="2:3">
      <c r="B205" s="8" t="s">
        <v>139</v>
      </c>
      <c r="C205" s="217">
        <v>1800</v>
      </c>
    </row>
    <row r="206" spans="2:3">
      <c r="B206" s="8" t="s">
        <v>356</v>
      </c>
      <c r="C206" s="217">
        <f>'Default Spreads for Ratings'!C18</f>
        <v>1387.4881337825836</v>
      </c>
    </row>
    <row r="207" spans="2:3">
      <c r="B207" s="205" t="s">
        <v>102</v>
      </c>
      <c r="C207" s="217">
        <f>'Default Spreads for Ratings'!C19</f>
        <v>866.91927757393012</v>
      </c>
    </row>
    <row r="208" spans="2:3">
      <c r="B208" s="8" t="s">
        <v>59</v>
      </c>
      <c r="C208" s="217">
        <f>'Default Spreads for Ratings'!C20</f>
        <v>1041.1377124173073</v>
      </c>
    </row>
    <row r="209" spans="2:3">
      <c r="B209" s="8" t="s">
        <v>63</v>
      </c>
      <c r="C209" s="217">
        <f>'Default Spreads for Ratings'!C21</f>
        <v>1155.8923700985736</v>
      </c>
    </row>
    <row r="210" spans="2:3">
      <c r="B210" s="8" t="s">
        <v>285</v>
      </c>
      <c r="C210" s="5" t="s">
        <v>145</v>
      </c>
    </row>
  </sheetData>
  <sortState ref="J9:K29">
    <sortCondition ref="J9:J29"/>
  </sortState>
  <mergeCells count="1">
    <mergeCell ref="A162:E162"/>
  </mergeCells>
  <phoneticPr fontId="7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20"/>
  <sheetViews>
    <sheetView workbookViewId="0">
      <selection activeCell="M20" sqref="M20"/>
    </sheetView>
  </sheetViews>
  <sheetFormatPr baseColWidth="10" defaultRowHeight="12"/>
  <cols>
    <col min="1" max="1" width="19.83203125" customWidth="1"/>
    <col min="6" max="6" width="20" customWidth="1"/>
  </cols>
  <sheetData>
    <row r="1" spans="1:11">
      <c r="A1" s="17"/>
      <c r="B1" s="17" t="s">
        <v>390</v>
      </c>
    </row>
    <row r="2" spans="1:11">
      <c r="A2" s="17" t="s">
        <v>391</v>
      </c>
      <c r="B2" s="115">
        <f>D17</f>
        <v>0.10966455577958606</v>
      </c>
      <c r="F2" t="s">
        <v>406</v>
      </c>
    </row>
    <row r="3" spans="1:11">
      <c r="A3" s="17" t="s">
        <v>392</v>
      </c>
      <c r="B3" s="115">
        <f>K16</f>
        <v>0.13398691511141281</v>
      </c>
      <c r="D3" t="s">
        <v>407</v>
      </c>
    </row>
    <row r="4" spans="1:11">
      <c r="A4" s="17" t="s">
        <v>393</v>
      </c>
      <c r="B4" s="116">
        <f>B3/B2</f>
        <v>1.2217887006327921</v>
      </c>
    </row>
    <row r="9" spans="1:11">
      <c r="A9" t="s">
        <v>378</v>
      </c>
      <c r="B9" t="s">
        <v>581</v>
      </c>
      <c r="G9" t="s">
        <v>378</v>
      </c>
      <c r="H9" t="s">
        <v>389</v>
      </c>
    </row>
    <row r="10" spans="1:11">
      <c r="A10" t="s">
        <v>261</v>
      </c>
      <c r="B10" t="s">
        <v>379</v>
      </c>
      <c r="G10" t="s">
        <v>261</v>
      </c>
      <c r="H10" t="s">
        <v>388</v>
      </c>
    </row>
    <row r="11" spans="1:11">
      <c r="B11" t="s">
        <v>408</v>
      </c>
      <c r="H11" t="s">
        <v>394</v>
      </c>
    </row>
    <row r="12" spans="1:11">
      <c r="A12" t="s">
        <v>380</v>
      </c>
      <c r="B12" t="s">
        <v>381</v>
      </c>
      <c r="G12" t="s">
        <v>380</v>
      </c>
      <c r="H12" t="s">
        <v>381</v>
      </c>
    </row>
    <row r="13" spans="1:11">
      <c r="A13" t="s">
        <v>382</v>
      </c>
      <c r="B13" t="s">
        <v>383</v>
      </c>
      <c r="G13" t="s">
        <v>382</v>
      </c>
      <c r="H13" t="s">
        <v>383</v>
      </c>
    </row>
    <row r="14" spans="1:11" ht="52">
      <c r="A14" s="105" t="s">
        <v>371</v>
      </c>
      <c r="B14" s="105" t="s">
        <v>372</v>
      </c>
      <c r="G14" s="110" t="s">
        <v>384</v>
      </c>
      <c r="H14" s="98" t="s">
        <v>409</v>
      </c>
      <c r="I14" s="98" t="s">
        <v>385</v>
      </c>
      <c r="J14" s="98"/>
      <c r="K14" s="98"/>
    </row>
    <row r="15" spans="1:11" ht="27">
      <c r="A15" s="106">
        <v>39994</v>
      </c>
      <c r="B15" s="107">
        <v>4.78</v>
      </c>
      <c r="C15" t="s">
        <v>373</v>
      </c>
      <c r="D15" s="108">
        <f>AVERAGE(B15:B1318)</f>
        <v>4.5046625766871191</v>
      </c>
      <c r="E15" t="s">
        <v>374</v>
      </c>
      <c r="G15" s="111">
        <v>39991</v>
      </c>
      <c r="H15" s="112">
        <v>360.94</v>
      </c>
      <c r="I15" s="114"/>
      <c r="J15" s="98" t="s">
        <v>386</v>
      </c>
      <c r="K15" s="113">
        <f>STDEV(I15:I1320)</f>
        <v>8.3095157271354456E-3</v>
      </c>
    </row>
    <row r="16" spans="1:11" ht="41" thickBot="1">
      <c r="A16" s="106">
        <v>39995</v>
      </c>
      <c r="B16" s="107">
        <v>4.7300000000000004</v>
      </c>
      <c r="C16" t="s">
        <v>375</v>
      </c>
      <c r="D16">
        <f>STDEV(B15:B1318)</f>
        <v>0.49400182040931845</v>
      </c>
      <c r="E16" t="s">
        <v>374</v>
      </c>
      <c r="G16" s="111">
        <v>39994</v>
      </c>
      <c r="H16" s="112">
        <v>361.86</v>
      </c>
      <c r="I16" s="114">
        <f t="shared" ref="I16:I78" si="0">H16/H15-1</f>
        <v>2.5489000941985029E-3</v>
      </c>
      <c r="J16" s="98" t="s">
        <v>387</v>
      </c>
      <c r="K16" s="113">
        <f>K15*(260^0.5)</f>
        <v>0.13398691511141281</v>
      </c>
    </row>
    <row r="17" spans="1:11" ht="17" thickBot="1">
      <c r="A17" s="106">
        <v>39996</v>
      </c>
      <c r="B17" s="107">
        <v>4.78</v>
      </c>
      <c r="C17" t="s">
        <v>376</v>
      </c>
      <c r="D17" s="109">
        <f>D16/D15</f>
        <v>0.10966455577958606</v>
      </c>
      <c r="E17" t="s">
        <v>377</v>
      </c>
      <c r="G17" s="111">
        <v>39995</v>
      </c>
      <c r="H17" s="112">
        <v>358.04</v>
      </c>
      <c r="I17" s="114">
        <f t="shared" si="0"/>
        <v>-1.0556568838777425E-2</v>
      </c>
      <c r="J17" s="98"/>
      <c r="K17" s="98"/>
    </row>
    <row r="18" spans="1:11" ht="16">
      <c r="A18" s="106">
        <v>39997</v>
      </c>
      <c r="B18" s="107">
        <v>4.7699999999999996</v>
      </c>
      <c r="G18" s="111">
        <v>39996</v>
      </c>
      <c r="H18" s="112">
        <v>351.13</v>
      </c>
      <c r="I18" s="114">
        <f t="shared" si="0"/>
        <v>-1.9299519606747917E-2</v>
      </c>
      <c r="J18" s="98"/>
      <c r="K18" s="98"/>
    </row>
    <row r="19" spans="1:11" ht="16">
      <c r="A19" s="106">
        <v>39998</v>
      </c>
      <c r="B19" s="107">
        <v>4.8600000000000003</v>
      </c>
      <c r="G19" s="111">
        <v>39997</v>
      </c>
      <c r="H19" s="112">
        <v>354.53</v>
      </c>
      <c r="I19" s="114">
        <f t="shared" si="0"/>
        <v>9.6830233816533884E-3</v>
      </c>
      <c r="J19" s="98"/>
      <c r="K19" s="98"/>
    </row>
    <row r="20" spans="1:11" ht="16">
      <c r="A20" s="106">
        <v>40001</v>
      </c>
      <c r="B20" s="107">
        <v>4.87</v>
      </c>
      <c r="G20" s="111">
        <v>39998</v>
      </c>
      <c r="H20" s="112">
        <v>353.28</v>
      </c>
      <c r="I20" s="114">
        <f t="shared" si="0"/>
        <v>-3.5257947141286161E-3</v>
      </c>
      <c r="J20" s="98"/>
      <c r="K20" s="98"/>
    </row>
    <row r="21" spans="1:11" ht="16">
      <c r="A21" s="106">
        <v>40002</v>
      </c>
      <c r="B21" s="107">
        <v>4.84</v>
      </c>
      <c r="G21" s="111">
        <v>40001</v>
      </c>
      <c r="H21" s="112">
        <v>349.64</v>
      </c>
      <c r="I21" s="114">
        <f t="shared" si="0"/>
        <v>-1.0303442028985477E-2</v>
      </c>
      <c r="J21" s="98"/>
      <c r="K21" s="98"/>
    </row>
    <row r="22" spans="1:11" ht="16">
      <c r="A22" s="106">
        <v>40003</v>
      </c>
      <c r="B22" s="107">
        <v>4.8499999999999996</v>
      </c>
      <c r="G22" s="111">
        <v>40002</v>
      </c>
      <c r="H22" s="112">
        <v>351.4</v>
      </c>
      <c r="I22" s="114">
        <f t="shared" si="0"/>
        <v>5.0337489989702444E-3</v>
      </c>
      <c r="J22" s="98"/>
      <c r="K22" s="98"/>
    </row>
    <row r="23" spans="1:11" ht="16">
      <c r="A23" s="106">
        <v>40004</v>
      </c>
      <c r="B23" s="107">
        <v>4.78</v>
      </c>
      <c r="G23" s="111">
        <v>40003</v>
      </c>
      <c r="H23" s="112">
        <v>352.24</v>
      </c>
      <c r="I23" s="114">
        <f t="shared" si="0"/>
        <v>2.3904382470121277E-3</v>
      </c>
      <c r="J23" s="98"/>
      <c r="K23" s="98"/>
    </row>
    <row r="24" spans="1:11" ht="16">
      <c r="A24" s="106">
        <v>40005</v>
      </c>
      <c r="B24" s="107">
        <v>4.76</v>
      </c>
      <c r="G24" s="111">
        <v>40004</v>
      </c>
      <c r="H24" s="112">
        <v>361.02</v>
      </c>
      <c r="I24" s="114">
        <f t="shared" si="0"/>
        <v>2.4926186690892527E-2</v>
      </c>
      <c r="J24" s="98"/>
      <c r="K24" s="98"/>
    </row>
    <row r="25" spans="1:11" ht="16">
      <c r="A25" s="106">
        <v>40008</v>
      </c>
      <c r="B25" s="107">
        <v>4.71</v>
      </c>
      <c r="G25" s="111">
        <v>40005</v>
      </c>
      <c r="H25" s="112">
        <v>362.55</v>
      </c>
      <c r="I25" s="114">
        <f t="shared" si="0"/>
        <v>4.2379923549942244E-3</v>
      </c>
      <c r="J25" s="98"/>
      <c r="K25" s="98"/>
    </row>
    <row r="26" spans="1:11" ht="16">
      <c r="A26" s="106">
        <v>40009</v>
      </c>
      <c r="B26" s="107">
        <v>4.6500000000000004</v>
      </c>
      <c r="G26" s="111">
        <v>40008</v>
      </c>
      <c r="H26" s="112">
        <v>365.73</v>
      </c>
      <c r="I26" s="114">
        <f t="shared" si="0"/>
        <v>8.7712039718659263E-3</v>
      </c>
      <c r="J26" s="98"/>
      <c r="K26" s="98"/>
    </row>
    <row r="27" spans="1:11" ht="16">
      <c r="A27" s="106">
        <v>40010</v>
      </c>
      <c r="B27" s="107">
        <v>4.5999999999999996</v>
      </c>
      <c r="G27" s="111">
        <v>40009</v>
      </c>
      <c r="H27" s="112">
        <v>366.62</v>
      </c>
      <c r="I27" s="114">
        <f t="shared" si="0"/>
        <v>2.4334891860116059E-3</v>
      </c>
      <c r="J27" s="98"/>
      <c r="K27" s="98"/>
    </row>
    <row r="28" spans="1:11" ht="16">
      <c r="A28" s="106">
        <v>40011</v>
      </c>
      <c r="B28" s="107">
        <v>4.53</v>
      </c>
      <c r="G28" s="111">
        <v>40010</v>
      </c>
      <c r="H28" s="112">
        <v>368.7</v>
      </c>
      <c r="I28" s="114">
        <f t="shared" si="0"/>
        <v>5.6734493480987691E-3</v>
      </c>
      <c r="J28" s="98"/>
      <c r="K28" s="98"/>
    </row>
    <row r="29" spans="1:11" ht="16">
      <c r="A29" s="106">
        <v>40012</v>
      </c>
      <c r="B29" s="107">
        <v>4.5</v>
      </c>
      <c r="G29" s="111">
        <v>40011</v>
      </c>
      <c r="H29" s="112">
        <v>369.1</v>
      </c>
      <c r="I29" s="114">
        <f t="shared" si="0"/>
        <v>1.0848928668294455E-3</v>
      </c>
      <c r="J29" s="98"/>
      <c r="K29" s="98"/>
    </row>
    <row r="30" spans="1:11" ht="16">
      <c r="A30" s="106">
        <v>40015</v>
      </c>
      <c r="B30" s="107">
        <v>4.46</v>
      </c>
      <c r="G30" s="111">
        <v>40012</v>
      </c>
      <c r="H30" s="112">
        <v>366.39</v>
      </c>
      <c r="I30" s="114">
        <f t="shared" si="0"/>
        <v>-7.3421836900570137E-3</v>
      </c>
      <c r="J30" s="98"/>
      <c r="K30" s="98"/>
    </row>
    <row r="31" spans="1:11" ht="16">
      <c r="A31" s="106">
        <v>40016</v>
      </c>
      <c r="B31" s="107">
        <v>4.46</v>
      </c>
      <c r="G31" s="111">
        <v>40015</v>
      </c>
      <c r="H31" s="112">
        <v>367.81</v>
      </c>
      <c r="I31" s="114">
        <f t="shared" si="0"/>
        <v>3.8756516280467057E-3</v>
      </c>
      <c r="J31" s="98"/>
      <c r="K31" s="98"/>
    </row>
    <row r="32" spans="1:11" ht="16">
      <c r="A32" s="106">
        <v>40017</v>
      </c>
      <c r="B32" s="107">
        <v>4.51</v>
      </c>
      <c r="G32" s="111">
        <v>40016</v>
      </c>
      <c r="H32" s="112">
        <v>373.02</v>
      </c>
      <c r="I32" s="114">
        <f t="shared" si="0"/>
        <v>1.4164922106522315E-2</v>
      </c>
      <c r="J32" s="98"/>
      <c r="K32" s="98"/>
    </row>
    <row r="33" spans="1:11" ht="16">
      <c r="A33" s="106">
        <v>40018</v>
      </c>
      <c r="B33" s="107">
        <v>4.54</v>
      </c>
      <c r="G33" s="111">
        <v>40017</v>
      </c>
      <c r="H33" s="112">
        <v>371.67</v>
      </c>
      <c r="I33" s="114">
        <f t="shared" si="0"/>
        <v>-3.6191088949653061E-3</v>
      </c>
      <c r="J33" s="98"/>
      <c r="K33" s="98"/>
    </row>
    <row r="34" spans="1:11" ht="16">
      <c r="A34" s="106">
        <v>40019</v>
      </c>
      <c r="B34" s="107">
        <v>4.53</v>
      </c>
      <c r="G34" s="111">
        <v>40018</v>
      </c>
      <c r="H34" s="112">
        <v>370.53</v>
      </c>
      <c r="I34" s="114">
        <f t="shared" si="0"/>
        <v>-3.0672370651385616E-3</v>
      </c>
      <c r="J34" s="98"/>
      <c r="K34" s="98"/>
    </row>
    <row r="35" spans="1:11" ht="16">
      <c r="A35" s="106">
        <v>40022</v>
      </c>
      <c r="B35" s="107">
        <v>4.54</v>
      </c>
      <c r="G35" s="111">
        <v>40019</v>
      </c>
      <c r="H35" s="112">
        <v>369.85</v>
      </c>
      <c r="I35" s="114">
        <f t="shared" si="0"/>
        <v>-1.8352090249100783E-3</v>
      </c>
      <c r="J35" s="98"/>
      <c r="K35" s="98"/>
    </row>
    <row r="36" spans="1:11" ht="16">
      <c r="A36" s="106">
        <v>40023</v>
      </c>
      <c r="B36" s="107">
        <v>4.55</v>
      </c>
      <c r="G36" s="111">
        <v>40022</v>
      </c>
      <c r="H36" s="112">
        <v>366.77</v>
      </c>
      <c r="I36" s="114">
        <f t="shared" si="0"/>
        <v>-8.3277004190889237E-3</v>
      </c>
      <c r="J36" s="98"/>
      <c r="K36" s="98"/>
    </row>
    <row r="37" spans="1:11" ht="16">
      <c r="A37" s="106">
        <v>40024</v>
      </c>
      <c r="B37" s="107">
        <v>4.6399999999999997</v>
      </c>
      <c r="G37" s="111">
        <v>40023</v>
      </c>
      <c r="H37" s="112">
        <v>366.11</v>
      </c>
      <c r="I37" s="114">
        <f t="shared" si="0"/>
        <v>-1.7994928701909885E-3</v>
      </c>
      <c r="J37" s="98"/>
      <c r="K37" s="98"/>
    </row>
    <row r="38" spans="1:11" ht="16">
      <c r="A38" s="106">
        <v>40025</v>
      </c>
      <c r="B38" s="107">
        <v>4.67</v>
      </c>
      <c r="G38" s="111">
        <v>40024</v>
      </c>
      <c r="H38" s="112">
        <v>363.95</v>
      </c>
      <c r="I38" s="114">
        <f t="shared" si="0"/>
        <v>-5.8998661604436897E-3</v>
      </c>
      <c r="J38" s="98"/>
      <c r="K38" s="98"/>
    </row>
    <row r="39" spans="1:11" ht="16">
      <c r="A39" s="106">
        <v>40026</v>
      </c>
      <c r="B39" s="107">
        <v>4.6399999999999997</v>
      </c>
      <c r="G39" s="111">
        <v>40025</v>
      </c>
      <c r="H39" s="112">
        <v>367.02</v>
      </c>
      <c r="I39" s="114">
        <f t="shared" si="0"/>
        <v>8.4352246187662239E-3</v>
      </c>
      <c r="J39" s="98"/>
      <c r="K39" s="98"/>
    </row>
    <row r="40" spans="1:11" ht="16">
      <c r="A40" s="106">
        <v>40029</v>
      </c>
      <c r="B40" s="107">
        <v>4.63</v>
      </c>
      <c r="G40" s="111">
        <v>40026</v>
      </c>
      <c r="H40" s="112">
        <v>367.49</v>
      </c>
      <c r="I40" s="114">
        <f t="shared" si="0"/>
        <v>1.2805841643508398E-3</v>
      </c>
      <c r="J40" s="98"/>
      <c r="K40" s="98"/>
    </row>
    <row r="41" spans="1:11" ht="16">
      <c r="A41" s="106">
        <v>40030</v>
      </c>
      <c r="B41" s="107">
        <v>4.63</v>
      </c>
      <c r="G41" s="111">
        <v>40029</v>
      </c>
      <c r="H41" s="112">
        <v>367.8</v>
      </c>
      <c r="I41" s="114">
        <f t="shared" si="0"/>
        <v>8.4356036898958209E-4</v>
      </c>
      <c r="J41" s="98"/>
      <c r="K41" s="98"/>
    </row>
    <row r="42" spans="1:11" ht="16">
      <c r="A42" s="106">
        <v>40031</v>
      </c>
      <c r="B42" s="107">
        <v>4.63</v>
      </c>
      <c r="G42" s="111">
        <v>40030</v>
      </c>
      <c r="H42" s="112">
        <v>364.1</v>
      </c>
      <c r="I42" s="114">
        <f t="shared" si="0"/>
        <v>-1.0059815116911341E-2</v>
      </c>
      <c r="J42" s="98"/>
      <c r="K42" s="98"/>
    </row>
    <row r="43" spans="1:11" ht="16">
      <c r="A43" s="106">
        <v>40032</v>
      </c>
      <c r="B43" s="107">
        <v>4.6100000000000003</v>
      </c>
      <c r="G43" s="111">
        <v>40031</v>
      </c>
      <c r="H43" s="112">
        <v>361.96</v>
      </c>
      <c r="I43" s="114">
        <f t="shared" si="0"/>
        <v>-5.8775061796211281E-3</v>
      </c>
      <c r="J43" s="98"/>
      <c r="K43" s="98"/>
    </row>
    <row r="44" spans="1:11" ht="16">
      <c r="A44" s="106">
        <v>40033</v>
      </c>
      <c r="B44" s="107">
        <v>4.5999999999999996</v>
      </c>
      <c r="G44" s="111">
        <v>40032</v>
      </c>
      <c r="H44" s="112">
        <v>365.36</v>
      </c>
      <c r="I44" s="114">
        <f t="shared" si="0"/>
        <v>9.393303127417596E-3</v>
      </c>
      <c r="J44" s="98"/>
      <c r="K44" s="98"/>
    </row>
    <row r="45" spans="1:11" ht="16">
      <c r="A45" s="106">
        <v>40036</v>
      </c>
      <c r="B45" s="107">
        <v>4.5999999999999996</v>
      </c>
      <c r="G45" s="111">
        <v>40033</v>
      </c>
      <c r="H45" s="112">
        <v>367.49</v>
      </c>
      <c r="I45" s="114">
        <f t="shared" si="0"/>
        <v>5.8298664331071226E-3</v>
      </c>
      <c r="J45" s="98"/>
      <c r="K45" s="98"/>
    </row>
    <row r="46" spans="1:11" ht="16">
      <c r="A46" s="106">
        <v>40037</v>
      </c>
      <c r="B46" s="107">
        <v>4.63</v>
      </c>
      <c r="G46" s="111">
        <v>40036</v>
      </c>
      <c r="H46" s="112">
        <v>370.03</v>
      </c>
      <c r="I46" s="114">
        <f t="shared" si="0"/>
        <v>6.911752700753615E-3</v>
      </c>
      <c r="J46" s="98"/>
      <c r="K46" s="98"/>
    </row>
    <row r="47" spans="1:11" ht="16">
      <c r="A47" s="106">
        <v>40038</v>
      </c>
      <c r="B47" s="107">
        <v>4.6399999999999997</v>
      </c>
      <c r="G47" s="111">
        <v>40037</v>
      </c>
      <c r="H47" s="112">
        <v>372.4</v>
      </c>
      <c r="I47" s="114">
        <f t="shared" si="0"/>
        <v>6.4048860903169746E-3</v>
      </c>
      <c r="J47" s="98"/>
      <c r="K47" s="98"/>
    </row>
    <row r="48" spans="1:11" ht="16">
      <c r="A48" s="106">
        <v>40039</v>
      </c>
      <c r="B48" s="107">
        <v>4.6900000000000004</v>
      </c>
      <c r="G48" s="111">
        <v>40038</v>
      </c>
      <c r="H48" s="112">
        <v>372.91</v>
      </c>
      <c r="I48" s="114">
        <f t="shared" si="0"/>
        <v>1.3694951664877664E-3</v>
      </c>
      <c r="J48" s="98"/>
      <c r="K48" s="98"/>
    </row>
    <row r="49" spans="1:11" ht="16">
      <c r="A49" s="106">
        <v>40040</v>
      </c>
      <c r="B49" s="107">
        <v>4.71</v>
      </c>
      <c r="G49" s="111">
        <v>40039</v>
      </c>
      <c r="H49" s="112">
        <v>369.61</v>
      </c>
      <c r="I49" s="114">
        <f t="shared" si="0"/>
        <v>-8.8493202113110181E-3</v>
      </c>
      <c r="J49" s="98"/>
      <c r="K49" s="98"/>
    </row>
    <row r="50" spans="1:11" ht="16">
      <c r="A50" s="106">
        <v>40043</v>
      </c>
      <c r="B50" s="107">
        <v>4.79</v>
      </c>
      <c r="G50" s="111">
        <v>40040</v>
      </c>
      <c r="H50" s="112">
        <v>368.52</v>
      </c>
      <c r="I50" s="114">
        <f t="shared" si="0"/>
        <v>-2.9490544087011905E-3</v>
      </c>
      <c r="J50" s="98"/>
      <c r="K50" s="98"/>
    </row>
    <row r="51" spans="1:11" ht="16">
      <c r="A51" s="106">
        <v>40044</v>
      </c>
      <c r="B51" s="107">
        <v>4.82</v>
      </c>
      <c r="G51" s="111">
        <v>40043</v>
      </c>
      <c r="H51" s="112">
        <v>363.05</v>
      </c>
      <c r="I51" s="114">
        <f t="shared" si="0"/>
        <v>-1.4843156409421354E-2</v>
      </c>
      <c r="J51" s="98"/>
      <c r="K51" s="98"/>
    </row>
    <row r="52" spans="1:11" ht="16">
      <c r="A52" s="106">
        <v>40045</v>
      </c>
      <c r="B52" s="107">
        <v>4.87</v>
      </c>
      <c r="G52" s="111">
        <v>40044</v>
      </c>
      <c r="H52" s="112">
        <v>358.55</v>
      </c>
      <c r="I52" s="114">
        <f t="shared" si="0"/>
        <v>-1.2394986916402728E-2</v>
      </c>
      <c r="J52" s="98"/>
      <c r="K52" s="98"/>
    </row>
    <row r="53" spans="1:11" ht="16">
      <c r="A53" s="106">
        <v>40046</v>
      </c>
      <c r="B53" s="107">
        <v>4.92</v>
      </c>
      <c r="G53" s="111">
        <v>40045</v>
      </c>
      <c r="H53" s="112">
        <v>355.65</v>
      </c>
      <c r="I53" s="114">
        <f t="shared" si="0"/>
        <v>-8.0881327569377603E-3</v>
      </c>
      <c r="J53" s="98"/>
      <c r="K53" s="98"/>
    </row>
    <row r="54" spans="1:11" ht="16">
      <c r="A54" s="106">
        <v>40047</v>
      </c>
      <c r="B54" s="107">
        <v>4.88</v>
      </c>
      <c r="G54" s="111">
        <v>40046</v>
      </c>
      <c r="H54" s="112">
        <v>355.51</v>
      </c>
      <c r="I54" s="114">
        <f t="shared" si="0"/>
        <v>-3.936454379305232E-4</v>
      </c>
      <c r="J54" s="98"/>
      <c r="K54" s="98"/>
    </row>
    <row r="55" spans="1:11" ht="16">
      <c r="A55" s="106">
        <v>40050</v>
      </c>
      <c r="B55" s="107">
        <v>4.87</v>
      </c>
      <c r="G55" s="111">
        <v>40047</v>
      </c>
      <c r="H55" s="112">
        <v>358.95</v>
      </c>
      <c r="I55" s="114">
        <f t="shared" si="0"/>
        <v>9.6762397682204071E-3</v>
      </c>
      <c r="J55" s="98"/>
      <c r="K55" s="98"/>
    </row>
    <row r="56" spans="1:11" ht="16">
      <c r="A56" s="106">
        <v>40051</v>
      </c>
      <c r="B56" s="107">
        <v>4.8600000000000003</v>
      </c>
      <c r="G56" s="111">
        <v>40050</v>
      </c>
      <c r="H56" s="112">
        <v>358.17</v>
      </c>
      <c r="I56" s="114">
        <f t="shared" si="0"/>
        <v>-2.1730045967404132E-3</v>
      </c>
      <c r="J56" s="98"/>
      <c r="K56" s="98"/>
    </row>
    <row r="57" spans="1:11" ht="16">
      <c r="A57" s="106">
        <v>40052</v>
      </c>
      <c r="B57" s="107">
        <v>4.9000000000000004</v>
      </c>
      <c r="G57" s="111">
        <v>40051</v>
      </c>
      <c r="H57" s="112">
        <v>350.31</v>
      </c>
      <c r="I57" s="114">
        <f t="shared" si="0"/>
        <v>-2.1944886506407579E-2</v>
      </c>
      <c r="J57" s="98"/>
      <c r="K57" s="98"/>
    </row>
    <row r="58" spans="1:11" ht="16">
      <c r="A58" s="106">
        <v>40053</v>
      </c>
      <c r="B58" s="107">
        <v>4.91</v>
      </c>
      <c r="G58" s="111">
        <v>40052</v>
      </c>
      <c r="H58" s="112">
        <v>347.8</v>
      </c>
      <c r="I58" s="114">
        <f t="shared" si="0"/>
        <v>-7.1650823556278498E-3</v>
      </c>
      <c r="J58" s="98"/>
      <c r="K58" s="98"/>
    </row>
    <row r="59" spans="1:11" ht="16">
      <c r="A59" s="106">
        <v>40057</v>
      </c>
      <c r="B59" s="107">
        <v>4.96</v>
      </c>
      <c r="G59" s="111">
        <v>40053</v>
      </c>
      <c r="H59" s="112">
        <v>351.45</v>
      </c>
      <c r="I59" s="114">
        <f t="shared" si="0"/>
        <v>1.0494537090281808E-2</v>
      </c>
      <c r="J59" s="98"/>
      <c r="K59" s="98"/>
    </row>
    <row r="60" spans="1:11" ht="16">
      <c r="A60" s="106">
        <v>40058</v>
      </c>
      <c r="B60" s="107">
        <v>5</v>
      </c>
      <c r="G60" s="111">
        <v>40054</v>
      </c>
      <c r="H60" s="112">
        <v>354.17</v>
      </c>
      <c r="I60" s="114">
        <f t="shared" si="0"/>
        <v>7.7393654858444183E-3</v>
      </c>
      <c r="J60" s="98"/>
      <c r="K60" s="98"/>
    </row>
    <row r="61" spans="1:11" ht="16">
      <c r="A61" s="106">
        <v>40059</v>
      </c>
      <c r="B61" s="107">
        <v>5.04</v>
      </c>
      <c r="G61" s="111">
        <v>40057</v>
      </c>
      <c r="H61" s="112">
        <v>357.74</v>
      </c>
      <c r="I61" s="114">
        <f t="shared" si="0"/>
        <v>1.0079905130304656E-2</v>
      </c>
      <c r="J61" s="98"/>
      <c r="K61" s="98"/>
    </row>
    <row r="62" spans="1:11" ht="16">
      <c r="A62" s="106">
        <v>40060</v>
      </c>
      <c r="B62" s="107">
        <v>5.09</v>
      </c>
      <c r="G62" s="111">
        <v>40058</v>
      </c>
      <c r="H62" s="112">
        <v>355.84</v>
      </c>
      <c r="I62" s="114">
        <f t="shared" si="0"/>
        <v>-5.3111198076816191E-3</v>
      </c>
      <c r="J62" s="98"/>
      <c r="K62" s="98"/>
    </row>
    <row r="63" spans="1:11" ht="16">
      <c r="A63" s="106">
        <v>40061</v>
      </c>
      <c r="B63" s="107">
        <v>5.05</v>
      </c>
      <c r="G63" s="111">
        <v>40059</v>
      </c>
      <c r="H63" s="112">
        <v>357.46</v>
      </c>
      <c r="I63" s="114">
        <f t="shared" si="0"/>
        <v>4.5526079136690711E-3</v>
      </c>
      <c r="J63" s="98"/>
      <c r="K63" s="98"/>
    </row>
    <row r="64" spans="1:11" ht="16">
      <c r="A64" s="106">
        <v>40064</v>
      </c>
      <c r="B64" s="107">
        <v>5</v>
      </c>
      <c r="G64" s="111">
        <v>40060</v>
      </c>
      <c r="H64" s="112">
        <v>361.47</v>
      </c>
      <c r="I64" s="114">
        <f t="shared" si="0"/>
        <v>1.1218038381916928E-2</v>
      </c>
      <c r="J64" s="98"/>
      <c r="K64" s="98"/>
    </row>
    <row r="65" spans="1:11" ht="16">
      <c r="A65" s="106">
        <v>40065</v>
      </c>
      <c r="B65" s="107">
        <v>5.01</v>
      </c>
      <c r="G65" s="111">
        <v>40061</v>
      </c>
      <c r="H65" s="112">
        <v>364.64</v>
      </c>
      <c r="I65" s="114">
        <f t="shared" si="0"/>
        <v>8.7697457603672646E-3</v>
      </c>
      <c r="J65" s="98"/>
      <c r="K65" s="98"/>
    </row>
    <row r="66" spans="1:11" ht="16">
      <c r="A66" s="106">
        <v>40066</v>
      </c>
      <c r="B66" s="107">
        <v>4.97</v>
      </c>
      <c r="G66" s="111">
        <v>40064</v>
      </c>
      <c r="H66" s="112">
        <v>371.01</v>
      </c>
      <c r="I66" s="114">
        <f t="shared" si="0"/>
        <v>1.7469284774023652E-2</v>
      </c>
      <c r="J66" s="98"/>
      <c r="K66" s="98"/>
    </row>
    <row r="67" spans="1:11" ht="16">
      <c r="A67" s="106">
        <v>40067</v>
      </c>
      <c r="B67" s="107">
        <v>4.93</v>
      </c>
      <c r="G67" s="111">
        <v>40065</v>
      </c>
      <c r="H67" s="112">
        <v>377.47</v>
      </c>
      <c r="I67" s="114">
        <f t="shared" si="0"/>
        <v>1.7411929597584974E-2</v>
      </c>
      <c r="J67" s="98"/>
      <c r="K67" s="98"/>
    </row>
    <row r="68" spans="1:11" ht="16">
      <c r="A68" s="106">
        <v>40068</v>
      </c>
      <c r="B68" s="107">
        <v>4.92</v>
      </c>
      <c r="G68" s="111">
        <v>40066</v>
      </c>
      <c r="H68" s="112">
        <v>377.97</v>
      </c>
      <c r="I68" s="114">
        <f t="shared" si="0"/>
        <v>1.3246085781650763E-3</v>
      </c>
      <c r="J68" s="98"/>
      <c r="K68" s="98"/>
    </row>
    <row r="69" spans="1:11" ht="16">
      <c r="A69" s="106">
        <v>40071</v>
      </c>
      <c r="B69" s="107">
        <v>4.84</v>
      </c>
      <c r="G69" s="111">
        <v>40067</v>
      </c>
      <c r="H69" s="112">
        <v>377.53</v>
      </c>
      <c r="I69" s="114">
        <f t="shared" si="0"/>
        <v>-1.1641135539859349E-3</v>
      </c>
      <c r="J69" s="98"/>
      <c r="K69" s="98"/>
    </row>
    <row r="70" spans="1:11" ht="16">
      <c r="A70" s="106">
        <v>40072</v>
      </c>
      <c r="B70" s="107">
        <v>4.83</v>
      </c>
      <c r="G70" s="111">
        <v>40068</v>
      </c>
      <c r="H70" s="112">
        <v>376.44</v>
      </c>
      <c r="I70" s="114">
        <f t="shared" si="0"/>
        <v>-2.8871877731569962E-3</v>
      </c>
      <c r="J70" s="98"/>
      <c r="K70" s="98"/>
    </row>
    <row r="71" spans="1:11" ht="16">
      <c r="A71" s="106">
        <v>40073</v>
      </c>
      <c r="B71" s="107">
        <v>4.75</v>
      </c>
      <c r="G71" s="111">
        <v>40071</v>
      </c>
      <c r="H71" s="112">
        <v>381.77</v>
      </c>
      <c r="I71" s="114">
        <f t="shared" si="0"/>
        <v>1.4158962915736817E-2</v>
      </c>
      <c r="J71" s="98"/>
      <c r="K71" s="98"/>
    </row>
    <row r="72" spans="1:11" ht="16">
      <c r="A72" s="106">
        <v>40074</v>
      </c>
      <c r="B72" s="107">
        <v>4.63</v>
      </c>
      <c r="G72" s="111">
        <v>40072</v>
      </c>
      <c r="H72" s="112">
        <v>382.42</v>
      </c>
      <c r="I72" s="114">
        <f t="shared" si="0"/>
        <v>1.7025958037562017E-3</v>
      </c>
      <c r="J72" s="98"/>
      <c r="K72" s="98"/>
    </row>
    <row r="73" spans="1:11" ht="16">
      <c r="A73" s="106">
        <v>40075</v>
      </c>
      <c r="B73" s="107">
        <v>4.63</v>
      </c>
      <c r="G73" s="111">
        <v>40073</v>
      </c>
      <c r="H73" s="112">
        <v>382.26</v>
      </c>
      <c r="I73" s="114">
        <f t="shared" si="0"/>
        <v>-4.1838815961514619E-4</v>
      </c>
      <c r="J73" s="98"/>
      <c r="K73" s="98"/>
    </row>
    <row r="74" spans="1:11" ht="16">
      <c r="A74" s="106">
        <v>40078</v>
      </c>
      <c r="B74" s="107">
        <v>4.63</v>
      </c>
      <c r="G74" s="111">
        <v>40074</v>
      </c>
      <c r="H74" s="112">
        <v>391.66</v>
      </c>
      <c r="I74" s="114">
        <f t="shared" si="0"/>
        <v>2.4590592790247667E-2</v>
      </c>
      <c r="J74" s="98"/>
      <c r="K74" s="98"/>
    </row>
    <row r="75" spans="1:11" ht="16">
      <c r="A75" s="106">
        <v>40079</v>
      </c>
      <c r="B75" s="107">
        <v>4.6500000000000004</v>
      </c>
      <c r="G75" s="111">
        <v>40075</v>
      </c>
      <c r="H75" s="112">
        <v>387.6</v>
      </c>
      <c r="I75" s="114">
        <f t="shared" si="0"/>
        <v>-1.0366133891640761E-2</v>
      </c>
      <c r="J75" s="98"/>
      <c r="K75" s="98"/>
    </row>
    <row r="76" spans="1:11" ht="16">
      <c r="A76" s="106">
        <v>40080</v>
      </c>
      <c r="B76" s="107">
        <v>4.6500000000000004</v>
      </c>
      <c r="G76" s="111">
        <v>40078</v>
      </c>
      <c r="H76" s="112">
        <v>387.83</v>
      </c>
      <c r="I76" s="114">
        <f t="shared" si="0"/>
        <v>5.9339525283785832E-4</v>
      </c>
      <c r="J76" s="98"/>
      <c r="K76" s="98"/>
    </row>
    <row r="77" spans="1:11" ht="16">
      <c r="A77" s="106">
        <v>40081</v>
      </c>
      <c r="B77" s="107">
        <v>4.68</v>
      </c>
      <c r="G77" s="111">
        <v>40079</v>
      </c>
      <c r="H77" s="112">
        <v>385.76</v>
      </c>
      <c r="I77" s="114">
        <f t="shared" si="0"/>
        <v>-5.3373900935976826E-3</v>
      </c>
      <c r="J77" s="98"/>
      <c r="K77" s="98"/>
    </row>
    <row r="78" spans="1:11" ht="16">
      <c r="A78" s="106">
        <v>40082</v>
      </c>
      <c r="B78" s="107">
        <v>4.68</v>
      </c>
      <c r="G78" s="111">
        <v>40080</v>
      </c>
      <c r="H78" s="112">
        <v>385.51</v>
      </c>
      <c r="I78" s="114">
        <f t="shared" si="0"/>
        <v>-6.4807133969302377E-4</v>
      </c>
      <c r="J78" s="98"/>
      <c r="K78" s="98"/>
    </row>
    <row r="79" spans="1:11" ht="16">
      <c r="A79" s="106">
        <v>40085</v>
      </c>
      <c r="B79" s="107">
        <v>4.74</v>
      </c>
      <c r="G79" s="111">
        <v>40081</v>
      </c>
      <c r="H79" s="112">
        <v>383.61</v>
      </c>
      <c r="I79" s="114">
        <f t="shared" ref="I79:I142" si="1">H79/H78-1</f>
        <v>-4.928536224741209E-3</v>
      </c>
      <c r="J79" s="98"/>
      <c r="K79" s="98"/>
    </row>
    <row r="80" spans="1:11" ht="16">
      <c r="A80" s="106">
        <v>40086</v>
      </c>
      <c r="B80" s="107">
        <v>4.75</v>
      </c>
      <c r="G80" s="111">
        <v>40082</v>
      </c>
      <c r="H80" s="112">
        <v>382.14</v>
      </c>
      <c r="I80" s="114">
        <f t="shared" si="1"/>
        <v>-3.8320168921561759E-3</v>
      </c>
      <c r="J80" s="98"/>
      <c r="K80" s="98"/>
    </row>
    <row r="81" spans="1:11" ht="16">
      <c r="A81" s="106">
        <v>40087</v>
      </c>
      <c r="B81" s="107">
        <v>4.75</v>
      </c>
      <c r="G81" s="111">
        <v>40085</v>
      </c>
      <c r="H81" s="112">
        <v>377.97</v>
      </c>
      <c r="I81" s="114">
        <f t="shared" si="1"/>
        <v>-1.0912231119484916E-2</v>
      </c>
      <c r="J81" s="98"/>
      <c r="K81" s="98"/>
    </row>
    <row r="82" spans="1:11" ht="16">
      <c r="A82" s="106">
        <v>40088</v>
      </c>
      <c r="B82" s="107">
        <v>4.74</v>
      </c>
      <c r="G82" s="111">
        <v>40086</v>
      </c>
      <c r="H82" s="112">
        <v>381.64</v>
      </c>
      <c r="I82" s="114">
        <f t="shared" si="1"/>
        <v>9.7097653252902205E-3</v>
      </c>
      <c r="J82" s="98"/>
      <c r="K82" s="98"/>
    </row>
    <row r="83" spans="1:11" ht="16">
      <c r="A83" s="106">
        <v>40089</v>
      </c>
      <c r="B83" s="107">
        <v>4.74</v>
      </c>
      <c r="G83" s="111">
        <v>40087</v>
      </c>
      <c r="H83" s="112">
        <v>382.38</v>
      </c>
      <c r="I83" s="114">
        <f t="shared" si="1"/>
        <v>1.9390001048107397E-3</v>
      </c>
      <c r="J83" s="98"/>
      <c r="K83" s="98"/>
    </row>
    <row r="84" spans="1:11" ht="16">
      <c r="A84" s="106">
        <v>40092</v>
      </c>
      <c r="B84" s="107">
        <v>4.7300000000000004</v>
      </c>
      <c r="G84" s="111">
        <v>40088</v>
      </c>
      <c r="H84" s="112">
        <v>385.44</v>
      </c>
      <c r="I84" s="114">
        <f t="shared" si="1"/>
        <v>8.0025105915582095E-3</v>
      </c>
      <c r="J84" s="98"/>
      <c r="K84" s="98"/>
    </row>
    <row r="85" spans="1:11" ht="16">
      <c r="A85" s="106">
        <v>40093</v>
      </c>
      <c r="B85" s="107">
        <v>4.7300000000000004</v>
      </c>
      <c r="G85" s="111">
        <v>40089</v>
      </c>
      <c r="H85" s="112">
        <v>386.78</v>
      </c>
      <c r="I85" s="114">
        <f t="shared" si="1"/>
        <v>3.4765462847654582E-3</v>
      </c>
      <c r="J85" s="98"/>
      <c r="K85" s="98"/>
    </row>
    <row r="86" spans="1:11" ht="16">
      <c r="A86" s="106">
        <v>40094</v>
      </c>
      <c r="B86" s="107">
        <v>4.7300000000000004</v>
      </c>
      <c r="G86" s="111">
        <v>40092</v>
      </c>
      <c r="H86" s="112">
        <v>385.53</v>
      </c>
      <c r="I86" s="114">
        <f t="shared" si="1"/>
        <v>-3.2318113656342184E-3</v>
      </c>
      <c r="J86" s="98"/>
      <c r="K86" s="98"/>
    </row>
    <row r="87" spans="1:11" ht="16">
      <c r="A87" s="106">
        <v>40095</v>
      </c>
      <c r="B87" s="107">
        <v>4.71</v>
      </c>
      <c r="G87" s="111">
        <v>40093</v>
      </c>
      <c r="H87" s="112">
        <v>386.42</v>
      </c>
      <c r="I87" s="114">
        <f t="shared" si="1"/>
        <v>2.3085103623583514E-3</v>
      </c>
      <c r="J87" s="98"/>
      <c r="K87" s="98"/>
    </row>
    <row r="88" spans="1:11" ht="16">
      <c r="A88" s="106">
        <v>40096</v>
      </c>
      <c r="B88" s="107">
        <v>4.68</v>
      </c>
      <c r="G88" s="111">
        <v>40094</v>
      </c>
      <c r="H88" s="112">
        <v>385.14</v>
      </c>
      <c r="I88" s="114">
        <f t="shared" si="1"/>
        <v>-3.3124579473112759E-3</v>
      </c>
      <c r="J88" s="98"/>
      <c r="K88" s="98"/>
    </row>
    <row r="89" spans="1:11" ht="16">
      <c r="A89" s="106">
        <v>40099</v>
      </c>
      <c r="B89" s="107">
        <v>4.68</v>
      </c>
      <c r="G89" s="111">
        <v>40095</v>
      </c>
      <c r="H89" s="112">
        <v>389.06</v>
      </c>
      <c r="I89" s="114">
        <f t="shared" si="1"/>
        <v>1.0178117048346147E-2</v>
      </c>
      <c r="J89" s="98"/>
      <c r="K89" s="98"/>
    </row>
    <row r="90" spans="1:11" ht="16">
      <c r="A90" s="106">
        <v>40100</v>
      </c>
      <c r="B90" s="107">
        <v>4.67</v>
      </c>
      <c r="G90" s="111">
        <v>40096</v>
      </c>
      <c r="H90" s="112">
        <v>392.01</v>
      </c>
      <c r="I90" s="114">
        <f t="shared" si="1"/>
        <v>7.5823780393768914E-3</v>
      </c>
      <c r="J90" s="98"/>
      <c r="K90" s="98"/>
    </row>
    <row r="91" spans="1:11" ht="16">
      <c r="A91" s="106">
        <v>40101</v>
      </c>
      <c r="B91" s="107">
        <v>4.63</v>
      </c>
      <c r="G91" s="111">
        <v>40099</v>
      </c>
      <c r="H91" s="112">
        <v>391.68</v>
      </c>
      <c r="I91" s="114">
        <f t="shared" si="1"/>
        <v>-8.4181525981474881E-4</v>
      </c>
      <c r="J91" s="98"/>
      <c r="K91" s="98"/>
    </row>
    <row r="92" spans="1:11" ht="16">
      <c r="A92" s="106">
        <v>40102</v>
      </c>
      <c r="B92" s="107">
        <v>4.5599999999999996</v>
      </c>
      <c r="G92" s="111">
        <v>40100</v>
      </c>
      <c r="H92" s="112">
        <v>393.37</v>
      </c>
      <c r="I92" s="114">
        <f t="shared" si="1"/>
        <v>4.3147467320261423E-3</v>
      </c>
      <c r="J92" s="98"/>
      <c r="K92" s="98"/>
    </row>
    <row r="93" spans="1:11" ht="16">
      <c r="A93" s="106">
        <v>40103</v>
      </c>
      <c r="B93" s="107">
        <v>4.5</v>
      </c>
      <c r="G93" s="111">
        <v>40101</v>
      </c>
      <c r="H93" s="112">
        <v>394.24</v>
      </c>
      <c r="I93" s="114">
        <f t="shared" si="1"/>
        <v>2.2116582352491587E-3</v>
      </c>
      <c r="J93" s="98"/>
      <c r="K93" s="98"/>
    </row>
    <row r="94" spans="1:11" ht="16">
      <c r="A94" s="106">
        <v>40106</v>
      </c>
      <c r="B94" s="107">
        <v>4.5</v>
      </c>
      <c r="G94" s="111">
        <v>40102</v>
      </c>
      <c r="H94" s="112">
        <v>395.42</v>
      </c>
      <c r="I94" s="114">
        <f t="shared" si="1"/>
        <v>2.9931006493506551E-3</v>
      </c>
      <c r="J94" s="98"/>
      <c r="K94" s="98"/>
    </row>
    <row r="95" spans="1:11" ht="16">
      <c r="A95" s="106">
        <v>40107</v>
      </c>
      <c r="B95" s="107">
        <v>4.46</v>
      </c>
      <c r="G95" s="111">
        <v>40103</v>
      </c>
      <c r="H95" s="112">
        <v>398.93</v>
      </c>
      <c r="I95" s="114">
        <f t="shared" si="1"/>
        <v>8.8766374993678454E-3</v>
      </c>
      <c r="J95" s="98"/>
      <c r="K95" s="98"/>
    </row>
    <row r="96" spans="1:11" ht="16">
      <c r="A96" s="106">
        <v>40108</v>
      </c>
      <c r="B96" s="107">
        <v>4.43</v>
      </c>
      <c r="G96" s="111">
        <v>40106</v>
      </c>
      <c r="H96" s="112">
        <v>399.08</v>
      </c>
      <c r="I96" s="114">
        <f t="shared" si="1"/>
        <v>3.7600581555663481E-4</v>
      </c>
      <c r="J96" s="98"/>
      <c r="K96" s="98"/>
    </row>
    <row r="97" spans="1:11" ht="16">
      <c r="A97" s="106">
        <v>40109</v>
      </c>
      <c r="B97" s="107">
        <v>4.45</v>
      </c>
      <c r="G97" s="111">
        <v>40107</v>
      </c>
      <c r="H97" s="112">
        <v>399.85</v>
      </c>
      <c r="I97" s="114">
        <f t="shared" si="1"/>
        <v>1.9294377067256008E-3</v>
      </c>
      <c r="J97" s="98"/>
      <c r="K97" s="98"/>
    </row>
    <row r="98" spans="1:11" ht="16">
      <c r="A98" s="106">
        <v>40110</v>
      </c>
      <c r="B98" s="107">
        <v>4.4400000000000004</v>
      </c>
      <c r="G98" s="111">
        <v>40108</v>
      </c>
      <c r="H98" s="112">
        <v>395.76</v>
      </c>
      <c r="I98" s="114">
        <f t="shared" si="1"/>
        <v>-1.0228835813430148E-2</v>
      </c>
      <c r="J98" s="98"/>
      <c r="K98" s="98"/>
    </row>
    <row r="99" spans="1:11" ht="16">
      <c r="A99" s="106">
        <v>40113</v>
      </c>
      <c r="B99" s="107">
        <v>4.4400000000000004</v>
      </c>
      <c r="G99" s="111">
        <v>40109</v>
      </c>
      <c r="H99" s="112">
        <v>395.08</v>
      </c>
      <c r="I99" s="114">
        <f t="shared" si="1"/>
        <v>-1.7182130584192379E-3</v>
      </c>
      <c r="J99" s="98"/>
      <c r="K99" s="98"/>
    </row>
    <row r="100" spans="1:11" ht="16">
      <c r="A100" s="106">
        <v>40114</v>
      </c>
      <c r="B100" s="107">
        <v>4.45</v>
      </c>
      <c r="G100" s="111">
        <v>40110</v>
      </c>
      <c r="H100" s="112">
        <v>393.94</v>
      </c>
      <c r="I100" s="114">
        <f t="shared" si="1"/>
        <v>-2.885491546015917E-3</v>
      </c>
      <c r="J100" s="98"/>
      <c r="K100" s="98"/>
    </row>
    <row r="101" spans="1:11" ht="16">
      <c r="A101" s="106">
        <v>40115</v>
      </c>
      <c r="B101" s="107">
        <v>4.4400000000000004</v>
      </c>
      <c r="G101" s="111">
        <v>40113</v>
      </c>
      <c r="H101" s="112">
        <v>395.45</v>
      </c>
      <c r="I101" s="114">
        <f t="shared" si="1"/>
        <v>3.8330710260445766E-3</v>
      </c>
      <c r="J101" s="98"/>
      <c r="K101" s="98"/>
    </row>
    <row r="102" spans="1:11" ht="16">
      <c r="A102" s="106">
        <v>40116</v>
      </c>
      <c r="B102" s="107">
        <v>4.41</v>
      </c>
      <c r="G102" s="111">
        <v>40114</v>
      </c>
      <c r="H102" s="112">
        <v>396.46</v>
      </c>
      <c r="I102" s="114">
        <f t="shared" si="1"/>
        <v>2.5540523454292696E-3</v>
      </c>
      <c r="J102" s="98"/>
      <c r="K102" s="98"/>
    </row>
    <row r="103" spans="1:11" ht="16">
      <c r="A103" s="106">
        <v>40117</v>
      </c>
      <c r="B103" s="107">
        <v>4.45</v>
      </c>
      <c r="G103" s="111">
        <v>40115</v>
      </c>
      <c r="H103" s="112">
        <v>398.48</v>
      </c>
      <c r="I103" s="114">
        <f t="shared" si="1"/>
        <v>5.0950915603087399E-3</v>
      </c>
      <c r="J103" s="98"/>
      <c r="K103" s="98"/>
    </row>
    <row r="104" spans="1:11" ht="16">
      <c r="A104" s="106">
        <v>40120</v>
      </c>
      <c r="B104" s="107">
        <v>4.46</v>
      </c>
      <c r="G104" s="111">
        <v>40116</v>
      </c>
      <c r="H104" s="112">
        <v>396.16</v>
      </c>
      <c r="I104" s="114">
        <f t="shared" si="1"/>
        <v>-5.822124071471535E-3</v>
      </c>
      <c r="J104" s="98"/>
      <c r="K104" s="98"/>
    </row>
    <row r="105" spans="1:11" ht="16">
      <c r="A105" s="106">
        <v>40121</v>
      </c>
      <c r="B105" s="107">
        <v>4.5199999999999996</v>
      </c>
      <c r="G105" s="111">
        <v>40117</v>
      </c>
      <c r="H105" s="112">
        <v>393.13</v>
      </c>
      <c r="I105" s="114">
        <f t="shared" si="1"/>
        <v>-7.6484248788368792E-3</v>
      </c>
      <c r="J105" s="98"/>
      <c r="K105" s="98"/>
    </row>
    <row r="106" spans="1:11" ht="16">
      <c r="A106" s="106">
        <v>40122</v>
      </c>
      <c r="B106" s="107">
        <v>4.5199999999999996</v>
      </c>
      <c r="G106" s="111">
        <v>40120</v>
      </c>
      <c r="H106" s="112">
        <v>393.38</v>
      </c>
      <c r="I106" s="114">
        <f t="shared" si="1"/>
        <v>6.3592195965700427E-4</v>
      </c>
      <c r="J106" s="98"/>
      <c r="K106" s="98"/>
    </row>
    <row r="107" spans="1:11" ht="16">
      <c r="A107" s="106">
        <v>40123</v>
      </c>
      <c r="B107" s="107">
        <v>4.53</v>
      </c>
      <c r="G107" s="111">
        <v>40121</v>
      </c>
      <c r="H107" s="112">
        <v>389.4</v>
      </c>
      <c r="I107" s="114">
        <f t="shared" si="1"/>
        <v>-1.0117443693121175E-2</v>
      </c>
      <c r="J107" s="98"/>
      <c r="K107" s="98"/>
    </row>
    <row r="108" spans="1:11" ht="16">
      <c r="A108" s="106">
        <v>40124</v>
      </c>
      <c r="B108" s="107">
        <v>4.59</v>
      </c>
      <c r="G108" s="111">
        <v>40122</v>
      </c>
      <c r="H108" s="112">
        <v>388.93</v>
      </c>
      <c r="I108" s="114">
        <f t="shared" si="1"/>
        <v>-1.2069851052901592E-3</v>
      </c>
      <c r="J108" s="98"/>
      <c r="K108" s="98"/>
    </row>
    <row r="109" spans="1:11" ht="16">
      <c r="A109" s="106">
        <v>40127</v>
      </c>
      <c r="B109" s="107">
        <v>4.59</v>
      </c>
      <c r="G109" s="111">
        <v>40123</v>
      </c>
      <c r="H109" s="112">
        <v>386.41</v>
      </c>
      <c r="I109" s="114">
        <f t="shared" si="1"/>
        <v>-6.4793150438381408E-3</v>
      </c>
      <c r="J109" s="98"/>
      <c r="K109" s="98"/>
    </row>
    <row r="110" spans="1:11" ht="16">
      <c r="A110" s="106">
        <v>40128</v>
      </c>
      <c r="B110" s="107">
        <v>4.6900000000000004</v>
      </c>
      <c r="G110" s="111">
        <v>40124</v>
      </c>
      <c r="H110" s="112">
        <v>381.35</v>
      </c>
      <c r="I110" s="114">
        <f t="shared" si="1"/>
        <v>-1.3094899200331245E-2</v>
      </c>
      <c r="J110" s="98"/>
      <c r="K110" s="98"/>
    </row>
    <row r="111" spans="1:11" ht="16">
      <c r="A111" s="106">
        <v>40129</v>
      </c>
      <c r="B111" s="107">
        <v>4.68</v>
      </c>
      <c r="G111" s="111">
        <v>40127</v>
      </c>
      <c r="H111" s="112">
        <v>380.71</v>
      </c>
      <c r="I111" s="114">
        <f t="shared" si="1"/>
        <v>-1.6782483283074301E-3</v>
      </c>
      <c r="J111" s="98"/>
      <c r="K111" s="98"/>
    </row>
    <row r="112" spans="1:11" ht="16">
      <c r="A112" s="106">
        <v>40130</v>
      </c>
      <c r="B112" s="107">
        <v>4.6399999999999997</v>
      </c>
      <c r="G112" s="111">
        <v>40128</v>
      </c>
      <c r="H112" s="112">
        <v>379.07</v>
      </c>
      <c r="I112" s="114">
        <f t="shared" si="1"/>
        <v>-4.3077408000840034E-3</v>
      </c>
      <c r="J112" s="98"/>
      <c r="K112" s="98"/>
    </row>
    <row r="113" spans="1:11" ht="16">
      <c r="A113" s="106">
        <v>40131</v>
      </c>
      <c r="B113" s="107">
        <v>4.6100000000000003</v>
      </c>
      <c r="G113" s="111">
        <v>40129</v>
      </c>
      <c r="H113" s="112">
        <v>376.16</v>
      </c>
      <c r="I113" s="114">
        <f t="shared" si="1"/>
        <v>-7.6766824069431916E-3</v>
      </c>
      <c r="J113" s="98"/>
      <c r="K113" s="98"/>
    </row>
    <row r="114" spans="1:11" ht="16">
      <c r="A114" s="106">
        <v>40134</v>
      </c>
      <c r="B114" s="107">
        <v>4.5599999999999996</v>
      </c>
      <c r="G114" s="111">
        <v>40130</v>
      </c>
      <c r="H114" s="112">
        <v>381.08</v>
      </c>
      <c r="I114" s="114">
        <f t="shared" si="1"/>
        <v>1.3079540621012242E-2</v>
      </c>
      <c r="J114" s="98"/>
      <c r="K114" s="98"/>
    </row>
    <row r="115" spans="1:11" ht="16">
      <c r="A115" s="106">
        <v>40135</v>
      </c>
      <c r="B115" s="107">
        <v>4.57</v>
      </c>
      <c r="G115" s="111">
        <v>40131</v>
      </c>
      <c r="H115" s="112">
        <v>384.96</v>
      </c>
      <c r="I115" s="114">
        <f t="shared" si="1"/>
        <v>1.0181589167628902E-2</v>
      </c>
      <c r="J115" s="98"/>
      <c r="K115" s="98"/>
    </row>
    <row r="116" spans="1:11" ht="16">
      <c r="A116" s="106">
        <v>40136</v>
      </c>
      <c r="B116" s="107">
        <v>4.58</v>
      </c>
      <c r="G116" s="111">
        <v>40134</v>
      </c>
      <c r="H116" s="112">
        <v>392.26</v>
      </c>
      <c r="I116" s="114">
        <f t="shared" si="1"/>
        <v>1.8963009143807108E-2</v>
      </c>
      <c r="J116" s="98"/>
      <c r="K116" s="98"/>
    </row>
    <row r="117" spans="1:11" ht="16">
      <c r="A117" s="106">
        <v>40137</v>
      </c>
      <c r="B117" s="107">
        <v>4.5999999999999996</v>
      </c>
      <c r="G117" s="111">
        <v>40135</v>
      </c>
      <c r="H117" s="112">
        <v>391.08</v>
      </c>
      <c r="I117" s="114">
        <f t="shared" si="1"/>
        <v>-3.0082088410747776E-3</v>
      </c>
      <c r="J117" s="98"/>
      <c r="K117" s="98"/>
    </row>
    <row r="118" spans="1:11" ht="16">
      <c r="A118" s="106">
        <v>40138</v>
      </c>
      <c r="B118" s="107">
        <v>4.58</v>
      </c>
      <c r="G118" s="111">
        <v>40136</v>
      </c>
      <c r="H118" s="112">
        <v>389.7</v>
      </c>
      <c r="I118" s="114">
        <f t="shared" si="1"/>
        <v>-3.528689782141714E-3</v>
      </c>
      <c r="J118" s="98"/>
      <c r="K118" s="98"/>
    </row>
    <row r="119" spans="1:11" ht="16">
      <c r="A119" s="106">
        <v>40141</v>
      </c>
      <c r="B119" s="107">
        <v>4.5599999999999996</v>
      </c>
      <c r="G119" s="111">
        <v>40137</v>
      </c>
      <c r="H119" s="112">
        <v>384.5</v>
      </c>
      <c r="I119" s="114">
        <f t="shared" si="1"/>
        <v>-1.334359763920967E-2</v>
      </c>
      <c r="J119" s="98"/>
      <c r="K119" s="98"/>
    </row>
    <row r="120" spans="1:11" ht="16">
      <c r="A120" s="106">
        <v>40142</v>
      </c>
      <c r="B120" s="107">
        <v>4.55</v>
      </c>
      <c r="G120" s="111">
        <v>40138</v>
      </c>
      <c r="H120" s="112">
        <v>386.07</v>
      </c>
      <c r="I120" s="114">
        <f t="shared" si="1"/>
        <v>4.083224967490251E-3</v>
      </c>
      <c r="J120" s="98"/>
      <c r="K120" s="98"/>
    </row>
    <row r="121" spans="1:11" ht="16">
      <c r="A121" s="106">
        <v>40143</v>
      </c>
      <c r="B121" s="107">
        <v>4.5599999999999996</v>
      </c>
      <c r="G121" s="111">
        <v>40141</v>
      </c>
      <c r="H121" s="112">
        <v>386.3</v>
      </c>
      <c r="I121" s="114">
        <f t="shared" si="1"/>
        <v>5.9574688527996855E-4</v>
      </c>
      <c r="J121" s="98"/>
      <c r="K121" s="98"/>
    </row>
    <row r="122" spans="1:11" ht="16">
      <c r="A122" s="106">
        <v>40144</v>
      </c>
      <c r="B122" s="107">
        <v>4.5599999999999996</v>
      </c>
      <c r="G122" s="111">
        <v>40142</v>
      </c>
      <c r="H122" s="112">
        <v>384.01</v>
      </c>
      <c r="I122" s="114">
        <f t="shared" si="1"/>
        <v>-5.9280352057986541E-3</v>
      </c>
      <c r="J122" s="98"/>
      <c r="K122" s="98"/>
    </row>
    <row r="123" spans="1:11" ht="16">
      <c r="A123" s="106">
        <v>40145</v>
      </c>
      <c r="B123" s="107">
        <v>4.57</v>
      </c>
      <c r="G123" s="111">
        <v>40143</v>
      </c>
      <c r="H123" s="112">
        <v>385.46</v>
      </c>
      <c r="I123" s="114">
        <f t="shared" si="1"/>
        <v>3.7759433348090177E-3</v>
      </c>
      <c r="J123" s="98"/>
      <c r="K123" s="98"/>
    </row>
    <row r="124" spans="1:11" ht="16">
      <c r="A124" s="106">
        <v>40146</v>
      </c>
      <c r="B124" s="107">
        <v>4.59</v>
      </c>
      <c r="G124" s="111">
        <v>40144</v>
      </c>
      <c r="H124" s="112">
        <v>386.26</v>
      </c>
      <c r="I124" s="114">
        <f t="shared" si="1"/>
        <v>2.0754423286464263E-3</v>
      </c>
      <c r="J124" s="98"/>
      <c r="K124" s="98"/>
    </row>
    <row r="125" spans="1:11" ht="16">
      <c r="A125" s="106">
        <v>40148</v>
      </c>
      <c r="B125" s="107">
        <v>4.62</v>
      </c>
      <c r="G125" s="111">
        <v>40145</v>
      </c>
      <c r="H125" s="112">
        <v>388.9</v>
      </c>
      <c r="I125" s="114">
        <f t="shared" si="1"/>
        <v>6.834774504219876E-3</v>
      </c>
      <c r="J125" s="98"/>
      <c r="K125" s="98"/>
    </row>
    <row r="126" spans="1:11" ht="16">
      <c r="A126" s="106">
        <v>40149</v>
      </c>
      <c r="B126" s="107">
        <v>4.63</v>
      </c>
      <c r="G126" s="111">
        <v>40148</v>
      </c>
      <c r="H126" s="112">
        <v>387.57</v>
      </c>
      <c r="I126" s="114">
        <f t="shared" si="1"/>
        <v>-3.4199022885059716E-3</v>
      </c>
      <c r="J126" s="98"/>
      <c r="K126" s="98"/>
    </row>
    <row r="127" spans="1:11" ht="16">
      <c r="A127" s="106">
        <v>40150</v>
      </c>
      <c r="B127" s="107">
        <v>4.66</v>
      </c>
      <c r="G127" s="111">
        <v>40149</v>
      </c>
      <c r="H127" s="112">
        <v>384.18</v>
      </c>
      <c r="I127" s="114">
        <f t="shared" si="1"/>
        <v>-8.7468070284076882E-3</v>
      </c>
      <c r="J127" s="98"/>
      <c r="K127" s="98"/>
    </row>
    <row r="128" spans="1:11" ht="16">
      <c r="A128" s="106">
        <v>40151</v>
      </c>
      <c r="B128" s="107">
        <v>4.67</v>
      </c>
      <c r="G128" s="111">
        <v>40150</v>
      </c>
      <c r="H128" s="112">
        <v>382.32</v>
      </c>
      <c r="I128" s="114">
        <f t="shared" si="1"/>
        <v>-4.8414805559894303E-3</v>
      </c>
      <c r="J128" s="98"/>
      <c r="K128" s="98"/>
    </row>
    <row r="129" spans="1:11" ht="16">
      <c r="A129" s="106">
        <v>40152</v>
      </c>
      <c r="B129" s="107">
        <v>4.67</v>
      </c>
      <c r="G129" s="111">
        <v>40151</v>
      </c>
      <c r="H129" s="112">
        <v>383.54</v>
      </c>
      <c r="I129" s="114">
        <f t="shared" si="1"/>
        <v>3.1910441514961807E-3</v>
      </c>
      <c r="J129" s="98"/>
      <c r="K129" s="98"/>
    </row>
    <row r="130" spans="1:11" ht="16">
      <c r="A130" s="106">
        <v>40155</v>
      </c>
      <c r="B130" s="107">
        <v>4.6500000000000004</v>
      </c>
      <c r="G130" s="111">
        <v>40152</v>
      </c>
      <c r="H130" s="112">
        <v>385.22</v>
      </c>
      <c r="I130" s="114">
        <f t="shared" si="1"/>
        <v>4.3802471710903124E-3</v>
      </c>
      <c r="J130" s="98"/>
      <c r="K130" s="98"/>
    </row>
    <row r="131" spans="1:11" ht="16">
      <c r="A131" s="106">
        <v>40156</v>
      </c>
      <c r="B131" s="107">
        <v>4.5999999999999996</v>
      </c>
      <c r="G131" s="111">
        <v>40155</v>
      </c>
      <c r="H131" s="112">
        <v>388.29</v>
      </c>
      <c r="I131" s="114">
        <f t="shared" si="1"/>
        <v>7.969471990031618E-3</v>
      </c>
      <c r="J131" s="98"/>
      <c r="K131" s="98"/>
    </row>
    <row r="132" spans="1:11" ht="16">
      <c r="A132" s="106">
        <v>40157</v>
      </c>
      <c r="B132" s="107">
        <v>4.6100000000000003</v>
      </c>
      <c r="G132" s="111">
        <v>40156</v>
      </c>
      <c r="H132" s="112">
        <v>388.53</v>
      </c>
      <c r="I132" s="114">
        <f t="shared" si="1"/>
        <v>6.1809472301610491E-4</v>
      </c>
      <c r="J132" s="98"/>
      <c r="K132" s="98"/>
    </row>
    <row r="133" spans="1:11" ht="16">
      <c r="A133" s="106">
        <v>40158</v>
      </c>
      <c r="B133" s="107">
        <v>4.63</v>
      </c>
      <c r="G133" s="111">
        <v>40157</v>
      </c>
      <c r="H133" s="112">
        <v>384.47</v>
      </c>
      <c r="I133" s="114">
        <f t="shared" si="1"/>
        <v>-1.0449643528170127E-2</v>
      </c>
      <c r="J133" s="98"/>
      <c r="K133" s="98"/>
    </row>
    <row r="134" spans="1:11" ht="16">
      <c r="A134" s="106">
        <v>40159</v>
      </c>
      <c r="B134" s="107">
        <v>4.6100000000000003</v>
      </c>
      <c r="G134" s="111">
        <v>40158</v>
      </c>
      <c r="H134" s="112">
        <v>380.21</v>
      </c>
      <c r="I134" s="114">
        <f t="shared" si="1"/>
        <v>-1.1080188311181738E-2</v>
      </c>
      <c r="J134" s="98"/>
      <c r="K134" s="98"/>
    </row>
    <row r="135" spans="1:11" ht="16">
      <c r="A135" s="106">
        <v>40162</v>
      </c>
      <c r="B135" s="107">
        <v>4.59</v>
      </c>
      <c r="G135" s="111">
        <v>40159</v>
      </c>
      <c r="H135" s="112">
        <v>380.32</v>
      </c>
      <c r="I135" s="114">
        <f t="shared" si="1"/>
        <v>2.8931380026819831E-4</v>
      </c>
      <c r="J135" s="98"/>
      <c r="K135" s="98"/>
    </row>
    <row r="136" spans="1:11" ht="16">
      <c r="A136" s="106">
        <v>40163</v>
      </c>
      <c r="B136" s="107">
        <v>4.59</v>
      </c>
      <c r="G136" s="111">
        <v>40162</v>
      </c>
      <c r="H136" s="112">
        <v>380.09</v>
      </c>
      <c r="I136" s="114">
        <f t="shared" si="1"/>
        <v>-6.047538914598638E-4</v>
      </c>
      <c r="J136" s="98"/>
      <c r="K136" s="98"/>
    </row>
    <row r="137" spans="1:11" ht="16">
      <c r="A137" s="106">
        <v>40164</v>
      </c>
      <c r="B137" s="107">
        <v>4.58</v>
      </c>
      <c r="G137" s="111">
        <v>40163</v>
      </c>
      <c r="H137" s="112">
        <v>379.88</v>
      </c>
      <c r="I137" s="114">
        <f t="shared" si="1"/>
        <v>-5.5250072351276103E-4</v>
      </c>
      <c r="J137" s="98"/>
      <c r="K137" s="98"/>
    </row>
    <row r="138" spans="1:11" ht="16">
      <c r="A138" s="106">
        <v>40165</v>
      </c>
      <c r="B138" s="107">
        <v>4.59</v>
      </c>
      <c r="G138" s="111">
        <v>40164</v>
      </c>
      <c r="H138" s="112">
        <v>380.96</v>
      </c>
      <c r="I138" s="114">
        <f t="shared" si="1"/>
        <v>2.8430030535957496E-3</v>
      </c>
      <c r="J138" s="98"/>
      <c r="K138" s="98"/>
    </row>
    <row r="139" spans="1:11" ht="16">
      <c r="A139" s="106">
        <v>40166</v>
      </c>
      <c r="B139" s="107">
        <v>4.59</v>
      </c>
      <c r="G139" s="111">
        <v>40165</v>
      </c>
      <c r="H139" s="112">
        <v>380.27</v>
      </c>
      <c r="I139" s="114">
        <f t="shared" si="1"/>
        <v>-1.8112137757244628E-3</v>
      </c>
      <c r="J139" s="98"/>
      <c r="K139" s="98"/>
    </row>
    <row r="140" spans="1:11" ht="16">
      <c r="A140" s="106">
        <v>40169</v>
      </c>
      <c r="B140" s="107">
        <v>4.58</v>
      </c>
      <c r="G140" s="111">
        <v>40166</v>
      </c>
      <c r="H140" s="112">
        <v>379.35</v>
      </c>
      <c r="I140" s="114">
        <f t="shared" si="1"/>
        <v>-2.4193336313670377E-3</v>
      </c>
      <c r="J140" s="98"/>
      <c r="K140" s="98"/>
    </row>
    <row r="141" spans="1:11" ht="16">
      <c r="A141" s="106">
        <v>40170</v>
      </c>
      <c r="B141" s="107">
        <v>4.5999999999999996</v>
      </c>
      <c r="G141" s="111">
        <v>40169</v>
      </c>
      <c r="H141" s="112">
        <v>380.96</v>
      </c>
      <c r="I141" s="114">
        <f t="shared" si="1"/>
        <v>4.244101752998386E-3</v>
      </c>
      <c r="J141" s="98"/>
      <c r="K141" s="98"/>
    </row>
    <row r="142" spans="1:11" ht="16">
      <c r="A142" s="106">
        <v>40172</v>
      </c>
      <c r="B142" s="107">
        <v>4.5999999999999996</v>
      </c>
      <c r="G142" s="111">
        <v>40170</v>
      </c>
      <c r="H142" s="112">
        <v>382.17</v>
      </c>
      <c r="I142" s="114">
        <f t="shared" si="1"/>
        <v>3.1761864762704928E-3</v>
      </c>
      <c r="J142" s="98"/>
      <c r="K142" s="98"/>
    </row>
    <row r="143" spans="1:11" ht="16">
      <c r="A143" s="106">
        <v>40173</v>
      </c>
      <c r="B143" s="107">
        <v>4.6100000000000003</v>
      </c>
      <c r="G143" s="111">
        <v>40171</v>
      </c>
      <c r="H143" s="112">
        <v>381.96</v>
      </c>
      <c r="I143" s="114">
        <f t="shared" ref="I143:I206" si="2">H143/H142-1</f>
        <v>-5.4949368082279904E-4</v>
      </c>
      <c r="J143" s="98"/>
      <c r="K143" s="98"/>
    </row>
    <row r="144" spans="1:11" ht="16">
      <c r="A144" s="106">
        <v>40176</v>
      </c>
      <c r="B144" s="107">
        <v>4.59</v>
      </c>
      <c r="G144" s="111">
        <v>40172</v>
      </c>
      <c r="H144" s="112">
        <v>381.38</v>
      </c>
      <c r="I144" s="114">
        <f t="shared" si="2"/>
        <v>-1.518483610849275E-3</v>
      </c>
      <c r="J144" s="98"/>
      <c r="K144" s="98"/>
    </row>
    <row r="145" spans="1:11" ht="16">
      <c r="A145" s="106">
        <v>40177</v>
      </c>
      <c r="B145" s="107">
        <v>4.6100000000000003</v>
      </c>
      <c r="G145" s="111">
        <v>40173</v>
      </c>
      <c r="H145" s="112">
        <v>383</v>
      </c>
      <c r="I145" s="114">
        <f t="shared" si="2"/>
        <v>4.2477319209188735E-3</v>
      </c>
      <c r="J145" s="98"/>
      <c r="K145" s="98"/>
    </row>
    <row r="146" spans="1:11" ht="16">
      <c r="A146" s="106">
        <v>40179</v>
      </c>
      <c r="B146" s="107">
        <v>4.6100000000000003</v>
      </c>
      <c r="G146" s="111">
        <v>40176</v>
      </c>
      <c r="H146" s="112">
        <v>384.93</v>
      </c>
      <c r="I146" s="114">
        <f t="shared" si="2"/>
        <v>5.039164490861614E-3</v>
      </c>
      <c r="J146" s="98"/>
      <c r="K146" s="98"/>
    </row>
    <row r="147" spans="1:11" ht="16">
      <c r="A147" s="106">
        <v>40180</v>
      </c>
      <c r="B147" s="107">
        <v>4.62</v>
      </c>
      <c r="G147" s="111">
        <v>40177</v>
      </c>
      <c r="H147" s="112">
        <v>385.62</v>
      </c>
      <c r="I147" s="114">
        <f t="shared" si="2"/>
        <v>1.7925337074273795E-3</v>
      </c>
      <c r="J147" s="98"/>
      <c r="K147" s="98"/>
    </row>
    <row r="148" spans="1:11" ht="16">
      <c r="A148" s="106">
        <v>40183</v>
      </c>
      <c r="B148" s="107">
        <v>4.5999999999999996</v>
      </c>
      <c r="G148" s="111">
        <v>40178</v>
      </c>
      <c r="H148" s="112">
        <v>385.64</v>
      </c>
      <c r="I148" s="114">
        <f t="shared" si="2"/>
        <v>5.1864529847955865E-5</v>
      </c>
      <c r="J148" s="98"/>
      <c r="K148" s="98"/>
    </row>
    <row r="149" spans="1:11" ht="16">
      <c r="A149" s="106">
        <v>40184</v>
      </c>
      <c r="B149" s="107">
        <v>4.58</v>
      </c>
      <c r="G149" s="111">
        <v>40179</v>
      </c>
      <c r="H149" s="112">
        <v>382.15</v>
      </c>
      <c r="I149" s="114">
        <f t="shared" si="2"/>
        <v>-9.0498910901358753E-3</v>
      </c>
      <c r="J149" s="98"/>
      <c r="K149" s="98"/>
    </row>
    <row r="150" spans="1:11" ht="16">
      <c r="A150" s="106">
        <v>40185</v>
      </c>
      <c r="B150" s="107">
        <v>4.5999999999999996</v>
      </c>
      <c r="G150" s="111">
        <v>40180</v>
      </c>
      <c r="H150" s="112">
        <v>378.92</v>
      </c>
      <c r="I150" s="114">
        <f t="shared" si="2"/>
        <v>-8.4521784639538522E-3</v>
      </c>
      <c r="J150" s="98"/>
      <c r="K150" s="98"/>
    </row>
    <row r="151" spans="1:11" ht="16">
      <c r="A151" s="106">
        <v>40186</v>
      </c>
      <c r="B151" s="107">
        <v>4.5999999999999996</v>
      </c>
      <c r="G151" s="111">
        <v>40183</v>
      </c>
      <c r="H151" s="112">
        <v>376.38</v>
      </c>
      <c r="I151" s="114">
        <f t="shared" si="2"/>
        <v>-6.7032619022485695E-3</v>
      </c>
      <c r="J151" s="98"/>
      <c r="K151" s="98"/>
    </row>
    <row r="152" spans="1:11" ht="16">
      <c r="A152" s="106">
        <v>40187</v>
      </c>
      <c r="B152" s="107">
        <v>4.57</v>
      </c>
      <c r="G152" s="111">
        <v>40184</v>
      </c>
      <c r="H152" s="112">
        <v>376.33</v>
      </c>
      <c r="I152" s="114">
        <f t="shared" si="2"/>
        <v>-1.3284446569961084E-4</v>
      </c>
      <c r="J152" s="98"/>
      <c r="K152" s="98"/>
    </row>
    <row r="153" spans="1:11" ht="16">
      <c r="A153" s="106">
        <v>40190</v>
      </c>
      <c r="B153" s="107">
        <v>4.54</v>
      </c>
      <c r="G153" s="111">
        <v>40185</v>
      </c>
      <c r="H153" s="112">
        <v>377</v>
      </c>
      <c r="I153" s="114">
        <f t="shared" si="2"/>
        <v>1.780352350330805E-3</v>
      </c>
      <c r="J153" s="98"/>
      <c r="K153" s="98"/>
    </row>
    <row r="154" spans="1:11" ht="16">
      <c r="A154" s="106">
        <v>40191</v>
      </c>
      <c r="B154" s="107">
        <v>4.54</v>
      </c>
      <c r="G154" s="111">
        <v>40186</v>
      </c>
      <c r="H154" s="112">
        <v>372.95</v>
      </c>
      <c r="I154" s="114">
        <f t="shared" si="2"/>
        <v>-1.0742705570291777E-2</v>
      </c>
      <c r="J154" s="98"/>
      <c r="K154" s="98"/>
    </row>
    <row r="155" spans="1:11" ht="16">
      <c r="A155" s="106">
        <v>40192</v>
      </c>
      <c r="B155" s="107">
        <v>4.53</v>
      </c>
      <c r="G155" s="111">
        <v>40187</v>
      </c>
      <c r="H155" s="112">
        <v>376.04</v>
      </c>
      <c r="I155" s="114">
        <f t="shared" si="2"/>
        <v>8.2852929347099202E-3</v>
      </c>
      <c r="J155" s="98"/>
      <c r="K155" s="98"/>
    </row>
    <row r="156" spans="1:11" ht="16">
      <c r="A156" s="106">
        <v>40193</v>
      </c>
      <c r="B156" s="107">
        <v>4.5199999999999996</v>
      </c>
      <c r="G156" s="111">
        <v>40190</v>
      </c>
      <c r="H156" s="112">
        <v>378.19</v>
      </c>
      <c r="I156" s="114">
        <f t="shared" si="2"/>
        <v>5.7174768641632401E-3</v>
      </c>
      <c r="J156" s="98"/>
      <c r="K156" s="98"/>
    </row>
    <row r="157" spans="1:11" ht="16">
      <c r="A157" s="106">
        <v>40194</v>
      </c>
      <c r="B157" s="107">
        <v>4.51</v>
      </c>
      <c r="G157" s="111">
        <v>40191</v>
      </c>
      <c r="H157" s="112">
        <v>377.61</v>
      </c>
      <c r="I157" s="114">
        <f t="shared" si="2"/>
        <v>-1.5336206668605801E-3</v>
      </c>
      <c r="J157" s="98"/>
      <c r="K157" s="98"/>
    </row>
    <row r="158" spans="1:11" ht="16">
      <c r="A158" s="106">
        <v>40197</v>
      </c>
      <c r="B158" s="107">
        <v>4.5</v>
      </c>
      <c r="G158" s="111">
        <v>40192</v>
      </c>
      <c r="H158" s="112">
        <v>378.8</v>
      </c>
      <c r="I158" s="114">
        <f t="shared" si="2"/>
        <v>3.1513995921719218E-3</v>
      </c>
      <c r="J158" s="98"/>
      <c r="K158" s="98"/>
    </row>
    <row r="159" spans="1:11" ht="16">
      <c r="A159" s="106">
        <v>40198</v>
      </c>
      <c r="B159" s="107">
        <v>4.51</v>
      </c>
      <c r="G159" s="111">
        <v>40193</v>
      </c>
      <c r="H159" s="112">
        <v>377.51</v>
      </c>
      <c r="I159" s="114">
        <f t="shared" si="2"/>
        <v>-3.4054910242872216E-3</v>
      </c>
      <c r="J159" s="98"/>
      <c r="K159" s="98"/>
    </row>
    <row r="160" spans="1:11" ht="16">
      <c r="A160" s="106">
        <v>40199</v>
      </c>
      <c r="B160" s="107">
        <v>4.53</v>
      </c>
      <c r="G160" s="111">
        <v>40194</v>
      </c>
      <c r="H160" s="112">
        <v>376.63</v>
      </c>
      <c r="I160" s="114">
        <f t="shared" si="2"/>
        <v>-2.3310640777727265E-3</v>
      </c>
      <c r="J160" s="98"/>
      <c r="K160" s="98"/>
    </row>
    <row r="161" spans="1:11" ht="16">
      <c r="A161" s="106">
        <v>40200</v>
      </c>
      <c r="B161" s="107">
        <v>4.53</v>
      </c>
      <c r="G161" s="111">
        <v>40197</v>
      </c>
      <c r="H161" s="112">
        <v>376.03</v>
      </c>
      <c r="I161" s="114">
        <f t="shared" si="2"/>
        <v>-1.5930754321217266E-3</v>
      </c>
      <c r="J161" s="98"/>
      <c r="K161" s="98"/>
    </row>
    <row r="162" spans="1:11" ht="16">
      <c r="A162" s="106">
        <v>40201</v>
      </c>
      <c r="B162" s="107">
        <v>4.58</v>
      </c>
      <c r="G162" s="111">
        <v>40198</v>
      </c>
      <c r="H162" s="112">
        <v>375.88</v>
      </c>
      <c r="I162" s="114">
        <f t="shared" si="2"/>
        <v>-3.9890434273859299E-4</v>
      </c>
      <c r="J162" s="98"/>
      <c r="K162" s="98"/>
    </row>
    <row r="163" spans="1:11" ht="16">
      <c r="A163" s="106">
        <v>40204</v>
      </c>
      <c r="B163" s="107">
        <v>4.6100000000000003</v>
      </c>
      <c r="G163" s="111">
        <v>40199</v>
      </c>
      <c r="H163" s="112">
        <v>378.03</v>
      </c>
      <c r="I163" s="114">
        <f t="shared" si="2"/>
        <v>5.7199106097689523E-3</v>
      </c>
      <c r="J163" s="98"/>
      <c r="K163" s="98"/>
    </row>
    <row r="164" spans="1:11" ht="16">
      <c r="A164" s="106">
        <v>40205</v>
      </c>
      <c r="B164" s="107">
        <v>4.59</v>
      </c>
      <c r="G164" s="111">
        <v>40200</v>
      </c>
      <c r="H164" s="112">
        <v>373.54</v>
      </c>
      <c r="I164" s="114">
        <f t="shared" si="2"/>
        <v>-1.1877364230352017E-2</v>
      </c>
      <c r="J164" s="98"/>
      <c r="K164" s="98"/>
    </row>
    <row r="165" spans="1:11" ht="16">
      <c r="A165" s="106">
        <v>40206</v>
      </c>
      <c r="B165" s="107">
        <v>4.5999999999999996</v>
      </c>
      <c r="G165" s="111">
        <v>40201</v>
      </c>
      <c r="H165" s="112">
        <v>367.56</v>
      </c>
      <c r="I165" s="114">
        <f t="shared" si="2"/>
        <v>-1.6008995020613592E-2</v>
      </c>
      <c r="J165" s="98"/>
      <c r="K165" s="98"/>
    </row>
    <row r="166" spans="1:11" ht="16">
      <c r="A166" s="106">
        <v>40207</v>
      </c>
      <c r="B166" s="107">
        <v>4.63</v>
      </c>
      <c r="G166" s="111">
        <v>40204</v>
      </c>
      <c r="H166" s="112">
        <v>360.8</v>
      </c>
      <c r="I166" s="114">
        <f t="shared" si="2"/>
        <v>-1.8391555120252479E-2</v>
      </c>
      <c r="J166" s="98"/>
      <c r="K166" s="98"/>
    </row>
    <row r="167" spans="1:11" ht="16">
      <c r="A167" s="106">
        <v>40208</v>
      </c>
      <c r="B167" s="107">
        <v>4.7</v>
      </c>
      <c r="G167" s="111">
        <v>40205</v>
      </c>
      <c r="H167" s="112">
        <v>361.97</v>
      </c>
      <c r="I167" s="114">
        <f t="shared" si="2"/>
        <v>3.2427937915742167E-3</v>
      </c>
      <c r="J167" s="98"/>
      <c r="K167" s="98"/>
    </row>
    <row r="168" spans="1:11" ht="16">
      <c r="A168" s="106">
        <v>40211</v>
      </c>
      <c r="B168" s="107">
        <v>4.6900000000000004</v>
      </c>
      <c r="G168" s="111">
        <v>40206</v>
      </c>
      <c r="H168" s="112">
        <v>361.25</v>
      </c>
      <c r="I168" s="114">
        <f t="shared" si="2"/>
        <v>-1.9891151200376322E-3</v>
      </c>
      <c r="J168" s="98"/>
      <c r="K168" s="98"/>
    </row>
    <row r="169" spans="1:11" ht="16">
      <c r="A169" s="106">
        <v>40212</v>
      </c>
      <c r="B169" s="107">
        <v>4.68</v>
      </c>
      <c r="G169" s="111">
        <v>40207</v>
      </c>
      <c r="H169" s="112">
        <v>361.1</v>
      </c>
      <c r="I169" s="114">
        <f t="shared" si="2"/>
        <v>-4.1522491349477164E-4</v>
      </c>
      <c r="J169" s="98"/>
      <c r="K169" s="98"/>
    </row>
    <row r="170" spans="1:11" ht="16">
      <c r="A170" s="106">
        <v>40213</v>
      </c>
      <c r="B170" s="107">
        <v>4.67</v>
      </c>
      <c r="G170" s="111">
        <v>40208</v>
      </c>
      <c r="H170" s="112">
        <v>361.08</v>
      </c>
      <c r="I170" s="114">
        <f t="shared" si="2"/>
        <v>-5.5386319579131538E-5</v>
      </c>
      <c r="J170" s="98"/>
      <c r="K170" s="98"/>
    </row>
    <row r="171" spans="1:11" ht="16">
      <c r="A171" s="106">
        <v>40214</v>
      </c>
      <c r="B171" s="107">
        <v>4.6500000000000004</v>
      </c>
      <c r="G171" s="111">
        <v>40211</v>
      </c>
      <c r="H171" s="112">
        <v>358.1</v>
      </c>
      <c r="I171" s="114">
        <f t="shared" si="2"/>
        <v>-8.2530187216128814E-3</v>
      </c>
      <c r="J171" s="98"/>
      <c r="K171" s="98"/>
    </row>
    <row r="172" spans="1:11" ht="16">
      <c r="A172" s="106">
        <v>40215</v>
      </c>
      <c r="B172" s="107">
        <v>4.63</v>
      </c>
      <c r="G172" s="111">
        <v>40212</v>
      </c>
      <c r="H172" s="112">
        <v>355.97</v>
      </c>
      <c r="I172" s="114">
        <f t="shared" si="2"/>
        <v>-5.9480592013404499E-3</v>
      </c>
      <c r="J172" s="98"/>
      <c r="K172" s="98"/>
    </row>
    <row r="173" spans="1:11" ht="16">
      <c r="A173" s="106">
        <v>40218</v>
      </c>
      <c r="B173" s="107">
        <v>4.6100000000000003</v>
      </c>
      <c r="G173" s="111">
        <v>40213</v>
      </c>
      <c r="H173" s="112">
        <v>354.85</v>
      </c>
      <c r="I173" s="114">
        <f t="shared" si="2"/>
        <v>-3.1463325561142952E-3</v>
      </c>
      <c r="J173" s="98"/>
      <c r="K173" s="98"/>
    </row>
    <row r="174" spans="1:11" ht="16">
      <c r="A174" s="106">
        <v>40219</v>
      </c>
      <c r="B174" s="107">
        <v>4.6100000000000003</v>
      </c>
      <c r="G174" s="111">
        <v>40214</v>
      </c>
      <c r="H174" s="112">
        <v>360.03</v>
      </c>
      <c r="I174" s="114">
        <f t="shared" si="2"/>
        <v>1.4597717345357086E-2</v>
      </c>
      <c r="J174" s="98"/>
      <c r="K174" s="98"/>
    </row>
    <row r="175" spans="1:11" ht="16">
      <c r="A175" s="106">
        <v>40220</v>
      </c>
      <c r="B175" s="107">
        <v>4.6100000000000003</v>
      </c>
      <c r="G175" s="111">
        <v>40215</v>
      </c>
      <c r="H175" s="112">
        <v>362.81</v>
      </c>
      <c r="I175" s="114">
        <f t="shared" si="2"/>
        <v>7.7215787573259309E-3</v>
      </c>
      <c r="J175" s="98"/>
      <c r="K175" s="98"/>
    </row>
    <row r="176" spans="1:11" ht="16">
      <c r="A176" s="106">
        <v>40221</v>
      </c>
      <c r="B176" s="107">
        <v>4.6100000000000003</v>
      </c>
      <c r="G176" s="111">
        <v>40218</v>
      </c>
      <c r="H176" s="112">
        <v>362.32</v>
      </c>
      <c r="I176" s="114">
        <f t="shared" si="2"/>
        <v>-1.3505691684353449E-3</v>
      </c>
      <c r="J176" s="98"/>
      <c r="K176" s="98"/>
    </row>
    <row r="177" spans="1:11" ht="16">
      <c r="A177" s="106">
        <v>40222</v>
      </c>
      <c r="B177" s="107">
        <v>4.5999999999999996</v>
      </c>
      <c r="G177" s="111">
        <v>40219</v>
      </c>
      <c r="H177" s="112">
        <v>365.85</v>
      </c>
      <c r="I177" s="114">
        <f t="shared" si="2"/>
        <v>9.7427688231399578E-3</v>
      </c>
      <c r="J177" s="98"/>
      <c r="K177" s="98"/>
    </row>
    <row r="178" spans="1:11" ht="16">
      <c r="A178" s="106">
        <v>40225</v>
      </c>
      <c r="B178" s="107">
        <v>4.59</v>
      </c>
      <c r="G178" s="111">
        <v>40220</v>
      </c>
      <c r="H178" s="112">
        <v>368.86</v>
      </c>
      <c r="I178" s="114">
        <f t="shared" si="2"/>
        <v>8.2274156074892968E-3</v>
      </c>
      <c r="J178" s="98"/>
      <c r="K178" s="98"/>
    </row>
    <row r="179" spans="1:11" ht="16">
      <c r="A179" s="106">
        <v>40226</v>
      </c>
      <c r="B179" s="107">
        <v>4.5599999999999996</v>
      </c>
      <c r="G179" s="111">
        <v>40221</v>
      </c>
      <c r="H179" s="112">
        <v>366.57</v>
      </c>
      <c r="I179" s="114">
        <f t="shared" si="2"/>
        <v>-6.2083175188418771E-3</v>
      </c>
      <c r="J179" s="98"/>
      <c r="K179" s="98"/>
    </row>
    <row r="180" spans="1:11" ht="16">
      <c r="A180" s="106">
        <v>40227</v>
      </c>
      <c r="B180" s="107">
        <v>4.58</v>
      </c>
      <c r="G180" s="111">
        <v>40222</v>
      </c>
      <c r="H180" s="112">
        <v>370.54</v>
      </c>
      <c r="I180" s="114">
        <f t="shared" si="2"/>
        <v>1.0830127942821344E-2</v>
      </c>
      <c r="J180" s="98"/>
      <c r="K180" s="98"/>
    </row>
    <row r="181" spans="1:11" ht="16">
      <c r="A181" s="106">
        <v>40228</v>
      </c>
      <c r="B181" s="107">
        <v>4.59</v>
      </c>
      <c r="G181" s="111">
        <v>40225</v>
      </c>
      <c r="H181" s="112">
        <v>373.15</v>
      </c>
      <c r="I181" s="114">
        <f t="shared" si="2"/>
        <v>7.0437739515301079E-3</v>
      </c>
      <c r="J181" s="98"/>
      <c r="K181" s="98"/>
    </row>
    <row r="182" spans="1:11" ht="16">
      <c r="A182" s="106">
        <v>40229</v>
      </c>
      <c r="B182" s="107">
        <v>4.5599999999999996</v>
      </c>
      <c r="G182" s="111">
        <v>40226</v>
      </c>
      <c r="H182" s="112">
        <v>371.69</v>
      </c>
      <c r="I182" s="114">
        <f t="shared" si="2"/>
        <v>-3.9126356693018893E-3</v>
      </c>
      <c r="J182" s="98"/>
      <c r="K182" s="98"/>
    </row>
    <row r="183" spans="1:11" ht="16">
      <c r="A183" s="106">
        <v>40232</v>
      </c>
      <c r="B183" s="107">
        <v>4.5199999999999996</v>
      </c>
      <c r="G183" s="111">
        <v>40227</v>
      </c>
      <c r="H183" s="112">
        <v>372</v>
      </c>
      <c r="I183" s="114">
        <f t="shared" si="2"/>
        <v>8.3402835696411159E-4</v>
      </c>
      <c r="J183" s="98"/>
      <c r="K183" s="98"/>
    </row>
    <row r="184" spans="1:11" ht="16">
      <c r="A184" s="106">
        <v>40233</v>
      </c>
      <c r="B184" s="107">
        <v>4.49</v>
      </c>
      <c r="G184" s="111">
        <v>40228</v>
      </c>
      <c r="H184" s="112">
        <v>369.49</v>
      </c>
      <c r="I184" s="114">
        <f t="shared" si="2"/>
        <v>-6.7473118279569588E-3</v>
      </c>
      <c r="J184" s="98"/>
      <c r="K184" s="98"/>
    </row>
    <row r="185" spans="1:11" ht="16">
      <c r="A185" s="106">
        <v>40234</v>
      </c>
      <c r="B185" s="107">
        <v>4.49</v>
      </c>
      <c r="G185" s="111">
        <v>40229</v>
      </c>
      <c r="H185" s="112">
        <v>371.81</v>
      </c>
      <c r="I185" s="114">
        <f t="shared" si="2"/>
        <v>6.2789250047361467E-3</v>
      </c>
      <c r="J185" s="98"/>
      <c r="K185" s="98"/>
    </row>
    <row r="186" spans="1:11" ht="16">
      <c r="A186" s="106">
        <v>40235</v>
      </c>
      <c r="B186" s="107">
        <v>4.46</v>
      </c>
      <c r="G186" s="111">
        <v>40232</v>
      </c>
      <c r="H186" s="112">
        <v>372.03</v>
      </c>
      <c r="I186" s="114">
        <f t="shared" si="2"/>
        <v>5.9170006185937929E-4</v>
      </c>
      <c r="J186" s="98"/>
      <c r="K186" s="98"/>
    </row>
    <row r="187" spans="1:11" ht="16">
      <c r="A187" s="106">
        <v>40236</v>
      </c>
      <c r="B187" s="107">
        <v>4.46</v>
      </c>
      <c r="G187" s="111">
        <v>40233</v>
      </c>
      <c r="H187" s="112">
        <v>369.92</v>
      </c>
      <c r="I187" s="114">
        <f t="shared" si="2"/>
        <v>-5.6715856248150676E-3</v>
      </c>
      <c r="J187" s="98"/>
      <c r="K187" s="98"/>
    </row>
    <row r="188" spans="1:11" ht="16">
      <c r="A188" s="106">
        <v>40239</v>
      </c>
      <c r="B188" s="107">
        <v>4.57</v>
      </c>
      <c r="G188" s="111">
        <v>40234</v>
      </c>
      <c r="H188" s="112">
        <v>369.61</v>
      </c>
      <c r="I188" s="114">
        <f t="shared" si="2"/>
        <v>-8.3801903114189003E-4</v>
      </c>
      <c r="J188" s="98"/>
      <c r="K188" s="98"/>
    </row>
    <row r="189" spans="1:11" ht="16">
      <c r="A189" s="106">
        <v>40240</v>
      </c>
      <c r="B189" s="107">
        <v>4.55</v>
      </c>
      <c r="G189" s="111">
        <v>40235</v>
      </c>
      <c r="H189" s="112">
        <v>372.54</v>
      </c>
      <c r="I189" s="114">
        <f t="shared" si="2"/>
        <v>7.9272746949488049E-3</v>
      </c>
      <c r="J189" s="98"/>
      <c r="K189" s="98"/>
    </row>
    <row r="190" spans="1:11" ht="16">
      <c r="A190" s="106">
        <v>40241</v>
      </c>
      <c r="B190" s="107">
        <v>4.55</v>
      </c>
      <c r="G190" s="111">
        <v>40236</v>
      </c>
      <c r="H190" s="112">
        <v>373.61</v>
      </c>
      <c r="I190" s="114">
        <f t="shared" si="2"/>
        <v>2.8721748000215541E-3</v>
      </c>
      <c r="J190" s="98"/>
      <c r="K190" s="98"/>
    </row>
    <row r="191" spans="1:11" ht="16">
      <c r="A191" s="106">
        <v>40242</v>
      </c>
      <c r="B191" s="107">
        <v>4.5599999999999996</v>
      </c>
      <c r="G191" s="111">
        <v>40239</v>
      </c>
      <c r="H191" s="112">
        <v>367.65</v>
      </c>
      <c r="I191" s="114">
        <f t="shared" si="2"/>
        <v>-1.5952463799148942E-2</v>
      </c>
      <c r="J191" s="98"/>
      <c r="K191" s="98"/>
    </row>
    <row r="192" spans="1:11" ht="16">
      <c r="A192" s="106">
        <v>40243</v>
      </c>
      <c r="B192" s="107">
        <v>4.59</v>
      </c>
      <c r="G192" s="111">
        <v>40240</v>
      </c>
      <c r="H192" s="112">
        <v>371.33</v>
      </c>
      <c r="I192" s="114">
        <f t="shared" si="2"/>
        <v>1.0009519923840582E-2</v>
      </c>
      <c r="J192" s="98"/>
      <c r="K192" s="98"/>
    </row>
    <row r="193" spans="1:11" ht="16">
      <c r="A193" s="106">
        <v>40246</v>
      </c>
      <c r="B193" s="107">
        <v>4.6399999999999997</v>
      </c>
      <c r="G193" s="111">
        <v>40241</v>
      </c>
      <c r="H193" s="112">
        <v>372.22</v>
      </c>
      <c r="I193" s="114">
        <f t="shared" si="2"/>
        <v>2.3967899173242824E-3</v>
      </c>
      <c r="J193" s="98"/>
      <c r="K193" s="98"/>
    </row>
    <row r="194" spans="1:11" ht="16">
      <c r="A194" s="106">
        <v>40247</v>
      </c>
      <c r="B194" s="107">
        <v>4.63</v>
      </c>
      <c r="G194" s="111">
        <v>40242</v>
      </c>
      <c r="H194" s="112">
        <v>376.93</v>
      </c>
      <c r="I194" s="114">
        <f t="shared" si="2"/>
        <v>1.2653806888399233E-2</v>
      </c>
      <c r="J194" s="98"/>
      <c r="K194" s="98"/>
    </row>
    <row r="195" spans="1:11" ht="16">
      <c r="A195" s="106">
        <v>40248</v>
      </c>
      <c r="B195" s="107">
        <v>4.67</v>
      </c>
      <c r="G195" s="111">
        <v>40243</v>
      </c>
      <c r="H195" s="112">
        <v>374.94</v>
      </c>
      <c r="I195" s="114">
        <f t="shared" si="2"/>
        <v>-5.2794948664208752E-3</v>
      </c>
      <c r="J195" s="98"/>
      <c r="K195" s="98"/>
    </row>
    <row r="196" spans="1:11" ht="16">
      <c r="A196" s="106">
        <v>40249</v>
      </c>
      <c r="B196" s="107">
        <v>4.67</v>
      </c>
      <c r="G196" s="111">
        <v>40246</v>
      </c>
      <c r="H196" s="112">
        <v>371.19</v>
      </c>
      <c r="I196" s="114">
        <f t="shared" si="2"/>
        <v>-1.0001600256041021E-2</v>
      </c>
      <c r="J196" s="98"/>
      <c r="K196" s="98"/>
    </row>
    <row r="197" spans="1:11" ht="16">
      <c r="A197" s="106">
        <v>40250</v>
      </c>
      <c r="B197" s="107">
        <v>4.71</v>
      </c>
      <c r="G197" s="111">
        <v>40247</v>
      </c>
      <c r="H197" s="112">
        <v>371.04</v>
      </c>
      <c r="I197" s="114">
        <f t="shared" si="2"/>
        <v>-4.041057140546922E-4</v>
      </c>
      <c r="J197" s="98"/>
      <c r="K197" s="98"/>
    </row>
    <row r="198" spans="1:11" ht="16">
      <c r="A198" s="106">
        <v>40253</v>
      </c>
      <c r="B198" s="107">
        <v>4.71</v>
      </c>
      <c r="G198" s="111">
        <v>40248</v>
      </c>
      <c r="H198" s="112">
        <v>367.84</v>
      </c>
      <c r="I198" s="114">
        <f t="shared" si="2"/>
        <v>-8.624407072013951E-3</v>
      </c>
      <c r="J198" s="98"/>
      <c r="K198" s="98"/>
    </row>
    <row r="199" spans="1:11" ht="16">
      <c r="A199" s="106">
        <v>40254</v>
      </c>
      <c r="B199" s="107">
        <v>4.66</v>
      </c>
      <c r="G199" s="111">
        <v>40249</v>
      </c>
      <c r="H199" s="112">
        <v>366.79</v>
      </c>
      <c r="I199" s="114">
        <f t="shared" si="2"/>
        <v>-2.8545019573726904E-3</v>
      </c>
      <c r="J199" s="98"/>
      <c r="K199" s="98"/>
    </row>
    <row r="200" spans="1:11" ht="16">
      <c r="A200" s="106">
        <v>40255</v>
      </c>
      <c r="B200" s="107">
        <v>4.66</v>
      </c>
      <c r="G200" s="111">
        <v>40250</v>
      </c>
      <c r="H200" s="112">
        <v>364.85</v>
      </c>
      <c r="I200" s="114">
        <f t="shared" si="2"/>
        <v>-5.2891300199023883E-3</v>
      </c>
      <c r="J200" s="98"/>
      <c r="K200" s="98"/>
    </row>
    <row r="201" spans="1:11" ht="16">
      <c r="A201" s="106">
        <v>40256</v>
      </c>
      <c r="B201" s="107">
        <v>4.6900000000000004</v>
      </c>
      <c r="G201" s="111">
        <v>40253</v>
      </c>
      <c r="H201" s="112">
        <v>366.77</v>
      </c>
      <c r="I201" s="114">
        <f t="shared" si="2"/>
        <v>5.2624366177880244E-3</v>
      </c>
      <c r="J201" s="98"/>
      <c r="K201" s="98"/>
    </row>
    <row r="202" spans="1:11" ht="16">
      <c r="A202" s="106">
        <v>40257</v>
      </c>
      <c r="B202" s="107">
        <v>4.6900000000000004</v>
      </c>
      <c r="G202" s="111">
        <v>40254</v>
      </c>
      <c r="H202" s="112">
        <v>370.62</v>
      </c>
      <c r="I202" s="114">
        <f t="shared" si="2"/>
        <v>1.0497041742781654E-2</v>
      </c>
      <c r="J202" s="98"/>
      <c r="K202" s="98"/>
    </row>
    <row r="203" spans="1:11" ht="16">
      <c r="A203" s="106">
        <v>40260</v>
      </c>
      <c r="B203" s="107">
        <v>4.67</v>
      </c>
      <c r="G203" s="111">
        <v>40255</v>
      </c>
      <c r="H203" s="112">
        <v>370.01</v>
      </c>
      <c r="I203" s="114">
        <f t="shared" si="2"/>
        <v>-1.6458906696886766E-3</v>
      </c>
      <c r="J203" s="98"/>
      <c r="K203" s="98"/>
    </row>
    <row r="204" spans="1:11" ht="16">
      <c r="A204" s="106">
        <v>40261</v>
      </c>
      <c r="B204" s="107">
        <v>4.6500000000000004</v>
      </c>
      <c r="G204" s="111">
        <v>40256</v>
      </c>
      <c r="H204" s="112">
        <v>366.66</v>
      </c>
      <c r="I204" s="114">
        <f t="shared" si="2"/>
        <v>-9.0538093565037947E-3</v>
      </c>
      <c r="J204" s="98"/>
      <c r="K204" s="98"/>
    </row>
    <row r="205" spans="1:11" ht="16">
      <c r="A205" s="106">
        <v>40262</v>
      </c>
      <c r="B205" s="107">
        <v>4.58</v>
      </c>
      <c r="G205" s="111">
        <v>40257</v>
      </c>
      <c r="H205" s="112">
        <v>368.02</v>
      </c>
      <c r="I205" s="114">
        <f t="shared" si="2"/>
        <v>3.7091583483335189E-3</v>
      </c>
      <c r="J205" s="98"/>
      <c r="K205" s="98"/>
    </row>
    <row r="206" spans="1:11" ht="16">
      <c r="A206" s="106">
        <v>40263</v>
      </c>
      <c r="B206" s="107">
        <v>4.51</v>
      </c>
      <c r="G206" s="111">
        <v>40260</v>
      </c>
      <c r="H206" s="112">
        <v>370.92</v>
      </c>
      <c r="I206" s="114">
        <f t="shared" si="2"/>
        <v>7.8800065213848747E-3</v>
      </c>
      <c r="J206" s="98"/>
      <c r="K206" s="98"/>
    </row>
    <row r="207" spans="1:11" ht="16">
      <c r="A207" s="106">
        <v>40264</v>
      </c>
      <c r="B207" s="107">
        <v>4.51</v>
      </c>
      <c r="G207" s="111">
        <v>40261</v>
      </c>
      <c r="H207" s="112">
        <v>372.93</v>
      </c>
      <c r="I207" s="114">
        <f t="shared" ref="I207:I270" si="3">H207/H206-1</f>
        <v>5.4189582659334157E-3</v>
      </c>
      <c r="J207" s="98"/>
      <c r="K207" s="98"/>
    </row>
    <row r="208" spans="1:11" ht="16">
      <c r="A208" s="106">
        <v>40267</v>
      </c>
      <c r="B208" s="107">
        <v>4.6100000000000003</v>
      </c>
      <c r="G208" s="111">
        <v>40262</v>
      </c>
      <c r="H208" s="112">
        <v>375.56</v>
      </c>
      <c r="I208" s="114">
        <f t="shared" si="3"/>
        <v>7.05226181857177E-3</v>
      </c>
      <c r="J208" s="98"/>
      <c r="K208" s="98"/>
    </row>
    <row r="209" spans="1:11" ht="16">
      <c r="A209" s="106">
        <v>40268</v>
      </c>
      <c r="B209" s="107">
        <v>4.57</v>
      </c>
      <c r="G209" s="111">
        <v>40263</v>
      </c>
      <c r="H209" s="112">
        <v>377.1</v>
      </c>
      <c r="I209" s="114">
        <f t="shared" si="3"/>
        <v>4.1005431888381239E-3</v>
      </c>
      <c r="J209" s="98"/>
      <c r="K209" s="98"/>
    </row>
    <row r="210" spans="1:11" ht="16">
      <c r="A210" s="106">
        <v>40269</v>
      </c>
      <c r="B210" s="107">
        <v>4.59</v>
      </c>
      <c r="G210" s="111">
        <v>40264</v>
      </c>
      <c r="H210" s="112">
        <v>380.97</v>
      </c>
      <c r="I210" s="114">
        <f t="shared" si="3"/>
        <v>1.0262529832935519E-2</v>
      </c>
      <c r="J210" s="98"/>
      <c r="K210" s="98"/>
    </row>
    <row r="211" spans="1:11" ht="16">
      <c r="A211" s="106">
        <v>40270</v>
      </c>
      <c r="B211" s="107">
        <v>4.59</v>
      </c>
      <c r="G211" s="111">
        <v>40267</v>
      </c>
      <c r="H211" s="112">
        <v>384.94</v>
      </c>
      <c r="I211" s="114">
        <f t="shared" si="3"/>
        <v>1.0420768039478112E-2</v>
      </c>
      <c r="J211" s="98"/>
      <c r="K211" s="98"/>
    </row>
    <row r="212" spans="1:11" ht="16">
      <c r="A212" s="106">
        <v>40271</v>
      </c>
      <c r="B212" s="107">
        <v>4.55</v>
      </c>
      <c r="G212" s="111">
        <v>40268</v>
      </c>
      <c r="H212" s="112">
        <v>387.64</v>
      </c>
      <c r="I212" s="114">
        <f t="shared" si="3"/>
        <v>7.0140801163818267E-3</v>
      </c>
      <c r="J212" s="98"/>
      <c r="K212" s="98"/>
    </row>
    <row r="213" spans="1:11" ht="16">
      <c r="A213" s="106">
        <v>40274</v>
      </c>
      <c r="B213" s="107">
        <v>4.54</v>
      </c>
      <c r="G213" s="111">
        <v>40269</v>
      </c>
      <c r="H213" s="112">
        <v>389.32</v>
      </c>
      <c r="I213" s="114">
        <f t="shared" si="3"/>
        <v>4.3339180683108491E-3</v>
      </c>
      <c r="J213" s="98"/>
      <c r="K213" s="98"/>
    </row>
    <row r="214" spans="1:11" ht="16">
      <c r="A214" s="106">
        <v>40275</v>
      </c>
      <c r="B214" s="107">
        <v>4.51</v>
      </c>
      <c r="G214" s="111">
        <v>40270</v>
      </c>
      <c r="H214" s="112">
        <v>387.42</v>
      </c>
      <c r="I214" s="114">
        <f t="shared" si="3"/>
        <v>-4.8803041200040642E-3</v>
      </c>
      <c r="J214" s="98"/>
      <c r="K214" s="98"/>
    </row>
    <row r="215" spans="1:11" ht="16">
      <c r="A215" s="106">
        <v>40276</v>
      </c>
      <c r="B215" s="107">
        <v>4.5</v>
      </c>
      <c r="G215" s="111">
        <v>40271</v>
      </c>
      <c r="H215" s="112">
        <v>387.7</v>
      </c>
      <c r="I215" s="114">
        <f t="shared" si="3"/>
        <v>7.2272985390520184E-4</v>
      </c>
      <c r="J215" s="98"/>
      <c r="K215" s="98"/>
    </row>
    <row r="216" spans="1:11" ht="16">
      <c r="A216" s="106">
        <v>40277</v>
      </c>
      <c r="B216" s="107">
        <v>4.46</v>
      </c>
      <c r="G216" s="111">
        <v>40274</v>
      </c>
      <c r="H216" s="112">
        <v>387.86</v>
      </c>
      <c r="I216" s="114">
        <f t="shared" si="3"/>
        <v>4.126902244003805E-4</v>
      </c>
      <c r="J216" s="98"/>
      <c r="K216" s="98"/>
    </row>
    <row r="217" spans="1:11" ht="16">
      <c r="A217" s="106">
        <v>40278</v>
      </c>
      <c r="B217" s="107">
        <v>4.47</v>
      </c>
      <c r="G217" s="111">
        <v>40275</v>
      </c>
      <c r="H217" s="112">
        <v>390.99</v>
      </c>
      <c r="I217" s="114">
        <f t="shared" si="3"/>
        <v>8.0699221368534246E-3</v>
      </c>
      <c r="J217" s="98"/>
      <c r="K217" s="98"/>
    </row>
    <row r="218" spans="1:11" ht="16">
      <c r="A218" s="106">
        <v>40281</v>
      </c>
      <c r="B218" s="107">
        <v>4.51</v>
      </c>
      <c r="G218" s="111">
        <v>40276</v>
      </c>
      <c r="H218" s="112">
        <v>392.17</v>
      </c>
      <c r="I218" s="114">
        <f t="shared" si="3"/>
        <v>3.0179799994884959E-3</v>
      </c>
      <c r="J218" s="98"/>
      <c r="K218" s="98"/>
    </row>
    <row r="219" spans="1:11" ht="16">
      <c r="A219" s="106">
        <v>40282</v>
      </c>
      <c r="B219" s="107">
        <v>4.54</v>
      </c>
      <c r="G219" s="111">
        <v>40277</v>
      </c>
      <c r="H219" s="112">
        <v>394.35</v>
      </c>
      <c r="I219" s="114">
        <f t="shared" si="3"/>
        <v>5.5588137797384363E-3</v>
      </c>
      <c r="J219" s="98"/>
      <c r="K219" s="98"/>
    </row>
    <row r="220" spans="1:11" ht="16">
      <c r="A220" s="106">
        <v>40283</v>
      </c>
      <c r="B220" s="107">
        <v>4.55</v>
      </c>
      <c r="G220" s="111">
        <v>40278</v>
      </c>
      <c r="H220" s="112">
        <v>391.47</v>
      </c>
      <c r="I220" s="114">
        <f t="shared" si="3"/>
        <v>-7.3031570939520174E-3</v>
      </c>
      <c r="J220" s="98"/>
      <c r="K220" s="98"/>
    </row>
    <row r="221" spans="1:11" ht="16">
      <c r="A221" s="106">
        <v>40284</v>
      </c>
      <c r="B221" s="107">
        <v>4.55</v>
      </c>
      <c r="G221" s="111">
        <v>40281</v>
      </c>
      <c r="H221" s="112">
        <v>390.14</v>
      </c>
      <c r="I221" s="114">
        <f t="shared" si="3"/>
        <v>-3.3974506347869138E-3</v>
      </c>
      <c r="J221" s="98"/>
      <c r="K221" s="98"/>
    </row>
    <row r="222" spans="1:11" ht="16">
      <c r="A222" s="106">
        <v>40288</v>
      </c>
      <c r="B222" s="107">
        <v>4.54</v>
      </c>
      <c r="G222" s="111">
        <v>40282</v>
      </c>
      <c r="H222" s="112">
        <v>385.77</v>
      </c>
      <c r="I222" s="114">
        <f t="shared" si="3"/>
        <v>-1.120110729481727E-2</v>
      </c>
      <c r="J222" s="98"/>
      <c r="K222" s="98"/>
    </row>
    <row r="223" spans="1:11" ht="16">
      <c r="A223" s="106">
        <v>40289</v>
      </c>
      <c r="B223" s="107">
        <v>4.54</v>
      </c>
      <c r="G223" s="111">
        <v>40283</v>
      </c>
      <c r="H223" s="112">
        <v>386.84</v>
      </c>
      <c r="I223" s="114">
        <f t="shared" si="3"/>
        <v>2.7736734323560164E-3</v>
      </c>
      <c r="J223" s="98"/>
      <c r="K223" s="98"/>
    </row>
    <row r="224" spans="1:11" ht="16">
      <c r="A224" s="106">
        <v>40290</v>
      </c>
      <c r="B224" s="107">
        <v>4.54</v>
      </c>
      <c r="G224" s="111">
        <v>40284</v>
      </c>
      <c r="H224" s="112">
        <v>389.99</v>
      </c>
      <c r="I224" s="114">
        <f t="shared" si="3"/>
        <v>8.1429014579672554E-3</v>
      </c>
      <c r="J224" s="98"/>
      <c r="K224" s="98"/>
    </row>
    <row r="225" spans="1:11" ht="16">
      <c r="A225" s="106">
        <v>40291</v>
      </c>
      <c r="B225" s="107">
        <v>4.55</v>
      </c>
      <c r="G225" s="111">
        <v>40285</v>
      </c>
      <c r="H225" s="112">
        <v>390.51</v>
      </c>
      <c r="I225" s="114">
        <f t="shared" si="3"/>
        <v>1.3333675222442221E-3</v>
      </c>
      <c r="J225" s="98"/>
      <c r="K225" s="98"/>
    </row>
    <row r="226" spans="1:11" ht="16">
      <c r="A226" s="106">
        <v>40292</v>
      </c>
      <c r="B226" s="107">
        <v>4.6100000000000003</v>
      </c>
      <c r="G226" s="111">
        <v>40288</v>
      </c>
      <c r="H226" s="112">
        <v>390.65</v>
      </c>
      <c r="I226" s="114">
        <f t="shared" si="3"/>
        <v>3.5850554403205059E-4</v>
      </c>
      <c r="J226" s="98"/>
      <c r="K226" s="98"/>
    </row>
    <row r="227" spans="1:11" ht="16">
      <c r="A227" s="106">
        <v>40295</v>
      </c>
      <c r="B227" s="107">
        <v>4.62</v>
      </c>
      <c r="G227" s="111">
        <v>40289</v>
      </c>
      <c r="H227" s="112">
        <v>389.83</v>
      </c>
      <c r="I227" s="114">
        <f t="shared" si="3"/>
        <v>-2.099065659797783E-3</v>
      </c>
      <c r="J227" s="98"/>
      <c r="K227" s="98"/>
    </row>
    <row r="228" spans="1:11" ht="16">
      <c r="A228" s="106">
        <v>40296</v>
      </c>
      <c r="B228" s="107">
        <v>4.5999999999999996</v>
      </c>
      <c r="G228" s="111">
        <v>40290</v>
      </c>
      <c r="H228" s="112">
        <v>387.94</v>
      </c>
      <c r="I228" s="114">
        <f t="shared" si="3"/>
        <v>-4.8482671933919308E-3</v>
      </c>
      <c r="J228" s="98"/>
      <c r="K228" s="98"/>
    </row>
    <row r="229" spans="1:11" ht="16">
      <c r="A229" s="106">
        <v>40297</v>
      </c>
      <c r="B229" s="107">
        <v>4.58</v>
      </c>
      <c r="G229" s="111">
        <v>40291</v>
      </c>
      <c r="H229" s="112">
        <v>388.09</v>
      </c>
      <c r="I229" s="114">
        <f t="shared" si="3"/>
        <v>3.8665773057688924E-4</v>
      </c>
      <c r="J229" s="98"/>
      <c r="K229" s="98"/>
    </row>
    <row r="230" spans="1:11" ht="16">
      <c r="A230" s="106">
        <v>40298</v>
      </c>
      <c r="B230" s="107">
        <v>4.54</v>
      </c>
      <c r="G230" s="111">
        <v>40292</v>
      </c>
      <c r="H230" s="112">
        <v>384.19</v>
      </c>
      <c r="I230" s="114">
        <f t="shared" si="3"/>
        <v>-1.0049215388183041E-2</v>
      </c>
      <c r="J230" s="98"/>
      <c r="K230" s="98"/>
    </row>
    <row r="231" spans="1:11" ht="16">
      <c r="A231" s="106">
        <v>40299</v>
      </c>
      <c r="B231" s="107">
        <v>4.53</v>
      </c>
      <c r="G231" s="111">
        <v>40295</v>
      </c>
      <c r="H231" s="112">
        <v>383.23</v>
      </c>
      <c r="I231" s="114">
        <f t="shared" si="3"/>
        <v>-2.4987636325776164E-3</v>
      </c>
      <c r="J231" s="98"/>
      <c r="K231" s="98"/>
    </row>
    <row r="232" spans="1:11" ht="16">
      <c r="A232" s="106">
        <v>40302</v>
      </c>
      <c r="B232" s="107">
        <v>4.54</v>
      </c>
      <c r="G232" s="111">
        <v>40296</v>
      </c>
      <c r="H232" s="112">
        <v>386.35</v>
      </c>
      <c r="I232" s="114">
        <f t="shared" si="3"/>
        <v>8.1413250528403758E-3</v>
      </c>
      <c r="J232" s="98"/>
      <c r="K232" s="98"/>
    </row>
    <row r="233" spans="1:11" ht="16">
      <c r="A233" s="106">
        <v>40303</v>
      </c>
      <c r="B233" s="107">
        <v>4.5199999999999996</v>
      </c>
      <c r="G233" s="111">
        <v>40297</v>
      </c>
      <c r="H233" s="112">
        <v>384.77</v>
      </c>
      <c r="I233" s="114">
        <f t="shared" si="3"/>
        <v>-4.0895561019801407E-3</v>
      </c>
      <c r="J233" s="98"/>
      <c r="K233" s="98"/>
    </row>
    <row r="234" spans="1:11" ht="16">
      <c r="A234" s="106">
        <v>40304</v>
      </c>
      <c r="B234" s="107">
        <v>4.46</v>
      </c>
      <c r="G234" s="111">
        <v>40298</v>
      </c>
      <c r="H234" s="112">
        <v>385.33</v>
      </c>
      <c r="I234" s="114">
        <f t="shared" si="3"/>
        <v>1.4554149232008928E-3</v>
      </c>
      <c r="J234" s="98"/>
      <c r="K234" s="98"/>
    </row>
    <row r="235" spans="1:11" ht="16">
      <c r="A235" s="106">
        <v>40305</v>
      </c>
      <c r="B235" s="107">
        <v>4.4000000000000004</v>
      </c>
      <c r="G235" s="111">
        <v>40299</v>
      </c>
      <c r="H235" s="112">
        <v>388.59</v>
      </c>
      <c r="I235" s="114">
        <f t="shared" si="3"/>
        <v>8.4602807982767647E-3</v>
      </c>
      <c r="J235" s="98"/>
      <c r="K235" s="98"/>
    </row>
    <row r="236" spans="1:11" ht="16">
      <c r="A236" s="106">
        <v>40306</v>
      </c>
      <c r="B236" s="107">
        <v>4.4000000000000004</v>
      </c>
      <c r="G236" s="111">
        <v>40302</v>
      </c>
      <c r="H236" s="112">
        <v>387.92</v>
      </c>
      <c r="I236" s="114">
        <f t="shared" si="3"/>
        <v>-1.7241823001105105E-3</v>
      </c>
      <c r="J236" s="98"/>
      <c r="K236" s="98"/>
    </row>
    <row r="237" spans="1:11" ht="16">
      <c r="A237" s="106">
        <v>40309</v>
      </c>
      <c r="B237" s="107">
        <v>4.4000000000000004</v>
      </c>
      <c r="G237" s="111">
        <v>40303</v>
      </c>
      <c r="H237" s="112">
        <v>388.97</v>
      </c>
      <c r="I237" s="114">
        <f t="shared" si="3"/>
        <v>2.7067436584862214E-3</v>
      </c>
      <c r="J237" s="98"/>
      <c r="K237" s="98"/>
    </row>
    <row r="238" spans="1:11" ht="16">
      <c r="A238" s="106">
        <v>40310</v>
      </c>
      <c r="B238" s="107">
        <v>4.3600000000000003</v>
      </c>
      <c r="G238" s="111">
        <v>40304</v>
      </c>
      <c r="H238" s="112">
        <v>388.97</v>
      </c>
      <c r="I238" s="114">
        <f t="shared" si="3"/>
        <v>0</v>
      </c>
      <c r="J238" s="98"/>
      <c r="K238" s="98"/>
    </row>
    <row r="239" spans="1:11" ht="16">
      <c r="A239" s="106">
        <v>40311</v>
      </c>
      <c r="B239" s="107">
        <v>4.33</v>
      </c>
      <c r="G239" s="111">
        <v>40305</v>
      </c>
      <c r="H239" s="112">
        <v>390.09</v>
      </c>
      <c r="I239" s="114">
        <f t="shared" si="3"/>
        <v>2.8793994395452938E-3</v>
      </c>
      <c r="J239" s="98"/>
      <c r="K239" s="98"/>
    </row>
    <row r="240" spans="1:11" ht="16">
      <c r="A240" s="106">
        <v>40312</v>
      </c>
      <c r="B240" s="107">
        <v>4.3099999999999996</v>
      </c>
      <c r="G240" s="111">
        <v>40306</v>
      </c>
      <c r="H240" s="112">
        <v>389.64</v>
      </c>
      <c r="I240" s="114">
        <f t="shared" si="3"/>
        <v>-1.1535799430900662E-3</v>
      </c>
      <c r="J240" s="98"/>
      <c r="K240" s="98"/>
    </row>
    <row r="241" spans="1:11" ht="16">
      <c r="A241" s="106">
        <v>40313</v>
      </c>
      <c r="B241" s="107">
        <v>4.3099999999999996</v>
      </c>
      <c r="G241" s="111">
        <v>40309</v>
      </c>
      <c r="H241" s="112">
        <v>393.4</v>
      </c>
      <c r="I241" s="114">
        <f t="shared" si="3"/>
        <v>9.6499332717379094E-3</v>
      </c>
      <c r="J241" s="98"/>
      <c r="K241" s="98"/>
    </row>
    <row r="242" spans="1:11" ht="16">
      <c r="A242" s="106">
        <v>40316</v>
      </c>
      <c r="B242" s="107">
        <v>4.3</v>
      </c>
      <c r="G242" s="111">
        <v>40310</v>
      </c>
      <c r="H242" s="112">
        <v>395.28</v>
      </c>
      <c r="I242" s="114">
        <f t="shared" si="3"/>
        <v>4.7788510421962194E-3</v>
      </c>
      <c r="J242" s="98"/>
      <c r="K242" s="98"/>
    </row>
    <row r="243" spans="1:11" ht="16">
      <c r="A243" s="106">
        <v>40317</v>
      </c>
      <c r="B243" s="107">
        <v>4.2699999999999996</v>
      </c>
      <c r="G243" s="111">
        <v>40311</v>
      </c>
      <c r="H243" s="112">
        <v>398.6</v>
      </c>
      <c r="I243" s="114">
        <f t="shared" si="3"/>
        <v>8.3991094920057296E-3</v>
      </c>
      <c r="J243" s="98"/>
      <c r="K243" s="98"/>
    </row>
    <row r="244" spans="1:11" ht="16">
      <c r="A244" s="106">
        <v>40318</v>
      </c>
      <c r="B244" s="107">
        <v>4.26</v>
      </c>
      <c r="G244" s="111">
        <v>40312</v>
      </c>
      <c r="H244" s="112">
        <v>397.28</v>
      </c>
      <c r="I244" s="114">
        <f t="shared" si="3"/>
        <v>-3.3115905669846013E-3</v>
      </c>
      <c r="J244" s="98"/>
      <c r="K244" s="98"/>
    </row>
    <row r="245" spans="1:11" ht="16">
      <c r="A245" s="106">
        <v>40319</v>
      </c>
      <c r="B245" s="107">
        <v>4.26</v>
      </c>
      <c r="G245" s="111">
        <v>40313</v>
      </c>
      <c r="H245" s="112">
        <v>398.4</v>
      </c>
      <c r="I245" s="114">
        <f t="shared" si="3"/>
        <v>2.8191703584374839E-3</v>
      </c>
      <c r="J245" s="98"/>
      <c r="K245" s="98"/>
    </row>
    <row r="246" spans="1:11" ht="16">
      <c r="A246" s="106">
        <v>40320</v>
      </c>
      <c r="B246" s="107">
        <v>4.2300000000000004</v>
      </c>
      <c r="G246" s="111">
        <v>40316</v>
      </c>
      <c r="H246" s="112">
        <v>400.28</v>
      </c>
      <c r="I246" s="114">
        <f t="shared" si="3"/>
        <v>4.718875502008002E-3</v>
      </c>
      <c r="J246" s="98"/>
      <c r="K246" s="98"/>
    </row>
    <row r="247" spans="1:11" ht="16">
      <c r="A247" s="106">
        <v>40323</v>
      </c>
      <c r="B247" s="107">
        <v>4.22</v>
      </c>
      <c r="G247" s="111">
        <v>40317</v>
      </c>
      <c r="H247" s="112">
        <v>398.41</v>
      </c>
      <c r="I247" s="114">
        <f t="shared" si="3"/>
        <v>-4.6717297891474274E-3</v>
      </c>
      <c r="J247" s="98"/>
      <c r="K247" s="98"/>
    </row>
    <row r="248" spans="1:11" ht="16">
      <c r="A248" s="106">
        <v>40324</v>
      </c>
      <c r="B248" s="107">
        <v>4.2</v>
      </c>
      <c r="G248" s="111">
        <v>40318</v>
      </c>
      <c r="H248" s="112">
        <v>399.62</v>
      </c>
      <c r="I248" s="114">
        <f t="shared" si="3"/>
        <v>3.0370723626413909E-3</v>
      </c>
      <c r="J248" s="98"/>
      <c r="K248" s="98"/>
    </row>
    <row r="249" spans="1:11" ht="16">
      <c r="A249" s="106">
        <v>40325</v>
      </c>
      <c r="B249" s="107">
        <v>4.1399999999999997</v>
      </c>
      <c r="G249" s="111">
        <v>40319</v>
      </c>
      <c r="H249" s="112">
        <v>403.52</v>
      </c>
      <c r="I249" s="114">
        <f t="shared" si="3"/>
        <v>9.7592713077423454E-3</v>
      </c>
      <c r="J249" s="98"/>
      <c r="K249" s="98"/>
    </row>
    <row r="250" spans="1:11" ht="16">
      <c r="A250" s="106">
        <v>40326</v>
      </c>
      <c r="B250" s="107">
        <v>4.0999999999999996</v>
      </c>
      <c r="G250" s="111">
        <v>40320</v>
      </c>
      <c r="H250" s="112">
        <v>404.87</v>
      </c>
      <c r="I250" s="114">
        <f t="shared" si="3"/>
        <v>3.3455590800952617E-3</v>
      </c>
      <c r="J250" s="98"/>
      <c r="K250" s="98"/>
    </row>
    <row r="251" spans="1:11" ht="16">
      <c r="A251" s="106">
        <v>40327</v>
      </c>
      <c r="B251" s="107">
        <v>4.0999999999999996</v>
      </c>
      <c r="G251" s="111">
        <v>40323</v>
      </c>
      <c r="H251" s="112">
        <v>404.64</v>
      </c>
      <c r="I251" s="114">
        <f t="shared" si="3"/>
        <v>-5.6808358238447099E-4</v>
      </c>
      <c r="J251" s="98"/>
      <c r="K251" s="98"/>
    </row>
    <row r="252" spans="1:11" ht="16">
      <c r="A252" s="106">
        <v>40328</v>
      </c>
      <c r="B252" s="107">
        <v>4.16</v>
      </c>
      <c r="G252" s="111">
        <v>40324</v>
      </c>
      <c r="H252" s="112">
        <v>401.54</v>
      </c>
      <c r="I252" s="114">
        <f t="shared" si="3"/>
        <v>-7.6611308817713386E-3</v>
      </c>
      <c r="J252" s="98"/>
      <c r="K252" s="98"/>
    </row>
    <row r="253" spans="1:11" ht="16">
      <c r="A253" s="106">
        <v>40330</v>
      </c>
      <c r="B253" s="107">
        <v>4.18</v>
      </c>
      <c r="G253" s="111">
        <v>40325</v>
      </c>
      <c r="H253" s="112">
        <v>403.02</v>
      </c>
      <c r="I253" s="114">
        <f t="shared" si="3"/>
        <v>3.6858096329130952E-3</v>
      </c>
      <c r="J253" s="98"/>
      <c r="K253" s="98"/>
    </row>
    <row r="254" spans="1:11" ht="16">
      <c r="A254" s="106">
        <v>40331</v>
      </c>
      <c r="B254" s="107">
        <v>4.21</v>
      </c>
      <c r="G254" s="111">
        <v>40326</v>
      </c>
      <c r="H254" s="112">
        <v>403.27</v>
      </c>
      <c r="I254" s="114">
        <f t="shared" si="3"/>
        <v>6.2031660959749324E-4</v>
      </c>
      <c r="J254" s="98"/>
      <c r="K254" s="98"/>
    </row>
    <row r="255" spans="1:11" ht="16">
      <c r="A255" s="106">
        <v>40332</v>
      </c>
      <c r="B255" s="107">
        <v>4.22</v>
      </c>
      <c r="G255" s="111">
        <v>40327</v>
      </c>
      <c r="H255" s="112">
        <v>399.92</v>
      </c>
      <c r="I255" s="114">
        <f t="shared" si="3"/>
        <v>-8.3070895429859792E-3</v>
      </c>
      <c r="J255" s="98"/>
      <c r="K255" s="98"/>
    </row>
    <row r="256" spans="1:11" ht="16">
      <c r="A256" s="106">
        <v>40333</v>
      </c>
      <c r="B256" s="107">
        <v>4.2</v>
      </c>
      <c r="G256" s="111">
        <v>40330</v>
      </c>
      <c r="H256" s="112">
        <v>400.92</v>
      </c>
      <c r="I256" s="114">
        <f t="shared" si="3"/>
        <v>2.5005001000200089E-3</v>
      </c>
      <c r="J256" s="98"/>
      <c r="K256" s="98"/>
    </row>
    <row r="257" spans="1:11" ht="16">
      <c r="A257" s="106">
        <v>40334</v>
      </c>
      <c r="B257" s="107">
        <v>4.13</v>
      </c>
      <c r="G257" s="111">
        <v>40331</v>
      </c>
      <c r="H257" s="112">
        <v>403.12</v>
      </c>
      <c r="I257" s="114">
        <f t="shared" si="3"/>
        <v>5.4873790282350399E-3</v>
      </c>
      <c r="J257" s="98"/>
      <c r="K257" s="98"/>
    </row>
    <row r="258" spans="1:11" ht="16">
      <c r="A258" s="106">
        <v>40337</v>
      </c>
      <c r="B258" s="107">
        <v>4.0999999999999996</v>
      </c>
      <c r="G258" s="111">
        <v>40332</v>
      </c>
      <c r="H258" s="112">
        <v>401.47</v>
      </c>
      <c r="I258" s="114">
        <f t="shared" si="3"/>
        <v>-4.0930740226234885E-3</v>
      </c>
      <c r="J258" s="98"/>
      <c r="K258" s="98"/>
    </row>
    <row r="259" spans="1:11" ht="16">
      <c r="A259" s="106">
        <v>40338</v>
      </c>
      <c r="B259" s="107">
        <v>4.12</v>
      </c>
      <c r="G259" s="111">
        <v>40333</v>
      </c>
      <c r="H259" s="112">
        <v>403.74</v>
      </c>
      <c r="I259" s="114">
        <f t="shared" si="3"/>
        <v>5.6542207387848542E-3</v>
      </c>
      <c r="J259" s="98"/>
      <c r="K259" s="98"/>
    </row>
    <row r="260" spans="1:11" ht="16">
      <c r="A260" s="106">
        <v>40339</v>
      </c>
      <c r="B260" s="107">
        <v>4.1500000000000004</v>
      </c>
      <c r="G260" s="111">
        <v>40334</v>
      </c>
      <c r="H260" s="112">
        <v>408.39</v>
      </c>
      <c r="I260" s="114">
        <f t="shared" si="3"/>
        <v>1.1517313122306305E-2</v>
      </c>
      <c r="J260" s="98"/>
      <c r="K260" s="98"/>
    </row>
    <row r="261" spans="1:11" ht="16">
      <c r="A261" s="106">
        <v>40340</v>
      </c>
      <c r="B261" s="107">
        <v>4.1399999999999997</v>
      </c>
      <c r="G261" s="111">
        <v>40337</v>
      </c>
      <c r="H261" s="112">
        <v>410.67</v>
      </c>
      <c r="I261" s="114">
        <f t="shared" si="3"/>
        <v>5.582898699772354E-3</v>
      </c>
      <c r="J261" s="98"/>
      <c r="K261" s="98"/>
    </row>
    <row r="262" spans="1:11" ht="16">
      <c r="A262" s="106">
        <v>40341</v>
      </c>
      <c r="B262" s="107">
        <v>4.1500000000000004</v>
      </c>
      <c r="G262" s="111">
        <v>40338</v>
      </c>
      <c r="H262" s="112">
        <v>413.23</v>
      </c>
      <c r="I262" s="114">
        <f t="shared" si="3"/>
        <v>6.2337156354250745E-3</v>
      </c>
      <c r="J262" s="98"/>
      <c r="K262" s="98"/>
    </row>
    <row r="263" spans="1:11" ht="16">
      <c r="A263" s="106">
        <v>40344</v>
      </c>
      <c r="B263" s="107">
        <v>4.1900000000000004</v>
      </c>
      <c r="G263" s="111">
        <v>40339</v>
      </c>
      <c r="H263" s="112">
        <v>412.75</v>
      </c>
      <c r="I263" s="114">
        <f t="shared" si="3"/>
        <v>-1.16158071776018E-3</v>
      </c>
      <c r="J263" s="98"/>
      <c r="K263" s="98"/>
    </row>
    <row r="264" spans="1:11" ht="16">
      <c r="A264" s="106">
        <v>40345</v>
      </c>
      <c r="B264" s="107">
        <v>4.21</v>
      </c>
      <c r="G264" s="111">
        <v>40340</v>
      </c>
      <c r="H264" s="112">
        <v>412.96</v>
      </c>
      <c r="I264" s="114">
        <f t="shared" si="3"/>
        <v>5.0878255602659905E-4</v>
      </c>
      <c r="J264" s="98"/>
      <c r="K264" s="98"/>
    </row>
    <row r="265" spans="1:11" ht="16">
      <c r="A265" s="106">
        <v>40346</v>
      </c>
      <c r="B265" s="107">
        <v>4.1900000000000004</v>
      </c>
      <c r="G265" s="111">
        <v>40341</v>
      </c>
      <c r="H265" s="112">
        <v>411.31</v>
      </c>
      <c r="I265" s="114">
        <f t="shared" si="3"/>
        <v>-3.9955443626500387E-3</v>
      </c>
      <c r="J265" s="98"/>
      <c r="K265" s="98"/>
    </row>
    <row r="266" spans="1:11" ht="16">
      <c r="A266" s="106">
        <v>40347</v>
      </c>
      <c r="B266" s="107">
        <v>4.1500000000000004</v>
      </c>
      <c r="G266" s="111">
        <v>40344</v>
      </c>
      <c r="H266" s="112">
        <v>410.58</v>
      </c>
      <c r="I266" s="114">
        <f t="shared" si="3"/>
        <v>-1.7748170479687797E-3</v>
      </c>
      <c r="J266" s="98"/>
      <c r="K266" s="98"/>
    </row>
    <row r="267" spans="1:11" ht="16">
      <c r="A267" s="106">
        <v>40348</v>
      </c>
      <c r="B267" s="107">
        <v>4.1399999999999997</v>
      </c>
      <c r="G267" s="111">
        <v>40345</v>
      </c>
      <c r="H267" s="112">
        <v>409.54</v>
      </c>
      <c r="I267" s="114">
        <f t="shared" si="3"/>
        <v>-2.533002094597836E-3</v>
      </c>
      <c r="J267" s="98"/>
      <c r="K267" s="98"/>
    </row>
    <row r="268" spans="1:11" ht="16">
      <c r="A268" s="106">
        <v>40351</v>
      </c>
      <c r="B268" s="107">
        <v>4.1399999999999997</v>
      </c>
      <c r="G268" s="111">
        <v>40346</v>
      </c>
      <c r="H268" s="112">
        <v>410.13</v>
      </c>
      <c r="I268" s="114">
        <f t="shared" si="3"/>
        <v>1.4406407188551906E-3</v>
      </c>
      <c r="J268" s="98"/>
      <c r="K268" s="98"/>
    </row>
    <row r="269" spans="1:11" ht="16">
      <c r="A269" s="106">
        <v>40352</v>
      </c>
      <c r="B269" s="107">
        <v>4.0999999999999996</v>
      </c>
      <c r="G269" s="111">
        <v>40347</v>
      </c>
      <c r="H269" s="112">
        <v>412.36</v>
      </c>
      <c r="I269" s="114">
        <f t="shared" si="3"/>
        <v>5.4373003681760235E-3</v>
      </c>
      <c r="J269" s="98"/>
      <c r="K269" s="98"/>
    </row>
    <row r="270" spans="1:11" ht="16">
      <c r="A270" s="106">
        <v>40353</v>
      </c>
      <c r="B270" s="107">
        <v>4.09</v>
      </c>
      <c r="G270" s="111">
        <v>40348</v>
      </c>
      <c r="H270" s="112">
        <v>410.76</v>
      </c>
      <c r="I270" s="114">
        <f t="shared" si="3"/>
        <v>-3.8801047628286289E-3</v>
      </c>
      <c r="J270" s="98"/>
      <c r="K270" s="98"/>
    </row>
    <row r="271" spans="1:11" ht="16">
      <c r="A271" s="106">
        <v>40354</v>
      </c>
      <c r="B271" s="107">
        <v>4.08</v>
      </c>
      <c r="G271" s="111">
        <v>40351</v>
      </c>
      <c r="H271" s="112">
        <v>409.85</v>
      </c>
      <c r="I271" s="114">
        <f t="shared" ref="I271:I334" si="4">H271/H270-1</f>
        <v>-2.2154055896386193E-3</v>
      </c>
      <c r="J271" s="98"/>
      <c r="K271" s="98"/>
    </row>
    <row r="272" spans="1:11" ht="16">
      <c r="A272" s="106">
        <v>40355</v>
      </c>
      <c r="B272" s="107">
        <v>4.09</v>
      </c>
      <c r="G272" s="111">
        <v>40352</v>
      </c>
      <c r="H272" s="112">
        <v>412.22</v>
      </c>
      <c r="I272" s="114">
        <f t="shared" si="4"/>
        <v>5.7826033914847308E-3</v>
      </c>
      <c r="J272" s="98"/>
      <c r="K272" s="98"/>
    </row>
    <row r="273" spans="1:11" ht="16">
      <c r="A273" s="106">
        <v>40358</v>
      </c>
      <c r="B273" s="107">
        <v>4.12</v>
      </c>
      <c r="G273" s="111">
        <v>40353</v>
      </c>
      <c r="H273" s="112">
        <v>410.48</v>
      </c>
      <c r="I273" s="114">
        <f t="shared" si="4"/>
        <v>-4.2210470137306055E-3</v>
      </c>
      <c r="J273" s="98"/>
      <c r="K273" s="98"/>
    </row>
    <row r="274" spans="1:11" ht="16">
      <c r="A274" s="106">
        <v>40359</v>
      </c>
      <c r="B274" s="107">
        <v>4.1399999999999997</v>
      </c>
      <c r="G274" s="111">
        <v>40354</v>
      </c>
      <c r="H274" s="112">
        <v>411.97</v>
      </c>
      <c r="I274" s="114">
        <f t="shared" si="4"/>
        <v>3.6298967062950993E-3</v>
      </c>
      <c r="J274" s="98"/>
      <c r="K274" s="98"/>
    </row>
    <row r="275" spans="1:11" ht="16">
      <c r="A275" s="106">
        <v>40360</v>
      </c>
      <c r="B275" s="107">
        <v>4.16</v>
      </c>
      <c r="G275" s="111">
        <v>40355</v>
      </c>
      <c r="H275" s="112">
        <v>412.21</v>
      </c>
      <c r="I275" s="114">
        <f t="shared" si="4"/>
        <v>5.8256669174938658E-4</v>
      </c>
      <c r="J275" s="98"/>
      <c r="K275" s="98"/>
    </row>
    <row r="276" spans="1:11" ht="16">
      <c r="A276" s="106">
        <v>40361</v>
      </c>
      <c r="B276" s="107">
        <v>4.16</v>
      </c>
      <c r="G276" s="111">
        <v>40358</v>
      </c>
      <c r="H276" s="112">
        <v>414.27</v>
      </c>
      <c r="I276" s="114">
        <f t="shared" si="4"/>
        <v>4.9974527546639003E-3</v>
      </c>
      <c r="J276" s="98"/>
      <c r="K276" s="98"/>
    </row>
    <row r="277" spans="1:11" ht="16">
      <c r="A277" s="106">
        <v>40362</v>
      </c>
      <c r="B277" s="107">
        <v>4.16</v>
      </c>
      <c r="G277" s="111">
        <v>40359</v>
      </c>
      <c r="H277" s="112">
        <v>414.84</v>
      </c>
      <c r="I277" s="114">
        <f t="shared" si="4"/>
        <v>1.3759142588167794E-3</v>
      </c>
      <c r="J277" s="98"/>
      <c r="K277" s="98"/>
    </row>
    <row r="278" spans="1:11" ht="16">
      <c r="A278" s="106">
        <v>40365</v>
      </c>
      <c r="B278" s="107">
        <v>4.1500000000000004</v>
      </c>
      <c r="G278" s="111">
        <v>40360</v>
      </c>
      <c r="H278" s="112">
        <v>417.92</v>
      </c>
      <c r="I278" s="114">
        <f t="shared" si="4"/>
        <v>7.4245492237972055E-3</v>
      </c>
      <c r="J278" s="98"/>
      <c r="K278" s="98"/>
    </row>
    <row r="279" spans="1:11" ht="16">
      <c r="A279" s="106">
        <v>40366</v>
      </c>
      <c r="B279" s="107">
        <v>4.1100000000000003</v>
      </c>
      <c r="G279" s="111">
        <v>40361</v>
      </c>
      <c r="H279" s="112">
        <v>419.24</v>
      </c>
      <c r="I279" s="114">
        <f t="shared" si="4"/>
        <v>3.1584992343032248E-3</v>
      </c>
      <c r="J279" s="98"/>
      <c r="K279" s="98"/>
    </row>
    <row r="280" spans="1:11" ht="16">
      <c r="A280" s="106">
        <v>40367</v>
      </c>
      <c r="B280" s="107">
        <v>4.09</v>
      </c>
      <c r="G280" s="111">
        <v>40362</v>
      </c>
      <c r="H280" s="112">
        <v>420.07</v>
      </c>
      <c r="I280" s="114">
        <f t="shared" si="4"/>
        <v>1.9797729224311222E-3</v>
      </c>
      <c r="J280" s="98"/>
      <c r="K280" s="98"/>
    </row>
    <row r="281" spans="1:11" ht="16">
      <c r="A281" s="106">
        <v>40368</v>
      </c>
      <c r="B281" s="107">
        <v>4.0999999999999996</v>
      </c>
      <c r="G281" s="111">
        <v>40365</v>
      </c>
      <c r="H281" s="112">
        <v>420.7</v>
      </c>
      <c r="I281" s="114">
        <f t="shared" si="4"/>
        <v>1.4997500416598086E-3</v>
      </c>
      <c r="J281" s="98"/>
      <c r="K281" s="98"/>
    </row>
    <row r="282" spans="1:11" ht="16">
      <c r="A282" s="106">
        <v>40369</v>
      </c>
      <c r="B282" s="107">
        <v>4.09</v>
      </c>
      <c r="G282" s="111">
        <v>40366</v>
      </c>
      <c r="H282" s="112">
        <v>420.3</v>
      </c>
      <c r="I282" s="114">
        <f t="shared" si="4"/>
        <v>-9.5079629189442905E-4</v>
      </c>
      <c r="J282" s="98"/>
      <c r="K282" s="98"/>
    </row>
    <row r="283" spans="1:11" ht="16">
      <c r="A283" s="106">
        <v>40372</v>
      </c>
      <c r="B283" s="107">
        <v>4.0999999999999996</v>
      </c>
      <c r="G283" s="111">
        <v>40367</v>
      </c>
      <c r="H283" s="112">
        <v>419.22</v>
      </c>
      <c r="I283" s="114">
        <f t="shared" si="4"/>
        <v>-2.5695931477515144E-3</v>
      </c>
      <c r="J283" s="98"/>
      <c r="K283" s="98"/>
    </row>
    <row r="284" spans="1:11" ht="16">
      <c r="A284" s="106">
        <v>40373</v>
      </c>
      <c r="B284" s="107">
        <v>4.0999999999999996</v>
      </c>
      <c r="G284" s="111">
        <v>40368</v>
      </c>
      <c r="H284" s="112">
        <v>419.82</v>
      </c>
      <c r="I284" s="114">
        <f t="shared" si="4"/>
        <v>1.4312294260769853E-3</v>
      </c>
      <c r="J284" s="98"/>
      <c r="K284" s="98"/>
    </row>
    <row r="285" spans="1:11" ht="16">
      <c r="A285" s="106">
        <v>40374</v>
      </c>
      <c r="B285" s="107">
        <v>4.12</v>
      </c>
      <c r="G285" s="111">
        <v>40369</v>
      </c>
      <c r="H285" s="112">
        <v>418.86</v>
      </c>
      <c r="I285" s="114">
        <f t="shared" si="4"/>
        <v>-2.2866942975560134E-3</v>
      </c>
      <c r="J285" s="98"/>
      <c r="K285" s="98"/>
    </row>
    <row r="286" spans="1:11" ht="16">
      <c r="A286" s="106">
        <v>40375</v>
      </c>
      <c r="B286" s="107">
        <v>4.16</v>
      </c>
      <c r="G286" s="111">
        <v>40372</v>
      </c>
      <c r="H286" s="112">
        <v>421.3</v>
      </c>
      <c r="I286" s="114">
        <f t="shared" si="4"/>
        <v>5.8253354342738817E-3</v>
      </c>
      <c r="J286" s="98"/>
      <c r="K286" s="98"/>
    </row>
    <row r="287" spans="1:11" ht="16">
      <c r="A287" s="106">
        <v>40376</v>
      </c>
      <c r="B287" s="107">
        <v>4.18</v>
      </c>
      <c r="G287" s="111">
        <v>40373</v>
      </c>
      <c r="H287" s="112">
        <v>422.42</v>
      </c>
      <c r="I287" s="114">
        <f t="shared" si="4"/>
        <v>2.6584381675764934E-3</v>
      </c>
      <c r="J287" s="98"/>
      <c r="K287" s="98"/>
    </row>
    <row r="288" spans="1:11" ht="16">
      <c r="A288" s="106">
        <v>40379</v>
      </c>
      <c r="B288" s="107">
        <v>4.21</v>
      </c>
      <c r="G288" s="111">
        <v>40374</v>
      </c>
      <c r="H288" s="112">
        <v>423.45</v>
      </c>
      <c r="I288" s="114">
        <f t="shared" si="4"/>
        <v>2.4383315183940102E-3</v>
      </c>
      <c r="J288" s="98"/>
      <c r="K288" s="98"/>
    </row>
    <row r="289" spans="1:11" ht="16">
      <c r="A289" s="106">
        <v>40380</v>
      </c>
      <c r="B289" s="107">
        <v>4.2</v>
      </c>
      <c r="G289" s="111">
        <v>40375</v>
      </c>
      <c r="H289" s="112">
        <v>421.2</v>
      </c>
      <c r="I289" s="114">
        <f t="shared" si="4"/>
        <v>-5.3134962805525543E-3</v>
      </c>
      <c r="J289" s="98"/>
      <c r="K289" s="98"/>
    </row>
    <row r="290" spans="1:11" ht="16">
      <c r="A290" s="106">
        <v>40381</v>
      </c>
      <c r="B290" s="107">
        <v>4.16</v>
      </c>
      <c r="G290" s="111">
        <v>40376</v>
      </c>
      <c r="H290" s="112">
        <v>421.71</v>
      </c>
      <c r="I290" s="114">
        <f t="shared" si="4"/>
        <v>1.2108262108261325E-3</v>
      </c>
      <c r="J290" s="98"/>
      <c r="K290" s="98"/>
    </row>
    <row r="291" spans="1:11" ht="16">
      <c r="A291" s="106">
        <v>40382</v>
      </c>
      <c r="B291" s="107">
        <v>4.17</v>
      </c>
      <c r="G291" s="111">
        <v>40379</v>
      </c>
      <c r="H291" s="112">
        <v>422.13</v>
      </c>
      <c r="I291" s="114">
        <f t="shared" si="4"/>
        <v>9.9594508074263288E-4</v>
      </c>
      <c r="J291" s="98"/>
      <c r="K291" s="98"/>
    </row>
    <row r="292" spans="1:11" ht="16">
      <c r="A292" s="106">
        <v>40383</v>
      </c>
      <c r="B292" s="107">
        <v>4.21</v>
      </c>
      <c r="G292" s="111">
        <v>40380</v>
      </c>
      <c r="H292" s="112">
        <v>426.47</v>
      </c>
      <c r="I292" s="114">
        <f t="shared" si="4"/>
        <v>1.0281192997418032E-2</v>
      </c>
      <c r="J292" s="98"/>
      <c r="K292" s="98"/>
    </row>
    <row r="293" spans="1:11" ht="16">
      <c r="A293" s="106">
        <v>40386</v>
      </c>
      <c r="B293" s="107">
        <v>4.26</v>
      </c>
      <c r="G293" s="111">
        <v>40381</v>
      </c>
      <c r="H293" s="112">
        <v>428.03</v>
      </c>
      <c r="I293" s="114">
        <f t="shared" si="4"/>
        <v>3.6579360799116056E-3</v>
      </c>
      <c r="J293" s="98"/>
      <c r="K293" s="98"/>
    </row>
    <row r="294" spans="1:11" ht="16">
      <c r="A294" s="106">
        <v>40387</v>
      </c>
      <c r="B294" s="107">
        <v>4.28</v>
      </c>
      <c r="G294" s="111">
        <v>40382</v>
      </c>
      <c r="H294" s="112">
        <v>429.83</v>
      </c>
      <c r="I294" s="114">
        <f t="shared" si="4"/>
        <v>4.2053127117258615E-3</v>
      </c>
      <c r="J294" s="98"/>
      <c r="K294" s="98"/>
    </row>
    <row r="295" spans="1:11" ht="16">
      <c r="A295" s="106">
        <v>40388</v>
      </c>
      <c r="B295" s="107">
        <v>4.3099999999999996</v>
      </c>
      <c r="G295" s="111">
        <v>40383</v>
      </c>
      <c r="H295" s="112">
        <v>428.98</v>
      </c>
      <c r="I295" s="114">
        <f t="shared" si="4"/>
        <v>-1.9775259986505311E-3</v>
      </c>
      <c r="J295" s="98"/>
      <c r="K295" s="98"/>
    </row>
    <row r="296" spans="1:11" ht="16">
      <c r="A296" s="106">
        <v>40389</v>
      </c>
      <c r="B296" s="107">
        <v>4.3499999999999996</v>
      </c>
      <c r="G296" s="111">
        <v>40386</v>
      </c>
      <c r="H296" s="112">
        <v>428.64</v>
      </c>
      <c r="I296" s="114">
        <f t="shared" si="4"/>
        <v>-7.9257774255214741E-4</v>
      </c>
      <c r="J296" s="98"/>
      <c r="K296" s="98"/>
    </row>
    <row r="297" spans="1:11" ht="16">
      <c r="A297" s="106">
        <v>40390</v>
      </c>
      <c r="B297" s="107">
        <v>4.37</v>
      </c>
      <c r="G297" s="111">
        <v>40387</v>
      </c>
      <c r="H297" s="112">
        <v>427.79</v>
      </c>
      <c r="I297" s="114">
        <f t="shared" si="4"/>
        <v>-1.9830160507651184E-3</v>
      </c>
      <c r="J297" s="98"/>
      <c r="K297" s="98"/>
    </row>
    <row r="298" spans="1:11" ht="16">
      <c r="A298" s="106">
        <v>40393</v>
      </c>
      <c r="B298" s="107">
        <v>4.38</v>
      </c>
      <c r="G298" s="111">
        <v>40388</v>
      </c>
      <c r="H298" s="112">
        <v>426.44</v>
      </c>
      <c r="I298" s="114">
        <f t="shared" si="4"/>
        <v>-3.1557539914444099E-3</v>
      </c>
      <c r="J298" s="98"/>
      <c r="K298" s="98"/>
    </row>
    <row r="299" spans="1:11" ht="16">
      <c r="A299" s="106">
        <v>40394</v>
      </c>
      <c r="B299" s="107">
        <v>4.41</v>
      </c>
      <c r="G299" s="111">
        <v>40389</v>
      </c>
      <c r="H299" s="112">
        <v>421.76</v>
      </c>
      <c r="I299" s="114">
        <f t="shared" si="4"/>
        <v>-1.0974580245755594E-2</v>
      </c>
      <c r="J299" s="98"/>
      <c r="K299" s="98"/>
    </row>
    <row r="300" spans="1:11" ht="16">
      <c r="A300" s="106">
        <v>40395</v>
      </c>
      <c r="B300" s="107">
        <v>4.45</v>
      </c>
      <c r="G300" s="111">
        <v>40390</v>
      </c>
      <c r="H300" s="112">
        <v>419.96</v>
      </c>
      <c r="I300" s="114">
        <f t="shared" si="4"/>
        <v>-4.2678300455235574E-3</v>
      </c>
      <c r="J300" s="98"/>
      <c r="K300" s="98"/>
    </row>
    <row r="301" spans="1:11" ht="16">
      <c r="A301" s="106">
        <v>40396</v>
      </c>
      <c r="B301" s="107">
        <v>4.4400000000000004</v>
      </c>
      <c r="G301" s="111">
        <v>40393</v>
      </c>
      <c r="H301" s="112">
        <v>423.62</v>
      </c>
      <c r="I301" s="114">
        <f t="shared" si="4"/>
        <v>8.7151157253071432E-3</v>
      </c>
      <c r="J301" s="98"/>
      <c r="K301" s="98"/>
    </row>
    <row r="302" spans="1:11" ht="16">
      <c r="A302" s="106">
        <v>40397</v>
      </c>
      <c r="B302" s="107">
        <v>4.46</v>
      </c>
      <c r="G302" s="111">
        <v>40394</v>
      </c>
      <c r="H302" s="112">
        <v>421.29</v>
      </c>
      <c r="I302" s="114">
        <f t="shared" si="4"/>
        <v>-5.5002124545583397E-3</v>
      </c>
      <c r="J302" s="98"/>
      <c r="K302" s="98"/>
    </row>
    <row r="303" spans="1:11" ht="16">
      <c r="A303" s="106">
        <v>40400</v>
      </c>
      <c r="B303" s="107">
        <v>4.42</v>
      </c>
      <c r="G303" s="111">
        <v>40395</v>
      </c>
      <c r="H303" s="112">
        <v>419.01</v>
      </c>
      <c r="I303" s="114">
        <f t="shared" si="4"/>
        <v>-5.4119490137435333E-3</v>
      </c>
      <c r="J303" s="98"/>
      <c r="K303" s="98"/>
    </row>
    <row r="304" spans="1:11" ht="16">
      <c r="A304" s="106">
        <v>40401</v>
      </c>
      <c r="B304" s="107">
        <v>4.4000000000000004</v>
      </c>
      <c r="G304" s="111">
        <v>40396</v>
      </c>
      <c r="H304" s="112">
        <v>417.06</v>
      </c>
      <c r="I304" s="114">
        <f t="shared" si="4"/>
        <v>-4.6538268776401548E-3</v>
      </c>
      <c r="J304" s="98"/>
      <c r="K304" s="98"/>
    </row>
    <row r="305" spans="1:11" ht="16">
      <c r="A305" s="106">
        <v>40402</v>
      </c>
      <c r="B305" s="107">
        <v>4.3499999999999996</v>
      </c>
      <c r="G305" s="111">
        <v>40397</v>
      </c>
      <c r="H305" s="112">
        <v>415.7</v>
      </c>
      <c r="I305" s="114">
        <f t="shared" si="4"/>
        <v>-3.2609216899247562E-3</v>
      </c>
      <c r="J305" s="98"/>
      <c r="K305" s="98"/>
    </row>
    <row r="306" spans="1:11" ht="16">
      <c r="A306" s="106">
        <v>40403</v>
      </c>
      <c r="B306" s="107">
        <v>4.3099999999999996</v>
      </c>
      <c r="G306" s="111">
        <v>40400</v>
      </c>
      <c r="H306" s="112">
        <v>421.95</v>
      </c>
      <c r="I306" s="114">
        <f t="shared" si="4"/>
        <v>1.5034880923743055E-2</v>
      </c>
      <c r="J306" s="98"/>
      <c r="K306" s="98"/>
    </row>
    <row r="307" spans="1:11" ht="16">
      <c r="A307" s="106">
        <v>40404</v>
      </c>
      <c r="B307" s="107">
        <v>4.28</v>
      </c>
      <c r="G307" s="111">
        <v>40401</v>
      </c>
      <c r="H307" s="112">
        <v>422.98</v>
      </c>
      <c r="I307" s="114">
        <f t="shared" si="4"/>
        <v>2.441047517478534E-3</v>
      </c>
      <c r="J307" s="98"/>
      <c r="K307" s="98"/>
    </row>
    <row r="308" spans="1:11" ht="16">
      <c r="A308" s="106">
        <v>40407</v>
      </c>
      <c r="B308" s="107">
        <v>4.26</v>
      </c>
      <c r="G308" s="111">
        <v>40402</v>
      </c>
      <c r="H308" s="112">
        <v>425.27</v>
      </c>
      <c r="I308" s="114">
        <f t="shared" si="4"/>
        <v>5.413967563478117E-3</v>
      </c>
      <c r="J308" s="98"/>
      <c r="K308" s="98"/>
    </row>
    <row r="309" spans="1:11" ht="16">
      <c r="A309" s="106">
        <v>40408</v>
      </c>
      <c r="B309" s="107">
        <v>4.25</v>
      </c>
      <c r="G309" s="111">
        <v>40403</v>
      </c>
      <c r="H309" s="112">
        <v>425.7</v>
      </c>
      <c r="I309" s="114">
        <f t="shared" si="4"/>
        <v>1.0111223458038054E-3</v>
      </c>
      <c r="J309" s="98"/>
      <c r="K309" s="98"/>
    </row>
    <row r="310" spans="1:11" ht="16">
      <c r="A310" s="106">
        <v>40409</v>
      </c>
      <c r="B310" s="107">
        <v>4.2699999999999996</v>
      </c>
      <c r="G310" s="111">
        <v>40404</v>
      </c>
      <c r="H310" s="112">
        <v>426.49</v>
      </c>
      <c r="I310" s="114">
        <f t="shared" si="4"/>
        <v>1.8557669720460357E-3</v>
      </c>
      <c r="J310" s="98"/>
      <c r="K310" s="98"/>
    </row>
    <row r="311" spans="1:11" ht="16">
      <c r="A311" s="106">
        <v>40410</v>
      </c>
      <c r="B311" s="107">
        <v>4.26</v>
      </c>
      <c r="G311" s="111">
        <v>40407</v>
      </c>
      <c r="H311" s="112">
        <v>428.09</v>
      </c>
      <c r="I311" s="114">
        <f t="shared" si="4"/>
        <v>3.7515533775702714E-3</v>
      </c>
      <c r="J311" s="98"/>
      <c r="K311" s="98"/>
    </row>
    <row r="312" spans="1:11" ht="16">
      <c r="A312" s="106">
        <v>40411</v>
      </c>
      <c r="B312" s="107">
        <v>4.2699999999999996</v>
      </c>
      <c r="G312" s="111">
        <v>40408</v>
      </c>
      <c r="H312" s="112">
        <v>430.91</v>
      </c>
      <c r="I312" s="114">
        <f t="shared" si="4"/>
        <v>6.5873998458270133E-3</v>
      </c>
      <c r="J312" s="98"/>
      <c r="K312" s="98"/>
    </row>
    <row r="313" spans="1:11" ht="16">
      <c r="A313" s="106">
        <v>40414</v>
      </c>
      <c r="B313" s="107">
        <v>4.2699999999999996</v>
      </c>
      <c r="G313" s="111">
        <v>40409</v>
      </c>
      <c r="H313" s="112">
        <v>431.26</v>
      </c>
      <c r="I313" s="114">
        <f t="shared" si="4"/>
        <v>8.1223457334478333E-4</v>
      </c>
      <c r="J313" s="98"/>
      <c r="K313" s="98"/>
    </row>
    <row r="314" spans="1:11" ht="16">
      <c r="A314" s="106">
        <v>40415</v>
      </c>
      <c r="B314" s="107">
        <v>4.24</v>
      </c>
      <c r="G314" s="111">
        <v>40410</v>
      </c>
      <c r="H314" s="112">
        <v>431.03</v>
      </c>
      <c r="I314" s="114">
        <f t="shared" si="4"/>
        <v>-5.333209664704075E-4</v>
      </c>
      <c r="J314" s="98"/>
      <c r="K314" s="98"/>
    </row>
    <row r="315" spans="1:11" ht="16">
      <c r="A315" s="106">
        <v>40416</v>
      </c>
      <c r="B315" s="107">
        <v>4.21</v>
      </c>
      <c r="G315" s="111">
        <v>40411</v>
      </c>
      <c r="H315" s="112">
        <v>430.79</v>
      </c>
      <c r="I315" s="114">
        <f t="shared" si="4"/>
        <v>-5.5680579078010162E-4</v>
      </c>
      <c r="J315" s="98"/>
      <c r="K315" s="98"/>
    </row>
    <row r="316" spans="1:11" ht="16">
      <c r="A316" s="106">
        <v>40417</v>
      </c>
      <c r="B316" s="107">
        <v>4.25</v>
      </c>
      <c r="G316" s="111">
        <v>40414</v>
      </c>
      <c r="H316" s="112">
        <v>432.2</v>
      </c>
      <c r="I316" s="114">
        <f t="shared" si="4"/>
        <v>3.2730564776339843E-3</v>
      </c>
      <c r="J316" s="98"/>
      <c r="K316" s="98"/>
    </row>
    <row r="317" spans="1:11" ht="16">
      <c r="A317" s="106">
        <v>40418</v>
      </c>
      <c r="B317" s="107">
        <v>4.28</v>
      </c>
      <c r="G317" s="111">
        <v>40415</v>
      </c>
      <c r="H317" s="112">
        <v>432.74</v>
      </c>
      <c r="I317" s="114">
        <f t="shared" si="4"/>
        <v>1.2494215640908024E-3</v>
      </c>
      <c r="J317" s="98"/>
      <c r="K317" s="98"/>
    </row>
    <row r="318" spans="1:11" ht="16">
      <c r="A318" s="106">
        <v>40420</v>
      </c>
      <c r="B318" s="107">
        <v>4.28</v>
      </c>
      <c r="G318" s="111">
        <v>40416</v>
      </c>
      <c r="H318" s="112">
        <v>435.02</v>
      </c>
      <c r="I318" s="114">
        <f t="shared" si="4"/>
        <v>5.2687525997134887E-3</v>
      </c>
      <c r="J318" s="98"/>
      <c r="K318" s="98"/>
    </row>
    <row r="319" spans="1:11" ht="16">
      <c r="A319" s="106">
        <v>40421</v>
      </c>
      <c r="B319" s="107">
        <v>4.29</v>
      </c>
      <c r="G319" s="111">
        <v>40417</v>
      </c>
      <c r="H319" s="112">
        <v>432.22</v>
      </c>
      <c r="I319" s="114">
        <f t="shared" si="4"/>
        <v>-6.4364856788192704E-3</v>
      </c>
      <c r="J319" s="98"/>
      <c r="K319" s="98"/>
    </row>
    <row r="320" spans="1:11" ht="16">
      <c r="A320" s="106">
        <v>40422</v>
      </c>
      <c r="B320" s="107">
        <v>4.3600000000000003</v>
      </c>
      <c r="G320" s="111">
        <v>40418</v>
      </c>
      <c r="H320" s="112">
        <v>432.83</v>
      </c>
      <c r="I320" s="114">
        <f t="shared" si="4"/>
        <v>1.4113183101196469E-3</v>
      </c>
      <c r="J320" s="98"/>
      <c r="K320" s="98"/>
    </row>
    <row r="321" spans="1:11" ht="16">
      <c r="A321" s="106">
        <v>40423</v>
      </c>
      <c r="B321" s="107">
        <v>4.32</v>
      </c>
      <c r="G321" s="111">
        <v>40421</v>
      </c>
      <c r="H321" s="112">
        <v>434.12</v>
      </c>
      <c r="I321" s="114">
        <f t="shared" si="4"/>
        <v>2.9803849086247336E-3</v>
      </c>
      <c r="J321" s="98"/>
      <c r="K321" s="98"/>
    </row>
    <row r="322" spans="1:11" ht="16">
      <c r="A322" s="106">
        <v>40424</v>
      </c>
      <c r="B322" s="107">
        <v>4.32</v>
      </c>
      <c r="G322" s="111">
        <v>40422</v>
      </c>
      <c r="H322" s="112">
        <v>434.24</v>
      </c>
      <c r="I322" s="114">
        <f t="shared" si="4"/>
        <v>2.7642126600935235E-4</v>
      </c>
      <c r="J322" s="98"/>
      <c r="K322" s="98"/>
    </row>
    <row r="323" spans="1:11" ht="16">
      <c r="A323" s="106">
        <v>40425</v>
      </c>
      <c r="B323" s="107">
        <v>4.32</v>
      </c>
      <c r="G323" s="111">
        <v>40423</v>
      </c>
      <c r="H323" s="112">
        <v>440.41</v>
      </c>
      <c r="I323" s="114">
        <f t="shared" si="4"/>
        <v>1.4208732498157683E-2</v>
      </c>
      <c r="J323" s="98"/>
      <c r="K323" s="98"/>
    </row>
    <row r="324" spans="1:11" ht="16">
      <c r="A324" s="106">
        <v>40428</v>
      </c>
      <c r="B324" s="107">
        <v>4.3600000000000003</v>
      </c>
      <c r="G324" s="111">
        <v>40424</v>
      </c>
      <c r="H324" s="112">
        <v>439.88</v>
      </c>
      <c r="I324" s="114">
        <f t="shared" si="4"/>
        <v>-1.2034240821053865E-3</v>
      </c>
      <c r="J324" s="98"/>
      <c r="K324" s="98"/>
    </row>
    <row r="325" spans="1:11" ht="16">
      <c r="A325" s="106">
        <v>40429</v>
      </c>
      <c r="B325" s="107">
        <v>4.38</v>
      </c>
      <c r="G325" s="111">
        <v>40425</v>
      </c>
      <c r="H325" s="112">
        <v>439.58</v>
      </c>
      <c r="I325" s="114">
        <f t="shared" si="4"/>
        <v>-6.8200418295905063E-4</v>
      </c>
      <c r="J325" s="98"/>
      <c r="K325" s="98"/>
    </row>
    <row r="326" spans="1:11" ht="16">
      <c r="A326" s="106">
        <v>40430</v>
      </c>
      <c r="B326" s="107">
        <v>4.42</v>
      </c>
      <c r="G326" s="111">
        <v>40428</v>
      </c>
      <c r="H326" s="112">
        <v>439.08</v>
      </c>
      <c r="I326" s="114">
        <f t="shared" si="4"/>
        <v>-1.1374493835024646E-3</v>
      </c>
      <c r="J326" s="98"/>
      <c r="K326" s="98"/>
    </row>
    <row r="327" spans="1:11" ht="16">
      <c r="A327" s="106">
        <v>40431</v>
      </c>
      <c r="B327" s="107">
        <v>4.41</v>
      </c>
      <c r="G327" s="111">
        <v>40429</v>
      </c>
      <c r="H327" s="112">
        <v>435.54</v>
      </c>
      <c r="I327" s="114">
        <f t="shared" si="4"/>
        <v>-8.0623121071330406E-3</v>
      </c>
      <c r="J327" s="98"/>
      <c r="K327" s="98"/>
    </row>
    <row r="328" spans="1:11" ht="16">
      <c r="A328" s="106">
        <v>40432</v>
      </c>
      <c r="B328" s="107">
        <v>4.45</v>
      </c>
      <c r="G328" s="111">
        <v>40430</v>
      </c>
      <c r="H328" s="112">
        <v>430.48</v>
      </c>
      <c r="I328" s="114">
        <f t="shared" si="4"/>
        <v>-1.1617761858841891E-2</v>
      </c>
      <c r="J328" s="98"/>
      <c r="K328" s="98"/>
    </row>
    <row r="329" spans="1:11" ht="16">
      <c r="A329" s="106">
        <v>40435</v>
      </c>
      <c r="B329" s="107">
        <v>4.47</v>
      </c>
      <c r="G329" s="111">
        <v>40431</v>
      </c>
      <c r="H329" s="112">
        <v>429.29</v>
      </c>
      <c r="I329" s="114">
        <f t="shared" si="4"/>
        <v>-2.7643560676454682E-3</v>
      </c>
      <c r="J329" s="98"/>
      <c r="K329" s="98"/>
    </row>
    <row r="330" spans="1:11" ht="16">
      <c r="A330" s="106">
        <v>40436</v>
      </c>
      <c r="B330" s="107">
        <v>4.4800000000000004</v>
      </c>
      <c r="G330" s="111">
        <v>40432</v>
      </c>
      <c r="H330" s="112">
        <v>425.72</v>
      </c>
      <c r="I330" s="114">
        <f t="shared" si="4"/>
        <v>-8.3160567448578027E-3</v>
      </c>
      <c r="J330" s="98"/>
      <c r="K330" s="98"/>
    </row>
    <row r="331" spans="1:11" ht="16">
      <c r="A331" s="106">
        <v>40437</v>
      </c>
      <c r="B331" s="107">
        <v>4.5</v>
      </c>
      <c r="G331" s="111">
        <v>40435</v>
      </c>
      <c r="H331" s="112">
        <v>423.39</v>
      </c>
      <c r="I331" s="114">
        <f t="shared" si="4"/>
        <v>-5.4730808982430545E-3</v>
      </c>
      <c r="J331" s="98"/>
      <c r="K331" s="98"/>
    </row>
    <row r="332" spans="1:11" ht="16">
      <c r="A332" s="106">
        <v>40438</v>
      </c>
      <c r="B332" s="107">
        <v>4.5199999999999996</v>
      </c>
      <c r="G332" s="111">
        <v>40436</v>
      </c>
      <c r="H332" s="112">
        <v>422.15</v>
      </c>
      <c r="I332" s="114">
        <f t="shared" si="4"/>
        <v>-2.9287418219609007E-3</v>
      </c>
      <c r="J332" s="98"/>
      <c r="K332" s="98"/>
    </row>
    <row r="333" spans="1:11" ht="16">
      <c r="A333" s="106">
        <v>40439</v>
      </c>
      <c r="B333" s="107">
        <v>4.49</v>
      </c>
      <c r="G333" s="111">
        <v>40437</v>
      </c>
      <c r="H333" s="112">
        <v>424.96</v>
      </c>
      <c r="I333" s="114">
        <f t="shared" si="4"/>
        <v>6.6564017529313624E-3</v>
      </c>
      <c r="J333" s="98"/>
      <c r="K333" s="98"/>
    </row>
    <row r="334" spans="1:11" ht="16">
      <c r="A334" s="106">
        <v>40442</v>
      </c>
      <c r="B334" s="107">
        <v>4.47</v>
      </c>
      <c r="G334" s="111">
        <v>40438</v>
      </c>
      <c r="H334" s="112">
        <v>424.08</v>
      </c>
      <c r="I334" s="114">
        <f t="shared" si="4"/>
        <v>-2.070783132530063E-3</v>
      </c>
      <c r="J334" s="98"/>
      <c r="K334" s="98"/>
    </row>
    <row r="335" spans="1:11" ht="16">
      <c r="A335" s="106">
        <v>40443</v>
      </c>
      <c r="B335" s="107">
        <v>4.45</v>
      </c>
      <c r="G335" s="111">
        <v>40439</v>
      </c>
      <c r="H335" s="112">
        <v>423.22</v>
      </c>
      <c r="I335" s="114">
        <f t="shared" ref="I335:I398" si="5">H335/H334-1</f>
        <v>-2.0279192605168195E-3</v>
      </c>
      <c r="J335" s="98"/>
      <c r="K335" s="98"/>
    </row>
    <row r="336" spans="1:11" ht="16">
      <c r="A336" s="106">
        <v>40444</v>
      </c>
      <c r="B336" s="107">
        <v>4.4400000000000004</v>
      </c>
      <c r="G336" s="111">
        <v>40442</v>
      </c>
      <c r="H336" s="112">
        <v>417.52</v>
      </c>
      <c r="I336" s="114">
        <f t="shared" si="5"/>
        <v>-1.3468172581636129E-2</v>
      </c>
      <c r="J336" s="98"/>
      <c r="K336" s="98"/>
    </row>
    <row r="337" spans="1:11" ht="16">
      <c r="A337" s="106">
        <v>40445</v>
      </c>
      <c r="B337" s="107">
        <v>4.4400000000000004</v>
      </c>
      <c r="G337" s="111">
        <v>40443</v>
      </c>
      <c r="H337" s="112">
        <v>414.75</v>
      </c>
      <c r="I337" s="114">
        <f t="shared" si="5"/>
        <v>-6.6344127227437877E-3</v>
      </c>
      <c r="J337" s="98"/>
      <c r="K337" s="98"/>
    </row>
    <row r="338" spans="1:11" ht="16">
      <c r="A338" s="106">
        <v>40446</v>
      </c>
      <c r="B338" s="107">
        <v>4.47</v>
      </c>
      <c r="G338" s="111">
        <v>40444</v>
      </c>
      <c r="H338" s="112">
        <v>415.85</v>
      </c>
      <c r="I338" s="114">
        <f t="shared" si="5"/>
        <v>2.6522001205546708E-3</v>
      </c>
      <c r="J338" s="98"/>
      <c r="K338" s="98"/>
    </row>
    <row r="339" spans="1:11" ht="16">
      <c r="A339" s="106">
        <v>40449</v>
      </c>
      <c r="B339" s="107">
        <v>4.53</v>
      </c>
      <c r="G339" s="111">
        <v>40445</v>
      </c>
      <c r="H339" s="112">
        <v>411.44</v>
      </c>
      <c r="I339" s="114">
        <f t="shared" si="5"/>
        <v>-1.0604785379343618E-2</v>
      </c>
      <c r="J339" s="98"/>
      <c r="K339" s="98"/>
    </row>
    <row r="340" spans="1:11" ht="16">
      <c r="A340" s="106">
        <v>40450</v>
      </c>
      <c r="B340" s="107">
        <v>4.53</v>
      </c>
      <c r="G340" s="111">
        <v>40446</v>
      </c>
      <c r="H340" s="112">
        <v>411.04</v>
      </c>
      <c r="I340" s="114">
        <f t="shared" si="5"/>
        <v>-9.7219521679947629E-4</v>
      </c>
      <c r="J340" s="98"/>
      <c r="K340" s="98"/>
    </row>
    <row r="341" spans="1:11" ht="16">
      <c r="A341" s="106">
        <v>40451</v>
      </c>
      <c r="B341" s="107">
        <v>4.51</v>
      </c>
      <c r="G341" s="111">
        <v>40449</v>
      </c>
      <c r="H341" s="112">
        <v>405.39</v>
      </c>
      <c r="I341" s="114">
        <f t="shared" si="5"/>
        <v>-1.3745620864149544E-2</v>
      </c>
      <c r="J341" s="98"/>
      <c r="K341" s="98"/>
    </row>
    <row r="342" spans="1:11" ht="16">
      <c r="A342" s="106">
        <v>40452</v>
      </c>
      <c r="B342" s="107">
        <v>4.5199999999999996</v>
      </c>
      <c r="G342" s="111">
        <v>40450</v>
      </c>
      <c r="H342" s="112">
        <v>404.07</v>
      </c>
      <c r="I342" s="114">
        <f t="shared" si="5"/>
        <v>-3.2561237327017878E-3</v>
      </c>
      <c r="J342" s="98"/>
      <c r="K342" s="98"/>
    </row>
    <row r="343" spans="1:11" ht="16">
      <c r="A343" s="106">
        <v>40453</v>
      </c>
      <c r="B343" s="107">
        <v>4.53</v>
      </c>
      <c r="G343" s="111">
        <v>40451</v>
      </c>
      <c r="H343" s="112">
        <v>401.7</v>
      </c>
      <c r="I343" s="114">
        <f t="shared" si="5"/>
        <v>-5.8653203652831998E-3</v>
      </c>
      <c r="J343" s="98"/>
      <c r="K343" s="98"/>
    </row>
    <row r="344" spans="1:11" ht="16">
      <c r="A344" s="106">
        <v>40456</v>
      </c>
      <c r="B344" s="107">
        <v>4.51</v>
      </c>
      <c r="G344" s="111">
        <v>40452</v>
      </c>
      <c r="H344" s="112">
        <v>400.7</v>
      </c>
      <c r="I344" s="114">
        <f t="shared" si="5"/>
        <v>-2.4894199651480653E-3</v>
      </c>
      <c r="J344" s="98"/>
      <c r="K344" s="98"/>
    </row>
    <row r="345" spans="1:11" ht="16">
      <c r="A345" s="106">
        <v>40457</v>
      </c>
      <c r="B345" s="107">
        <v>4.47</v>
      </c>
      <c r="G345" s="111">
        <v>40453</v>
      </c>
      <c r="H345" s="112">
        <v>402.56</v>
      </c>
      <c r="I345" s="114">
        <f t="shared" si="5"/>
        <v>4.6418767157474505E-3</v>
      </c>
      <c r="J345" s="98"/>
      <c r="K345" s="98"/>
    </row>
    <row r="346" spans="1:11" ht="16">
      <c r="A346" s="106">
        <v>40458</v>
      </c>
      <c r="B346" s="107">
        <v>4.46</v>
      </c>
      <c r="G346" s="111">
        <v>40456</v>
      </c>
      <c r="H346" s="112">
        <v>408.41</v>
      </c>
      <c r="I346" s="114">
        <f t="shared" si="5"/>
        <v>1.453199523052473E-2</v>
      </c>
      <c r="J346" s="98"/>
      <c r="K346" s="98"/>
    </row>
    <row r="347" spans="1:11" ht="16">
      <c r="A347" s="106">
        <v>40459</v>
      </c>
      <c r="B347" s="107">
        <v>4.45</v>
      </c>
      <c r="G347" s="111">
        <v>40457</v>
      </c>
      <c r="H347" s="112">
        <v>408.05</v>
      </c>
      <c r="I347" s="114">
        <f t="shared" si="5"/>
        <v>-8.8146715310599699E-4</v>
      </c>
      <c r="J347" s="98"/>
      <c r="K347" s="98"/>
    </row>
    <row r="348" spans="1:11" ht="16">
      <c r="A348" s="106">
        <v>40460</v>
      </c>
      <c r="B348" s="107">
        <v>4.47</v>
      </c>
      <c r="G348" s="111">
        <v>40458</v>
      </c>
      <c r="H348" s="112">
        <v>404.34</v>
      </c>
      <c r="I348" s="114">
        <f t="shared" si="5"/>
        <v>-9.0920230363926713E-3</v>
      </c>
      <c r="J348" s="98"/>
      <c r="K348" s="98"/>
    </row>
    <row r="349" spans="1:11" ht="16">
      <c r="A349" s="106">
        <v>40463</v>
      </c>
      <c r="B349" s="107">
        <v>4.47</v>
      </c>
      <c r="G349" s="111">
        <v>40459</v>
      </c>
      <c r="H349" s="112">
        <v>408.02</v>
      </c>
      <c r="I349" s="114">
        <f t="shared" si="5"/>
        <v>9.1012514220705221E-3</v>
      </c>
      <c r="J349" s="98"/>
      <c r="K349" s="98"/>
    </row>
    <row r="350" spans="1:11" ht="16">
      <c r="A350" s="106">
        <v>40464</v>
      </c>
      <c r="B350" s="107">
        <v>4.45</v>
      </c>
      <c r="G350" s="111">
        <v>40460</v>
      </c>
      <c r="H350" s="112">
        <v>400.48</v>
      </c>
      <c r="I350" s="114">
        <f t="shared" si="5"/>
        <v>-1.8479486299691095E-2</v>
      </c>
      <c r="J350" s="98"/>
      <c r="K350" s="98"/>
    </row>
    <row r="351" spans="1:11" ht="16">
      <c r="A351" s="106">
        <v>40465</v>
      </c>
      <c r="B351" s="107">
        <v>4.4800000000000004</v>
      </c>
      <c r="G351" s="111">
        <v>40463</v>
      </c>
      <c r="H351" s="112">
        <v>400.32</v>
      </c>
      <c r="I351" s="114">
        <f t="shared" si="5"/>
        <v>-3.9952057530967533E-4</v>
      </c>
      <c r="J351" s="98"/>
      <c r="K351" s="98"/>
    </row>
    <row r="352" spans="1:11" ht="16">
      <c r="A352" s="106">
        <v>40466</v>
      </c>
      <c r="B352" s="107">
        <v>4.51</v>
      </c>
      <c r="G352" s="111">
        <v>40464</v>
      </c>
      <c r="H352" s="112">
        <v>400.01</v>
      </c>
      <c r="I352" s="114">
        <f t="shared" si="5"/>
        <v>-7.7438049560352162E-4</v>
      </c>
      <c r="J352" s="98"/>
      <c r="K352" s="98"/>
    </row>
    <row r="353" spans="1:11" ht="16">
      <c r="A353" s="106">
        <v>40467</v>
      </c>
      <c r="B353" s="107">
        <v>4.47</v>
      </c>
      <c r="G353" s="111">
        <v>40465</v>
      </c>
      <c r="H353" s="112">
        <v>396.23</v>
      </c>
      <c r="I353" s="114">
        <f t="shared" si="5"/>
        <v>-9.4497637559060044E-3</v>
      </c>
      <c r="J353" s="98"/>
      <c r="K353" s="98"/>
    </row>
    <row r="354" spans="1:11" ht="16">
      <c r="A354" s="106">
        <v>40470</v>
      </c>
      <c r="B354" s="107">
        <v>4.46</v>
      </c>
      <c r="G354" s="111">
        <v>40466</v>
      </c>
      <c r="H354" s="112">
        <v>391.25</v>
      </c>
      <c r="I354" s="114">
        <f t="shared" si="5"/>
        <v>-1.2568457713954095E-2</v>
      </c>
      <c r="J354" s="98"/>
      <c r="K354" s="98"/>
    </row>
    <row r="355" spans="1:11" ht="16">
      <c r="A355" s="106">
        <v>40471</v>
      </c>
      <c r="B355" s="107">
        <v>4.46</v>
      </c>
      <c r="G355" s="111">
        <v>40467</v>
      </c>
      <c r="H355" s="112">
        <v>394.94</v>
      </c>
      <c r="I355" s="114">
        <f t="shared" si="5"/>
        <v>9.4313099041534176E-3</v>
      </c>
      <c r="J355" s="98"/>
      <c r="K355" s="98"/>
    </row>
    <row r="356" spans="1:11" ht="16">
      <c r="A356" s="106">
        <v>40472</v>
      </c>
      <c r="B356" s="107">
        <v>4.45</v>
      </c>
      <c r="G356" s="111">
        <v>40470</v>
      </c>
      <c r="H356" s="112">
        <v>396.01</v>
      </c>
      <c r="I356" s="114">
        <f t="shared" si="5"/>
        <v>2.7092722945256664E-3</v>
      </c>
      <c r="J356" s="98"/>
      <c r="K356" s="98"/>
    </row>
    <row r="357" spans="1:11" ht="16">
      <c r="A357" s="106">
        <v>40473</v>
      </c>
      <c r="B357" s="107">
        <v>4.4800000000000004</v>
      </c>
      <c r="G357" s="111">
        <v>40471</v>
      </c>
      <c r="H357" s="112">
        <v>397.06</v>
      </c>
      <c r="I357" s="114">
        <f t="shared" si="5"/>
        <v>2.6514481957526925E-3</v>
      </c>
      <c r="J357" s="98"/>
      <c r="K357" s="98"/>
    </row>
    <row r="358" spans="1:11" ht="16">
      <c r="A358" s="106">
        <v>40474</v>
      </c>
      <c r="B358" s="107">
        <v>4.4800000000000004</v>
      </c>
      <c r="G358" s="111">
        <v>40472</v>
      </c>
      <c r="H358" s="112">
        <v>398.5</v>
      </c>
      <c r="I358" s="114">
        <f t="shared" si="5"/>
        <v>3.626655921019406E-3</v>
      </c>
      <c r="J358" s="98"/>
      <c r="K358" s="98"/>
    </row>
    <row r="359" spans="1:11" ht="16">
      <c r="A359" s="106">
        <v>40477</v>
      </c>
      <c r="B359" s="107">
        <v>4.46</v>
      </c>
      <c r="G359" s="111">
        <v>40473</v>
      </c>
      <c r="H359" s="112">
        <v>396.95</v>
      </c>
      <c r="I359" s="114">
        <f t="shared" si="5"/>
        <v>-3.8895859473023764E-3</v>
      </c>
      <c r="J359" s="98"/>
      <c r="K359" s="98"/>
    </row>
    <row r="360" spans="1:11" ht="16">
      <c r="A360" s="106">
        <v>40478</v>
      </c>
      <c r="B360" s="107">
        <v>4.43</v>
      </c>
      <c r="G360" s="111">
        <v>40474</v>
      </c>
      <c r="H360" s="112">
        <v>398.11</v>
      </c>
      <c r="I360" s="114">
        <f t="shared" si="5"/>
        <v>2.9222824033254824E-3</v>
      </c>
      <c r="J360" s="98"/>
      <c r="K360" s="98"/>
    </row>
    <row r="361" spans="1:11" ht="16">
      <c r="A361" s="106">
        <v>40479</v>
      </c>
      <c r="B361" s="107">
        <v>4.43</v>
      </c>
      <c r="G361" s="111">
        <v>40477</v>
      </c>
      <c r="H361" s="112">
        <v>394.14</v>
      </c>
      <c r="I361" s="114">
        <f t="shared" si="5"/>
        <v>-9.9721182587727553E-3</v>
      </c>
      <c r="J361" s="98"/>
      <c r="K361" s="98"/>
    </row>
    <row r="362" spans="1:11" ht="16">
      <c r="A362" s="106">
        <v>40480</v>
      </c>
      <c r="B362" s="107">
        <v>4.4000000000000004</v>
      </c>
      <c r="G362" s="111">
        <v>40478</v>
      </c>
      <c r="H362" s="112">
        <v>400.88</v>
      </c>
      <c r="I362" s="114">
        <f t="shared" si="5"/>
        <v>1.7100522656923856E-2</v>
      </c>
      <c r="J362" s="98"/>
      <c r="K362" s="98"/>
    </row>
    <row r="363" spans="1:11" ht="16">
      <c r="A363" s="106">
        <v>40481</v>
      </c>
      <c r="B363" s="107">
        <v>4.42</v>
      </c>
      <c r="G363" s="111">
        <v>40479</v>
      </c>
      <c r="H363" s="112">
        <v>404.53</v>
      </c>
      <c r="I363" s="114">
        <f t="shared" si="5"/>
        <v>9.1049690680502504E-3</v>
      </c>
      <c r="J363" s="98"/>
      <c r="K363" s="98"/>
    </row>
    <row r="364" spans="1:11" ht="16">
      <c r="A364" s="106">
        <v>40484</v>
      </c>
      <c r="B364" s="107">
        <v>4.4000000000000004</v>
      </c>
      <c r="G364" s="111">
        <v>40480</v>
      </c>
      <c r="H364" s="112">
        <v>406.35</v>
      </c>
      <c r="I364" s="114">
        <f t="shared" si="5"/>
        <v>4.4990482782489849E-3</v>
      </c>
      <c r="J364" s="98"/>
      <c r="K364" s="98"/>
    </row>
    <row r="365" spans="1:11" ht="16">
      <c r="A365" s="106">
        <v>40485</v>
      </c>
      <c r="B365" s="107">
        <v>4.46</v>
      </c>
      <c r="G365" s="111">
        <v>40481</v>
      </c>
      <c r="H365" s="112">
        <v>410.41</v>
      </c>
      <c r="I365" s="114">
        <f t="shared" si="5"/>
        <v>9.9913867355727604E-3</v>
      </c>
      <c r="J365" s="98"/>
      <c r="K365" s="98"/>
    </row>
    <row r="366" spans="1:11" ht="16">
      <c r="A366" s="106">
        <v>40486</v>
      </c>
      <c r="B366" s="107">
        <v>4.47</v>
      </c>
      <c r="G366" s="111">
        <v>40484</v>
      </c>
      <c r="H366" s="112">
        <v>408.98</v>
      </c>
      <c r="I366" s="114">
        <f t="shared" si="5"/>
        <v>-3.4843205574912606E-3</v>
      </c>
      <c r="J366" s="98"/>
      <c r="K366" s="98"/>
    </row>
    <row r="367" spans="1:11" ht="16">
      <c r="A367" s="106">
        <v>40487</v>
      </c>
      <c r="B367" s="107">
        <v>4.5</v>
      </c>
      <c r="G367" s="111">
        <v>40485</v>
      </c>
      <c r="H367" s="112">
        <v>408.78</v>
      </c>
      <c r="I367" s="114">
        <f t="shared" si="5"/>
        <v>-4.8902146804252755E-4</v>
      </c>
      <c r="J367" s="98"/>
      <c r="K367" s="98"/>
    </row>
    <row r="368" spans="1:11" ht="16">
      <c r="A368" s="106">
        <v>40488</v>
      </c>
      <c r="B368" s="107">
        <v>4.51</v>
      </c>
      <c r="G368" s="111">
        <v>40486</v>
      </c>
      <c r="H368" s="112">
        <v>405.61</v>
      </c>
      <c r="I368" s="114">
        <f t="shared" si="5"/>
        <v>-7.7547825236067291E-3</v>
      </c>
      <c r="J368" s="98"/>
      <c r="K368" s="98"/>
    </row>
    <row r="369" spans="1:11" ht="16">
      <c r="A369" s="106">
        <v>40491</v>
      </c>
      <c r="B369" s="107">
        <v>4.5199999999999996</v>
      </c>
      <c r="G369" s="111">
        <v>40487</v>
      </c>
      <c r="H369" s="112">
        <v>402.19</v>
      </c>
      <c r="I369" s="114">
        <f t="shared" si="5"/>
        <v>-8.4317447794679534E-3</v>
      </c>
      <c r="J369" s="98"/>
      <c r="K369" s="98"/>
    </row>
    <row r="370" spans="1:11" ht="16">
      <c r="A370" s="106">
        <v>40492</v>
      </c>
      <c r="B370" s="107">
        <v>4.5199999999999996</v>
      </c>
      <c r="G370" s="111">
        <v>40488</v>
      </c>
      <c r="H370" s="112">
        <v>401.38</v>
      </c>
      <c r="I370" s="114">
        <f t="shared" si="5"/>
        <v>-2.0139734951142296E-3</v>
      </c>
      <c r="J370" s="98"/>
      <c r="K370" s="98"/>
    </row>
    <row r="371" spans="1:11" ht="16">
      <c r="A371" s="106">
        <v>40493</v>
      </c>
      <c r="B371" s="107">
        <v>4.53</v>
      </c>
      <c r="G371" s="111">
        <v>40491</v>
      </c>
      <c r="H371" s="112">
        <v>404.65</v>
      </c>
      <c r="I371" s="114">
        <f t="shared" si="5"/>
        <v>8.146893218396567E-3</v>
      </c>
      <c r="J371" s="98"/>
      <c r="K371" s="98"/>
    </row>
    <row r="372" spans="1:11" ht="16">
      <c r="A372" s="106">
        <v>40494</v>
      </c>
      <c r="B372" s="107">
        <v>4.55</v>
      </c>
      <c r="G372" s="111">
        <v>40492</v>
      </c>
      <c r="H372" s="112">
        <v>403.59</v>
      </c>
      <c r="I372" s="114">
        <f t="shared" si="5"/>
        <v>-2.6195477573210946E-3</v>
      </c>
      <c r="J372" s="98"/>
      <c r="K372" s="98"/>
    </row>
    <row r="373" spans="1:11" ht="16">
      <c r="A373" s="106">
        <v>40495</v>
      </c>
      <c r="B373" s="107">
        <v>4.5999999999999996</v>
      </c>
      <c r="G373" s="111">
        <v>40493</v>
      </c>
      <c r="H373" s="112">
        <v>404.67</v>
      </c>
      <c r="I373" s="114">
        <f t="shared" si="5"/>
        <v>2.6759830521074779E-3</v>
      </c>
      <c r="J373" s="98"/>
      <c r="K373" s="98"/>
    </row>
    <row r="374" spans="1:11" ht="16">
      <c r="A374" s="106">
        <v>40498</v>
      </c>
      <c r="B374" s="107">
        <v>4.66</v>
      </c>
      <c r="G374" s="111">
        <v>40494</v>
      </c>
      <c r="H374" s="112">
        <v>403.4</v>
      </c>
      <c r="I374" s="114">
        <f t="shared" si="5"/>
        <v>-3.1383596510737855E-3</v>
      </c>
      <c r="J374" s="98"/>
      <c r="K374" s="98"/>
    </row>
    <row r="375" spans="1:11" ht="16">
      <c r="A375" s="106">
        <v>40499</v>
      </c>
      <c r="B375" s="107">
        <v>4.6500000000000004</v>
      </c>
      <c r="G375" s="111">
        <v>40495</v>
      </c>
      <c r="H375" s="112">
        <v>403.62</v>
      </c>
      <c r="I375" s="114">
        <f t="shared" si="5"/>
        <v>5.4536440257813013E-4</v>
      </c>
      <c r="J375" s="98"/>
      <c r="K375" s="98"/>
    </row>
    <row r="376" spans="1:11" ht="16">
      <c r="A376" s="106">
        <v>40500</v>
      </c>
      <c r="B376" s="107">
        <v>4.6500000000000004</v>
      </c>
      <c r="G376" s="111">
        <v>40498</v>
      </c>
      <c r="H376" s="112">
        <v>400.91</v>
      </c>
      <c r="I376" s="114">
        <f t="shared" si="5"/>
        <v>-6.7142361627272606E-3</v>
      </c>
      <c r="J376" s="98"/>
      <c r="K376" s="98"/>
    </row>
    <row r="377" spans="1:11" ht="16">
      <c r="A377" s="106">
        <v>40501</v>
      </c>
      <c r="B377" s="107">
        <v>4.63</v>
      </c>
      <c r="G377" s="111">
        <v>40499</v>
      </c>
      <c r="H377" s="112">
        <v>401.66</v>
      </c>
      <c r="I377" s="114">
        <f t="shared" si="5"/>
        <v>1.8707440572696132E-3</v>
      </c>
      <c r="J377" s="98"/>
      <c r="K377" s="98"/>
    </row>
    <row r="378" spans="1:11" ht="16">
      <c r="A378" s="106">
        <v>40502</v>
      </c>
      <c r="B378" s="107">
        <v>4.59</v>
      </c>
      <c r="G378" s="111">
        <v>40500</v>
      </c>
      <c r="H378" s="112">
        <v>402.32</v>
      </c>
      <c r="I378" s="114">
        <f t="shared" si="5"/>
        <v>1.6431807996812875E-3</v>
      </c>
      <c r="J378" s="98"/>
      <c r="K378" s="98"/>
    </row>
    <row r="379" spans="1:11" ht="16">
      <c r="A379" s="106">
        <v>40505</v>
      </c>
      <c r="B379" s="107">
        <v>4.57</v>
      </c>
      <c r="G379" s="111">
        <v>40501</v>
      </c>
      <c r="H379" s="112">
        <v>403.14</v>
      </c>
      <c r="I379" s="114">
        <f t="shared" si="5"/>
        <v>2.0381785643268646E-3</v>
      </c>
      <c r="J379" s="98"/>
      <c r="K379" s="98"/>
    </row>
    <row r="380" spans="1:11" ht="16">
      <c r="A380" s="106">
        <v>40506</v>
      </c>
      <c r="B380" s="107">
        <v>4.5599999999999996</v>
      </c>
      <c r="G380" s="111">
        <v>40502</v>
      </c>
      <c r="H380" s="112">
        <v>408.99</v>
      </c>
      <c r="I380" s="114">
        <f t="shared" si="5"/>
        <v>1.4511087959517832E-2</v>
      </c>
      <c r="J380" s="98"/>
      <c r="K380" s="98"/>
    </row>
    <row r="381" spans="1:11" ht="16">
      <c r="A381" s="106">
        <v>40507</v>
      </c>
      <c r="B381" s="107">
        <v>4.5599999999999996</v>
      </c>
      <c r="G381" s="111">
        <v>40505</v>
      </c>
      <c r="H381" s="112">
        <v>411.07</v>
      </c>
      <c r="I381" s="114">
        <f t="shared" si="5"/>
        <v>5.0856989168439615E-3</v>
      </c>
      <c r="J381" s="98"/>
      <c r="K381" s="98"/>
    </row>
    <row r="382" spans="1:11" ht="16">
      <c r="A382" s="106">
        <v>40508</v>
      </c>
      <c r="B382" s="107">
        <v>4.5599999999999996</v>
      </c>
      <c r="G382" s="111">
        <v>40506</v>
      </c>
      <c r="H382" s="112">
        <v>410.12</v>
      </c>
      <c r="I382" s="114">
        <f t="shared" si="5"/>
        <v>-2.3110419150023098E-3</v>
      </c>
      <c r="J382" s="98"/>
      <c r="K382" s="98"/>
    </row>
    <row r="383" spans="1:11" ht="16">
      <c r="A383" s="106">
        <v>40509</v>
      </c>
      <c r="B383" s="107">
        <v>4.57</v>
      </c>
      <c r="G383" s="111">
        <v>40507</v>
      </c>
      <c r="H383" s="112">
        <v>411.08</v>
      </c>
      <c r="I383" s="114">
        <f t="shared" si="5"/>
        <v>2.3407783087876499E-3</v>
      </c>
      <c r="J383" s="98"/>
      <c r="K383" s="98"/>
    </row>
    <row r="384" spans="1:11" ht="16">
      <c r="A384" s="106">
        <v>40511</v>
      </c>
      <c r="B384" s="107">
        <v>4.62</v>
      </c>
      <c r="G384" s="111">
        <v>40508</v>
      </c>
      <c r="H384" s="112">
        <v>410.39</v>
      </c>
      <c r="I384" s="114">
        <f t="shared" si="5"/>
        <v>-1.678505400408703E-3</v>
      </c>
      <c r="J384" s="98"/>
      <c r="K384" s="98"/>
    </row>
    <row r="385" spans="1:11" ht="16">
      <c r="A385" s="106">
        <v>40512</v>
      </c>
      <c r="B385" s="107">
        <v>4.72</v>
      </c>
      <c r="G385" s="111">
        <v>40509</v>
      </c>
      <c r="H385" s="112">
        <v>407.54</v>
      </c>
      <c r="I385" s="114">
        <f t="shared" si="5"/>
        <v>-6.944613660176846E-3</v>
      </c>
      <c r="J385" s="98"/>
      <c r="K385" s="98"/>
    </row>
    <row r="386" spans="1:11" ht="16">
      <c r="A386" s="106">
        <v>40513</v>
      </c>
      <c r="B386" s="107">
        <v>4.78</v>
      </c>
      <c r="G386" s="111">
        <v>40512</v>
      </c>
      <c r="H386" s="112">
        <v>399.63</v>
      </c>
      <c r="I386" s="114">
        <f t="shared" si="5"/>
        <v>-1.9409137753349404E-2</v>
      </c>
      <c r="J386" s="98"/>
      <c r="K386" s="98"/>
    </row>
    <row r="387" spans="1:11" ht="16">
      <c r="A387" s="106">
        <v>40514</v>
      </c>
      <c r="B387" s="107">
        <v>4.83</v>
      </c>
      <c r="G387" s="111">
        <v>40513</v>
      </c>
      <c r="H387" s="112">
        <v>399.24</v>
      </c>
      <c r="I387" s="114">
        <f t="shared" si="5"/>
        <v>-9.7590271000669304E-4</v>
      </c>
      <c r="J387" s="98"/>
      <c r="K387" s="98"/>
    </row>
    <row r="388" spans="1:11" ht="16">
      <c r="A388" s="106">
        <v>40515</v>
      </c>
      <c r="B388" s="107">
        <v>4.84</v>
      </c>
      <c r="G388" s="111">
        <v>40514</v>
      </c>
      <c r="H388" s="112">
        <v>400.43</v>
      </c>
      <c r="I388" s="114">
        <f t="shared" si="5"/>
        <v>2.9806632601943051E-3</v>
      </c>
      <c r="J388" s="98"/>
      <c r="K388" s="98"/>
    </row>
    <row r="389" spans="1:11" ht="16">
      <c r="A389" s="106">
        <v>40516</v>
      </c>
      <c r="B389" s="107">
        <v>4.91</v>
      </c>
      <c r="G389" s="111">
        <v>40515</v>
      </c>
      <c r="H389" s="112">
        <v>400.46</v>
      </c>
      <c r="I389" s="114">
        <f t="shared" si="5"/>
        <v>7.4919461578781821E-5</v>
      </c>
      <c r="J389" s="98"/>
      <c r="K389" s="98"/>
    </row>
    <row r="390" spans="1:11" ht="16">
      <c r="A390" s="106">
        <v>40519</v>
      </c>
      <c r="B390" s="107">
        <v>4.99</v>
      </c>
      <c r="G390" s="111">
        <v>40516</v>
      </c>
      <c r="H390" s="112">
        <v>399.86</v>
      </c>
      <c r="I390" s="114">
        <f t="shared" si="5"/>
        <v>-1.4982769814712027E-3</v>
      </c>
      <c r="J390" s="98"/>
      <c r="K390" s="98"/>
    </row>
    <row r="391" spans="1:11" ht="16">
      <c r="A391" s="106">
        <v>40520</v>
      </c>
      <c r="B391" s="107">
        <v>5.09</v>
      </c>
      <c r="G391" s="111">
        <v>40519</v>
      </c>
      <c r="H391" s="112">
        <v>395.74</v>
      </c>
      <c r="I391" s="114">
        <f t="shared" si="5"/>
        <v>-1.0303606262191733E-2</v>
      </c>
      <c r="J391" s="98"/>
      <c r="K391" s="98"/>
    </row>
    <row r="392" spans="1:11" ht="16">
      <c r="A392" s="106">
        <v>40521</v>
      </c>
      <c r="B392" s="107">
        <v>5.15</v>
      </c>
      <c r="G392" s="111">
        <v>40520</v>
      </c>
      <c r="H392" s="112">
        <v>390.36</v>
      </c>
      <c r="I392" s="114">
        <f t="shared" si="5"/>
        <v>-1.3594784454439734E-2</v>
      </c>
      <c r="J392" s="98"/>
      <c r="K392" s="98"/>
    </row>
    <row r="393" spans="1:11" ht="16">
      <c r="A393" s="106">
        <v>40522</v>
      </c>
      <c r="B393" s="107">
        <v>5.22</v>
      </c>
      <c r="G393" s="111">
        <v>40521</v>
      </c>
      <c r="H393" s="112">
        <v>388.21</v>
      </c>
      <c r="I393" s="114">
        <f t="shared" si="5"/>
        <v>-5.5077364484067415E-3</v>
      </c>
      <c r="J393" s="98"/>
      <c r="K393" s="98"/>
    </row>
    <row r="394" spans="1:11" ht="16">
      <c r="A394" s="106">
        <v>40523</v>
      </c>
      <c r="B394" s="107">
        <v>5.33</v>
      </c>
      <c r="G394" s="111">
        <v>40522</v>
      </c>
      <c r="H394" s="112">
        <v>383.87</v>
      </c>
      <c r="I394" s="114">
        <f t="shared" si="5"/>
        <v>-1.1179516241209608E-2</v>
      </c>
      <c r="J394" s="98"/>
      <c r="K394" s="98"/>
    </row>
    <row r="395" spans="1:11" ht="16">
      <c r="A395" s="106">
        <v>40526</v>
      </c>
      <c r="B395" s="107">
        <v>5.56</v>
      </c>
      <c r="G395" s="111">
        <v>40523</v>
      </c>
      <c r="H395" s="112">
        <v>380.76</v>
      </c>
      <c r="I395" s="114">
        <f t="shared" si="5"/>
        <v>-8.1017010967254777E-3</v>
      </c>
      <c r="J395" s="98"/>
      <c r="K395" s="98"/>
    </row>
    <row r="396" spans="1:11" ht="16">
      <c r="A396" s="106">
        <v>40527</v>
      </c>
      <c r="B396" s="107">
        <v>5.78</v>
      </c>
      <c r="G396" s="111">
        <v>40526</v>
      </c>
      <c r="H396" s="112">
        <v>373.95</v>
      </c>
      <c r="I396" s="114">
        <f t="shared" si="5"/>
        <v>-1.7885282067444108E-2</v>
      </c>
      <c r="J396" s="98"/>
      <c r="K396" s="98"/>
    </row>
    <row r="397" spans="1:11" ht="16">
      <c r="A397" s="106">
        <v>40528</v>
      </c>
      <c r="B397" s="107">
        <v>5.67</v>
      </c>
      <c r="G397" s="111">
        <v>40527</v>
      </c>
      <c r="H397" s="112">
        <v>367.07</v>
      </c>
      <c r="I397" s="114">
        <f t="shared" si="5"/>
        <v>-1.8398181575076888E-2</v>
      </c>
      <c r="J397" s="98"/>
      <c r="K397" s="98"/>
    </row>
    <row r="398" spans="1:11" ht="16">
      <c r="A398" s="106">
        <v>40529</v>
      </c>
      <c r="B398" s="107">
        <v>5.48</v>
      </c>
      <c r="G398" s="111">
        <v>40528</v>
      </c>
      <c r="H398" s="112">
        <v>370.99</v>
      </c>
      <c r="I398" s="114">
        <f t="shared" si="5"/>
        <v>1.0679162012695143E-2</v>
      </c>
      <c r="J398" s="98"/>
      <c r="K398" s="98"/>
    </row>
    <row r="399" spans="1:11" ht="16">
      <c r="A399" s="106">
        <v>40530</v>
      </c>
      <c r="B399" s="107">
        <v>5.4</v>
      </c>
      <c r="G399" s="111">
        <v>40529</v>
      </c>
      <c r="H399" s="112">
        <v>379</v>
      </c>
      <c r="I399" s="114">
        <f t="shared" ref="I399:I462" si="6">H399/H398-1</f>
        <v>2.1590878460335805E-2</v>
      </c>
      <c r="J399" s="98"/>
      <c r="K399" s="98"/>
    </row>
    <row r="400" spans="1:11" ht="16">
      <c r="A400" s="106">
        <v>40533</v>
      </c>
      <c r="B400" s="107">
        <v>5.32</v>
      </c>
      <c r="G400" s="111">
        <v>40530</v>
      </c>
      <c r="H400" s="112">
        <v>382.09</v>
      </c>
      <c r="I400" s="114">
        <f t="shared" si="6"/>
        <v>8.1530343007913952E-3</v>
      </c>
      <c r="J400" s="98"/>
      <c r="K400" s="98"/>
    </row>
    <row r="401" spans="1:11" ht="16">
      <c r="A401" s="106">
        <v>40534</v>
      </c>
      <c r="B401" s="107">
        <v>5.35</v>
      </c>
      <c r="G401" s="111">
        <v>40533</v>
      </c>
      <c r="H401" s="112">
        <v>386.61</v>
      </c>
      <c r="I401" s="114">
        <f t="shared" si="6"/>
        <v>1.1829673637101301E-2</v>
      </c>
      <c r="J401" s="98"/>
      <c r="K401" s="98"/>
    </row>
    <row r="402" spans="1:11" ht="16">
      <c r="A402" s="106">
        <v>40535</v>
      </c>
      <c r="B402" s="107">
        <v>5.35</v>
      </c>
      <c r="G402" s="111">
        <v>40534</v>
      </c>
      <c r="H402" s="112">
        <v>384.53</v>
      </c>
      <c r="I402" s="114">
        <f t="shared" si="6"/>
        <v>-5.380098807583944E-3</v>
      </c>
      <c r="J402" s="98"/>
      <c r="K402" s="98"/>
    </row>
    <row r="403" spans="1:11" ht="16">
      <c r="A403" s="106">
        <v>40537</v>
      </c>
      <c r="B403" s="107">
        <v>5.36</v>
      </c>
      <c r="G403" s="111">
        <v>40535</v>
      </c>
      <c r="H403" s="112">
        <v>384.29</v>
      </c>
      <c r="I403" s="114">
        <f t="shared" si="6"/>
        <v>-6.2413855875986801E-4</v>
      </c>
      <c r="J403" s="98"/>
      <c r="K403" s="98"/>
    </row>
    <row r="404" spans="1:11" ht="16">
      <c r="A404" s="106">
        <v>40540</v>
      </c>
      <c r="B404" s="107">
        <v>5.36</v>
      </c>
      <c r="G404" s="111">
        <v>40536</v>
      </c>
      <c r="H404" s="112">
        <v>384.12</v>
      </c>
      <c r="I404" s="114">
        <f t="shared" si="6"/>
        <v>-4.4237424861437447E-4</v>
      </c>
      <c r="J404" s="98"/>
      <c r="K404" s="98"/>
    </row>
    <row r="405" spans="1:11" ht="16">
      <c r="A405" s="106">
        <v>40541</v>
      </c>
      <c r="B405" s="107">
        <v>5.37</v>
      </c>
      <c r="G405" s="111">
        <v>40537</v>
      </c>
      <c r="H405" s="112">
        <v>384.92</v>
      </c>
      <c r="I405" s="114">
        <f t="shared" si="6"/>
        <v>2.0826824950537226E-3</v>
      </c>
      <c r="J405" s="98"/>
      <c r="K405" s="98"/>
    </row>
    <row r="406" spans="1:11" ht="16">
      <c r="A406" s="106">
        <v>40542</v>
      </c>
      <c r="B406" s="107">
        <v>5.38</v>
      </c>
      <c r="G406" s="111">
        <v>40540</v>
      </c>
      <c r="H406" s="112">
        <v>387.72</v>
      </c>
      <c r="I406" s="114">
        <f t="shared" si="6"/>
        <v>7.2742388028681493E-3</v>
      </c>
      <c r="J406" s="98"/>
      <c r="K406" s="98"/>
    </row>
    <row r="407" spans="1:11" ht="16">
      <c r="A407" s="106">
        <v>40544</v>
      </c>
      <c r="B407" s="107">
        <v>5.38</v>
      </c>
      <c r="G407" s="111">
        <v>40541</v>
      </c>
      <c r="H407" s="112">
        <v>386.92</v>
      </c>
      <c r="I407" s="114">
        <f t="shared" si="6"/>
        <v>-2.0633446817290846E-3</v>
      </c>
      <c r="J407" s="98"/>
      <c r="K407" s="98"/>
    </row>
    <row r="408" spans="1:11" ht="16">
      <c r="A408" s="106">
        <v>40547</v>
      </c>
      <c r="B408" s="107">
        <v>5.46</v>
      </c>
      <c r="G408" s="111">
        <v>40542</v>
      </c>
      <c r="H408" s="112">
        <v>387.99</v>
      </c>
      <c r="I408" s="114">
        <f t="shared" si="6"/>
        <v>2.7654295461594369E-3</v>
      </c>
      <c r="J408" s="98"/>
      <c r="K408" s="98"/>
    </row>
    <row r="409" spans="1:11" ht="16">
      <c r="A409" s="106">
        <v>40548</v>
      </c>
      <c r="B409" s="107">
        <v>5.57</v>
      </c>
      <c r="G409" s="111">
        <v>40543</v>
      </c>
      <c r="H409" s="112">
        <v>388.07</v>
      </c>
      <c r="I409" s="114">
        <f t="shared" si="6"/>
        <v>2.0619088120832352E-4</v>
      </c>
      <c r="J409" s="98"/>
      <c r="K409" s="98"/>
    </row>
    <row r="410" spans="1:11" ht="16">
      <c r="A410" s="106">
        <v>40549</v>
      </c>
      <c r="B410" s="107">
        <v>5.53</v>
      </c>
      <c r="G410" s="111">
        <v>40544</v>
      </c>
      <c r="H410" s="112">
        <v>387.24</v>
      </c>
      <c r="I410" s="114">
        <f t="shared" si="6"/>
        <v>-2.138789393666074E-3</v>
      </c>
      <c r="J410" s="98"/>
      <c r="K410" s="98"/>
    </row>
    <row r="411" spans="1:11" ht="16">
      <c r="A411" s="106">
        <v>40550</v>
      </c>
      <c r="B411" s="107">
        <v>5.45</v>
      </c>
      <c r="G411" s="111">
        <v>40547</v>
      </c>
      <c r="H411" s="112">
        <v>382.53</v>
      </c>
      <c r="I411" s="114">
        <f t="shared" si="6"/>
        <v>-1.2162999690114806E-2</v>
      </c>
      <c r="J411" s="98"/>
      <c r="K411" s="98"/>
    </row>
    <row r="412" spans="1:11" ht="16">
      <c r="A412" s="106">
        <v>40551</v>
      </c>
      <c r="B412" s="107">
        <v>5.45</v>
      </c>
      <c r="G412" s="111">
        <v>40548</v>
      </c>
      <c r="H412" s="112">
        <v>380.03</v>
      </c>
      <c r="I412" s="114">
        <f t="shared" si="6"/>
        <v>-6.5354351292709056E-3</v>
      </c>
      <c r="J412" s="98"/>
      <c r="K412" s="98"/>
    </row>
    <row r="413" spans="1:11" ht="16">
      <c r="A413" s="106">
        <v>40554</v>
      </c>
      <c r="B413" s="107">
        <v>5.46</v>
      </c>
      <c r="G413" s="111">
        <v>40549</v>
      </c>
      <c r="H413" s="112">
        <v>382.75</v>
      </c>
      <c r="I413" s="114">
        <f t="shared" si="6"/>
        <v>7.15732968449867E-3</v>
      </c>
      <c r="J413" s="98"/>
      <c r="K413" s="98"/>
    </row>
    <row r="414" spans="1:11" ht="16">
      <c r="A414" s="106">
        <v>40555</v>
      </c>
      <c r="B414" s="107">
        <v>5.46</v>
      </c>
      <c r="G414" s="111">
        <v>40550</v>
      </c>
      <c r="H414" s="112">
        <v>389.39</v>
      </c>
      <c r="I414" s="114">
        <f t="shared" si="6"/>
        <v>1.7348138471587227E-2</v>
      </c>
      <c r="J414" s="98"/>
      <c r="K414" s="98"/>
    </row>
    <row r="415" spans="1:11" ht="16">
      <c r="A415" s="106">
        <v>40556</v>
      </c>
      <c r="B415" s="107">
        <v>5.43</v>
      </c>
      <c r="G415" s="111">
        <v>40551</v>
      </c>
      <c r="H415" s="112">
        <v>389.68</v>
      </c>
      <c r="I415" s="114">
        <f t="shared" si="6"/>
        <v>7.447546161947205E-4</v>
      </c>
      <c r="J415" s="98"/>
      <c r="K415" s="98"/>
    </row>
    <row r="416" spans="1:11" ht="16">
      <c r="A416" s="106">
        <v>40557</v>
      </c>
      <c r="B416" s="107">
        <v>5.36</v>
      </c>
      <c r="G416" s="111">
        <v>40554</v>
      </c>
      <c r="H416" s="112">
        <v>386.98</v>
      </c>
      <c r="I416" s="114">
        <f t="shared" si="6"/>
        <v>-6.9287620611784284E-3</v>
      </c>
      <c r="J416" s="98"/>
      <c r="K416" s="98"/>
    </row>
    <row r="417" spans="1:11" ht="16">
      <c r="A417" s="106">
        <v>40561</v>
      </c>
      <c r="B417" s="107">
        <v>5.38</v>
      </c>
      <c r="G417" s="111">
        <v>40555</v>
      </c>
      <c r="H417" s="112">
        <v>388.57</v>
      </c>
      <c r="I417" s="114">
        <f t="shared" si="6"/>
        <v>4.108739469739886E-3</v>
      </c>
      <c r="J417" s="98"/>
      <c r="K417" s="98"/>
    </row>
    <row r="418" spans="1:11" ht="16">
      <c r="A418" s="106">
        <v>40562</v>
      </c>
      <c r="B418" s="107">
        <v>5.38</v>
      </c>
      <c r="G418" s="111">
        <v>40556</v>
      </c>
      <c r="H418" s="112">
        <v>386.93</v>
      </c>
      <c r="I418" s="114">
        <f t="shared" si="6"/>
        <v>-4.2206037522196649E-3</v>
      </c>
      <c r="J418" s="98"/>
      <c r="K418" s="98"/>
    </row>
    <row r="419" spans="1:11" ht="16">
      <c r="A419" s="106">
        <v>40563</v>
      </c>
      <c r="B419" s="107">
        <v>5.39</v>
      </c>
      <c r="G419" s="111">
        <v>40557</v>
      </c>
      <c r="H419" s="112">
        <v>388.56</v>
      </c>
      <c r="I419" s="114">
        <f t="shared" si="6"/>
        <v>4.212648282635012E-3</v>
      </c>
      <c r="J419" s="98"/>
      <c r="K419" s="98"/>
    </row>
    <row r="420" spans="1:11" ht="16">
      <c r="A420" s="106">
        <v>40564</v>
      </c>
      <c r="B420" s="107">
        <v>5.38</v>
      </c>
      <c r="G420" s="111">
        <v>40558</v>
      </c>
      <c r="H420" s="112">
        <v>387.95</v>
      </c>
      <c r="I420" s="114">
        <f t="shared" si="6"/>
        <v>-1.5698991146798624E-3</v>
      </c>
      <c r="J420" s="98"/>
      <c r="K420" s="98"/>
    </row>
    <row r="421" spans="1:11" ht="16">
      <c r="A421" s="106">
        <v>40565</v>
      </c>
      <c r="B421" s="107">
        <v>5.27</v>
      </c>
      <c r="G421" s="111">
        <v>40561</v>
      </c>
      <c r="H421" s="112">
        <v>385.49</v>
      </c>
      <c r="I421" s="114">
        <f t="shared" si="6"/>
        <v>-6.3410233277483297E-3</v>
      </c>
      <c r="J421" s="98"/>
      <c r="K421" s="98"/>
    </row>
    <row r="422" spans="1:11" ht="16">
      <c r="A422" s="106">
        <v>40568</v>
      </c>
      <c r="B422" s="107">
        <v>5.28</v>
      </c>
      <c r="G422" s="111">
        <v>40562</v>
      </c>
      <c r="H422" s="112">
        <v>387.85</v>
      </c>
      <c r="I422" s="114">
        <f t="shared" si="6"/>
        <v>6.1220783937325773E-3</v>
      </c>
      <c r="J422" s="98"/>
      <c r="K422" s="98"/>
    </row>
    <row r="423" spans="1:11" ht="16">
      <c r="A423" s="106">
        <v>40569</v>
      </c>
      <c r="B423" s="107">
        <v>5.32</v>
      </c>
      <c r="G423" s="111">
        <v>40563</v>
      </c>
      <c r="H423" s="112">
        <v>394.94</v>
      </c>
      <c r="I423" s="114">
        <f t="shared" si="6"/>
        <v>1.828026298826857E-2</v>
      </c>
      <c r="J423" s="98"/>
      <c r="K423" s="98"/>
    </row>
    <row r="424" spans="1:11" ht="16">
      <c r="A424" s="106">
        <v>40570</v>
      </c>
      <c r="B424" s="107">
        <v>5.28</v>
      </c>
      <c r="G424" s="111">
        <v>40564</v>
      </c>
      <c r="H424" s="112">
        <v>398.58</v>
      </c>
      <c r="I424" s="114">
        <f t="shared" si="6"/>
        <v>9.2165898617511122E-3</v>
      </c>
      <c r="J424" s="98"/>
      <c r="K424" s="98"/>
    </row>
    <row r="425" spans="1:11" ht="16">
      <c r="A425" s="106">
        <v>40571</v>
      </c>
      <c r="B425" s="107">
        <v>5.33</v>
      </c>
      <c r="G425" s="111">
        <v>40565</v>
      </c>
      <c r="H425" s="112">
        <v>401.08</v>
      </c>
      <c r="I425" s="114">
        <f t="shared" si="6"/>
        <v>6.2722665462391358E-3</v>
      </c>
      <c r="J425" s="98"/>
      <c r="K425" s="98"/>
    </row>
    <row r="426" spans="1:11" ht="16">
      <c r="A426" s="106">
        <v>40572</v>
      </c>
      <c r="B426" s="107">
        <v>5.38</v>
      </c>
      <c r="G426" s="111">
        <v>40568</v>
      </c>
      <c r="H426" s="112">
        <v>400.07</v>
      </c>
      <c r="I426" s="114">
        <f t="shared" si="6"/>
        <v>-2.5182008576842829E-3</v>
      </c>
      <c r="J426" s="98"/>
      <c r="K426" s="98"/>
    </row>
    <row r="427" spans="1:11" ht="16">
      <c r="A427" s="106">
        <v>40573</v>
      </c>
      <c r="B427" s="107">
        <v>5.38</v>
      </c>
      <c r="G427" s="111">
        <v>40569</v>
      </c>
      <c r="H427" s="112">
        <v>400.42</v>
      </c>
      <c r="I427" s="114">
        <f t="shared" si="6"/>
        <v>8.7484690179229219E-4</v>
      </c>
      <c r="J427" s="98"/>
      <c r="K427" s="98"/>
    </row>
    <row r="428" spans="1:11" ht="16">
      <c r="A428" s="106">
        <v>40575</v>
      </c>
      <c r="B428" s="107">
        <v>5.37</v>
      </c>
      <c r="G428" s="111">
        <v>40570</v>
      </c>
      <c r="H428" s="112">
        <v>398.36</v>
      </c>
      <c r="I428" s="114">
        <f t="shared" si="6"/>
        <v>-5.1445981719194789E-3</v>
      </c>
      <c r="J428" s="98"/>
      <c r="K428" s="98"/>
    </row>
    <row r="429" spans="1:11" ht="16">
      <c r="A429" s="106">
        <v>40576</v>
      </c>
      <c r="B429" s="107">
        <v>5.35</v>
      </c>
      <c r="G429" s="111">
        <v>40571</v>
      </c>
      <c r="H429" s="112">
        <v>394.05</v>
      </c>
      <c r="I429" s="114">
        <f t="shared" si="6"/>
        <v>-1.0819359373431037E-2</v>
      </c>
      <c r="J429" s="98"/>
      <c r="K429" s="98"/>
    </row>
    <row r="430" spans="1:11" ht="16">
      <c r="A430" s="106">
        <v>40577</v>
      </c>
      <c r="B430" s="107">
        <v>5.32</v>
      </c>
      <c r="G430" s="111">
        <v>40572</v>
      </c>
      <c r="H430" s="112">
        <v>389.47</v>
      </c>
      <c r="I430" s="114">
        <f t="shared" si="6"/>
        <v>-1.1622890496129856E-2</v>
      </c>
      <c r="J430" s="98"/>
      <c r="K430" s="98"/>
    </row>
    <row r="431" spans="1:11" ht="16">
      <c r="A431" s="106">
        <v>40578</v>
      </c>
      <c r="B431" s="107">
        <v>5.28</v>
      </c>
      <c r="G431" s="111">
        <v>40575</v>
      </c>
      <c r="H431" s="112">
        <v>390.69</v>
      </c>
      <c r="I431" s="114">
        <f t="shared" si="6"/>
        <v>3.1324620638302214E-3</v>
      </c>
      <c r="J431" s="98"/>
      <c r="K431" s="98"/>
    </row>
    <row r="432" spans="1:11" ht="16">
      <c r="A432" s="106">
        <v>40579</v>
      </c>
      <c r="B432" s="107">
        <v>5.29</v>
      </c>
      <c r="G432" s="111">
        <v>40576</v>
      </c>
      <c r="H432" s="112">
        <v>395.59</v>
      </c>
      <c r="I432" s="114">
        <f t="shared" si="6"/>
        <v>1.2541913025672535E-2</v>
      </c>
      <c r="J432" s="98"/>
      <c r="K432" s="98"/>
    </row>
    <row r="433" spans="1:11" ht="16">
      <c r="A433" s="106">
        <v>40582</v>
      </c>
      <c r="B433" s="107">
        <v>5.29</v>
      </c>
      <c r="G433" s="111">
        <v>40577</v>
      </c>
      <c r="H433" s="112">
        <v>396.13</v>
      </c>
      <c r="I433" s="114">
        <f t="shared" si="6"/>
        <v>1.36504967264095E-3</v>
      </c>
      <c r="J433" s="98"/>
      <c r="K433" s="98"/>
    </row>
    <row r="434" spans="1:11" ht="16">
      <c r="A434" s="106">
        <v>40583</v>
      </c>
      <c r="B434" s="107">
        <v>5.34</v>
      </c>
      <c r="G434" s="111">
        <v>40578</v>
      </c>
      <c r="H434" s="112">
        <v>397.23</v>
      </c>
      <c r="I434" s="114">
        <f t="shared" si="6"/>
        <v>2.7768661802944905E-3</v>
      </c>
      <c r="J434" s="98"/>
      <c r="K434" s="98"/>
    </row>
    <row r="435" spans="1:11" ht="16">
      <c r="A435" s="106">
        <v>40584</v>
      </c>
      <c r="B435" s="107">
        <v>5.35</v>
      </c>
      <c r="G435" s="111">
        <v>40579</v>
      </c>
      <c r="H435" s="112">
        <v>395.1</v>
      </c>
      <c r="I435" s="114">
        <f t="shared" si="6"/>
        <v>-5.3621327694283183E-3</v>
      </c>
      <c r="J435" s="98"/>
      <c r="K435" s="98"/>
    </row>
    <row r="436" spans="1:11" ht="16">
      <c r="A436" s="106">
        <v>40585</v>
      </c>
      <c r="B436" s="107">
        <v>5.28</v>
      </c>
      <c r="G436" s="111">
        <v>40582</v>
      </c>
      <c r="H436" s="112">
        <v>392.87</v>
      </c>
      <c r="I436" s="114">
        <f t="shared" si="6"/>
        <v>-5.6441407238674302E-3</v>
      </c>
      <c r="J436" s="98"/>
      <c r="K436" s="98"/>
    </row>
    <row r="437" spans="1:11" ht="16">
      <c r="A437" s="106">
        <v>40586</v>
      </c>
      <c r="B437" s="107">
        <v>5.21</v>
      </c>
      <c r="G437" s="111">
        <v>40583</v>
      </c>
      <c r="H437" s="112">
        <v>390.99</v>
      </c>
      <c r="I437" s="114">
        <f t="shared" si="6"/>
        <v>-4.7852979357039249E-3</v>
      </c>
      <c r="J437" s="98"/>
      <c r="K437" s="98"/>
    </row>
    <row r="438" spans="1:11" ht="16">
      <c r="A438" s="106">
        <v>40589</v>
      </c>
      <c r="B438" s="107">
        <v>5.2</v>
      </c>
      <c r="G438" s="111">
        <v>40584</v>
      </c>
      <c r="H438" s="112">
        <v>388.97</v>
      </c>
      <c r="I438" s="114">
        <f t="shared" si="6"/>
        <v>-5.1663725414972106E-3</v>
      </c>
      <c r="J438" s="98"/>
      <c r="K438" s="98"/>
    </row>
    <row r="439" spans="1:11" ht="16">
      <c r="A439" s="106">
        <v>40590</v>
      </c>
      <c r="B439" s="107">
        <v>5.21</v>
      </c>
      <c r="G439" s="111">
        <v>40585</v>
      </c>
      <c r="H439" s="112">
        <v>393.78</v>
      </c>
      <c r="I439" s="114">
        <f t="shared" si="6"/>
        <v>1.2365992235904955E-2</v>
      </c>
      <c r="J439" s="98"/>
      <c r="K439" s="98"/>
    </row>
    <row r="440" spans="1:11" ht="16">
      <c r="A440" s="106">
        <v>40591</v>
      </c>
      <c r="B440" s="107">
        <v>5.14</v>
      </c>
      <c r="G440" s="111">
        <v>40586</v>
      </c>
      <c r="H440" s="112">
        <v>399.35</v>
      </c>
      <c r="I440" s="114">
        <f t="shared" si="6"/>
        <v>1.4144954035248292E-2</v>
      </c>
      <c r="J440" s="98"/>
      <c r="K440" s="98"/>
    </row>
    <row r="441" spans="1:11" ht="16">
      <c r="A441" s="106">
        <v>40592</v>
      </c>
      <c r="B441" s="107">
        <v>5.19</v>
      </c>
      <c r="G441" s="111">
        <v>40589</v>
      </c>
      <c r="H441" s="112">
        <v>398.47</v>
      </c>
      <c r="I441" s="114">
        <f t="shared" si="6"/>
        <v>-2.2035808188305417E-3</v>
      </c>
      <c r="J441" s="98"/>
      <c r="K441" s="98"/>
    </row>
    <row r="442" spans="1:11" ht="16">
      <c r="A442" s="106">
        <v>40593</v>
      </c>
      <c r="B442" s="107">
        <v>5.21</v>
      </c>
      <c r="G442" s="111">
        <v>40590</v>
      </c>
      <c r="H442" s="112">
        <v>397.85</v>
      </c>
      <c r="I442" s="114">
        <f t="shared" si="6"/>
        <v>-1.5559515145431302E-3</v>
      </c>
      <c r="J442" s="98"/>
      <c r="K442" s="98"/>
    </row>
    <row r="443" spans="1:11" ht="16">
      <c r="A443" s="106">
        <v>40596</v>
      </c>
      <c r="B443" s="107">
        <v>5.22</v>
      </c>
      <c r="G443" s="111">
        <v>40591</v>
      </c>
      <c r="H443" s="112">
        <v>398.79</v>
      </c>
      <c r="I443" s="114">
        <f t="shared" si="6"/>
        <v>2.3626995098655623E-3</v>
      </c>
      <c r="J443" s="98"/>
      <c r="K443" s="98"/>
    </row>
    <row r="444" spans="1:11" ht="16">
      <c r="A444" s="106">
        <v>40597</v>
      </c>
      <c r="B444" s="107">
        <v>5.16</v>
      </c>
      <c r="G444" s="111">
        <v>40592</v>
      </c>
      <c r="H444" s="112">
        <v>398.91</v>
      </c>
      <c r="I444" s="114">
        <f t="shared" si="6"/>
        <v>3.0091025351697276E-4</v>
      </c>
      <c r="J444" s="98"/>
      <c r="K444" s="98"/>
    </row>
    <row r="445" spans="1:11" ht="16">
      <c r="A445" s="106">
        <v>40598</v>
      </c>
      <c r="B445" s="107">
        <v>5.17</v>
      </c>
      <c r="G445" s="111">
        <v>40593</v>
      </c>
      <c r="H445" s="112">
        <v>398.62</v>
      </c>
      <c r="I445" s="114">
        <f t="shared" si="6"/>
        <v>-7.2698102328849767E-4</v>
      </c>
      <c r="J445" s="98"/>
      <c r="K445" s="98"/>
    </row>
    <row r="446" spans="1:11" ht="16">
      <c r="A446" s="106">
        <v>40599</v>
      </c>
      <c r="B446" s="107">
        <v>5.16</v>
      </c>
      <c r="G446" s="111">
        <v>40596</v>
      </c>
      <c r="H446" s="112">
        <v>398.08</v>
      </c>
      <c r="I446" s="114">
        <f t="shared" si="6"/>
        <v>-1.3546736240028778E-3</v>
      </c>
      <c r="J446" s="98"/>
      <c r="K446" s="98"/>
    </row>
    <row r="447" spans="1:11" ht="16">
      <c r="A447" s="106">
        <v>40600</v>
      </c>
      <c r="B447" s="107">
        <v>5.14</v>
      </c>
      <c r="G447" s="111">
        <v>40597</v>
      </c>
      <c r="H447" s="112">
        <v>399.85</v>
      </c>
      <c r="I447" s="114">
        <f t="shared" si="6"/>
        <v>4.4463424437299892E-3</v>
      </c>
      <c r="J447" s="98"/>
      <c r="K447" s="98"/>
    </row>
    <row r="448" spans="1:11" ht="16">
      <c r="A448" s="106">
        <v>40601</v>
      </c>
      <c r="B448" s="107">
        <v>5.15</v>
      </c>
      <c r="G448" s="111">
        <v>40598</v>
      </c>
      <c r="H448" s="112">
        <v>400.7</v>
      </c>
      <c r="I448" s="114">
        <f t="shared" si="6"/>
        <v>2.1257971739401249E-3</v>
      </c>
      <c r="J448" s="98"/>
      <c r="K448" s="98"/>
    </row>
    <row r="449" spans="1:11" ht="16">
      <c r="A449" s="106">
        <v>40603</v>
      </c>
      <c r="B449" s="107">
        <v>5.16</v>
      </c>
      <c r="G449" s="111">
        <v>40599</v>
      </c>
      <c r="H449" s="112">
        <v>401.29</v>
      </c>
      <c r="I449" s="114">
        <f t="shared" si="6"/>
        <v>1.4724232592964182E-3</v>
      </c>
      <c r="J449" s="98"/>
      <c r="K449" s="98"/>
    </row>
    <row r="450" spans="1:11" ht="16">
      <c r="A450" s="106">
        <v>40604</v>
      </c>
      <c r="B450" s="107">
        <v>5.13</v>
      </c>
      <c r="G450" s="111">
        <v>40600</v>
      </c>
      <c r="H450" s="112">
        <v>400.41</v>
      </c>
      <c r="I450" s="114">
        <f t="shared" si="6"/>
        <v>-2.1929278078197667E-3</v>
      </c>
      <c r="J450" s="98"/>
      <c r="K450" s="98"/>
    </row>
    <row r="451" spans="1:11" ht="16">
      <c r="A451" s="106">
        <v>40605</v>
      </c>
      <c r="B451" s="107">
        <v>5.14</v>
      </c>
      <c r="G451" s="111">
        <v>40603</v>
      </c>
      <c r="H451" s="112">
        <v>399.8</v>
      </c>
      <c r="I451" s="114">
        <f t="shared" si="6"/>
        <v>-1.5234384755625774E-3</v>
      </c>
      <c r="J451" s="98"/>
      <c r="K451" s="98"/>
    </row>
    <row r="452" spans="1:11" ht="16">
      <c r="A452" s="106">
        <v>40606</v>
      </c>
      <c r="B452" s="107">
        <v>5.1100000000000003</v>
      </c>
      <c r="G452" s="111">
        <v>40604</v>
      </c>
      <c r="H452" s="112">
        <v>398.41</v>
      </c>
      <c r="I452" s="114">
        <f t="shared" si="6"/>
        <v>-3.4767383691846065E-3</v>
      </c>
      <c r="J452" s="98"/>
      <c r="K452" s="98"/>
    </row>
    <row r="453" spans="1:11" ht="16">
      <c r="A453" s="106">
        <v>40607</v>
      </c>
      <c r="B453" s="107">
        <v>5.13</v>
      </c>
      <c r="G453" s="111">
        <v>40605</v>
      </c>
      <c r="H453" s="112">
        <v>394.58</v>
      </c>
      <c r="I453" s="114">
        <f t="shared" si="6"/>
        <v>-9.6132125197662122E-3</v>
      </c>
      <c r="J453" s="98"/>
      <c r="K453" s="98"/>
    </row>
    <row r="454" spans="1:11" ht="16">
      <c r="A454" s="106">
        <v>40610</v>
      </c>
      <c r="B454" s="107">
        <v>5.18</v>
      </c>
      <c r="G454" s="111">
        <v>40606</v>
      </c>
      <c r="H454" s="112">
        <v>394.68</v>
      </c>
      <c r="I454" s="114">
        <f t="shared" si="6"/>
        <v>2.5343403112176865E-4</v>
      </c>
      <c r="J454" s="98"/>
      <c r="K454" s="98"/>
    </row>
    <row r="455" spans="1:11" ht="16">
      <c r="A455" s="106">
        <v>40611</v>
      </c>
      <c r="B455" s="107">
        <v>5.22</v>
      </c>
      <c r="G455" s="111">
        <v>40607</v>
      </c>
      <c r="H455" s="112">
        <v>392.41</v>
      </c>
      <c r="I455" s="114">
        <f t="shared" si="6"/>
        <v>-5.7514948819296086E-3</v>
      </c>
      <c r="J455" s="98"/>
      <c r="K455" s="98"/>
    </row>
    <row r="456" spans="1:11" ht="16">
      <c r="A456" s="106">
        <v>40612</v>
      </c>
      <c r="B456" s="107">
        <v>5.22</v>
      </c>
      <c r="G456" s="111">
        <v>40610</v>
      </c>
      <c r="H456" s="112">
        <v>388.47</v>
      </c>
      <c r="I456" s="114">
        <f t="shared" si="6"/>
        <v>-1.00405188450855E-2</v>
      </c>
      <c r="J456" s="98"/>
      <c r="K456" s="98"/>
    </row>
    <row r="457" spans="1:11" ht="16">
      <c r="A457" s="106">
        <v>40613</v>
      </c>
      <c r="B457" s="107">
        <v>5.19</v>
      </c>
      <c r="G457" s="111">
        <v>40611</v>
      </c>
      <c r="H457" s="112">
        <v>382.75</v>
      </c>
      <c r="I457" s="114">
        <f t="shared" si="6"/>
        <v>-1.4724431745051114E-2</v>
      </c>
      <c r="J457" s="98"/>
      <c r="K457" s="98"/>
    </row>
    <row r="458" spans="1:11" ht="16">
      <c r="A458" s="106">
        <v>40614</v>
      </c>
      <c r="B458" s="107">
        <v>5.25</v>
      </c>
      <c r="G458" s="111">
        <v>40612</v>
      </c>
      <c r="H458" s="112">
        <v>382.13</v>
      </c>
      <c r="I458" s="114">
        <f t="shared" si="6"/>
        <v>-1.6198563030699331E-3</v>
      </c>
      <c r="J458" s="98"/>
      <c r="K458" s="98"/>
    </row>
    <row r="459" spans="1:11" ht="16">
      <c r="A459" s="106">
        <v>40617</v>
      </c>
      <c r="B459" s="107">
        <v>5.31</v>
      </c>
      <c r="G459" s="111">
        <v>40613</v>
      </c>
      <c r="H459" s="112">
        <v>385.1</v>
      </c>
      <c r="I459" s="114">
        <f t="shared" si="6"/>
        <v>7.7722241122131219E-3</v>
      </c>
      <c r="J459" s="98"/>
      <c r="K459" s="98"/>
    </row>
    <row r="460" spans="1:11" ht="16">
      <c r="A460" s="106">
        <v>40618</v>
      </c>
      <c r="B460" s="107">
        <v>5.34</v>
      </c>
      <c r="G460" s="111">
        <v>40614</v>
      </c>
      <c r="H460" s="112">
        <v>380.85</v>
      </c>
      <c r="I460" s="114">
        <f t="shared" si="6"/>
        <v>-1.1036094520903705E-2</v>
      </c>
      <c r="J460" s="98"/>
      <c r="K460" s="98"/>
    </row>
    <row r="461" spans="1:11" ht="16">
      <c r="A461" s="106">
        <v>40619</v>
      </c>
      <c r="B461" s="107">
        <v>5.29</v>
      </c>
      <c r="G461" s="111">
        <v>40617</v>
      </c>
      <c r="H461" s="112">
        <v>381.28</v>
      </c>
      <c r="I461" s="114">
        <f t="shared" si="6"/>
        <v>1.1290534331100943E-3</v>
      </c>
      <c r="J461" s="98"/>
      <c r="K461" s="98"/>
    </row>
    <row r="462" spans="1:11" ht="16">
      <c r="A462" s="106">
        <v>40620</v>
      </c>
      <c r="B462" s="107">
        <v>5.25</v>
      </c>
      <c r="G462" s="111">
        <v>40618</v>
      </c>
      <c r="H462" s="112">
        <v>383.34</v>
      </c>
      <c r="I462" s="114">
        <f t="shared" si="6"/>
        <v>5.4028535459504923E-3</v>
      </c>
      <c r="J462" s="98"/>
      <c r="K462" s="98"/>
    </row>
    <row r="463" spans="1:11" ht="16">
      <c r="A463" s="106">
        <v>40621</v>
      </c>
      <c r="B463" s="107">
        <v>5.16</v>
      </c>
      <c r="G463" s="111">
        <v>40619</v>
      </c>
      <c r="H463" s="112">
        <v>386.66</v>
      </c>
      <c r="I463" s="114">
        <f t="shared" ref="I463:I526" si="7">H463/H462-1</f>
        <v>8.6607189440184307E-3</v>
      </c>
      <c r="J463" s="98"/>
      <c r="K463" s="98"/>
    </row>
    <row r="464" spans="1:11" ht="16">
      <c r="A464" s="106">
        <v>40624</v>
      </c>
      <c r="B464" s="107">
        <v>5.1100000000000003</v>
      </c>
      <c r="G464" s="111">
        <v>40620</v>
      </c>
      <c r="H464" s="112">
        <v>389.36</v>
      </c>
      <c r="I464" s="114">
        <f t="shared" si="7"/>
        <v>6.9828790151553743E-3</v>
      </c>
      <c r="J464" s="98"/>
      <c r="K464" s="98"/>
    </row>
    <row r="465" spans="1:11" ht="16">
      <c r="A465" s="106">
        <v>40625</v>
      </c>
      <c r="B465" s="107">
        <v>5.05</v>
      </c>
      <c r="G465" s="111">
        <v>40621</v>
      </c>
      <c r="H465" s="112">
        <v>391.8</v>
      </c>
      <c r="I465" s="114">
        <f t="shared" si="7"/>
        <v>6.266694062050604E-3</v>
      </c>
      <c r="J465" s="98"/>
      <c r="K465" s="98"/>
    </row>
    <row r="466" spans="1:11" ht="16">
      <c r="A466" s="106">
        <v>40626</v>
      </c>
      <c r="B466" s="107">
        <v>5.03</v>
      </c>
      <c r="G466" s="111">
        <v>40624</v>
      </c>
      <c r="H466" s="112">
        <v>394.14</v>
      </c>
      <c r="I466" s="114">
        <f t="shared" si="7"/>
        <v>5.9724349157732615E-3</v>
      </c>
      <c r="J466" s="98"/>
      <c r="K466" s="98"/>
    </row>
    <row r="467" spans="1:11" ht="16">
      <c r="A467" s="106">
        <v>40627</v>
      </c>
      <c r="B467" s="107">
        <v>5.07</v>
      </c>
      <c r="G467" s="111">
        <v>40625</v>
      </c>
      <c r="H467" s="112">
        <v>394.8</v>
      </c>
      <c r="I467" s="114">
        <f t="shared" si="7"/>
        <v>1.6745318922211094E-3</v>
      </c>
      <c r="J467" s="98"/>
      <c r="K467" s="98"/>
    </row>
    <row r="468" spans="1:11" ht="16">
      <c r="A468" s="106">
        <v>40628</v>
      </c>
      <c r="B468" s="107">
        <v>5.05</v>
      </c>
      <c r="G468" s="111">
        <v>40626</v>
      </c>
      <c r="H468" s="112">
        <v>393.52</v>
      </c>
      <c r="I468" s="114">
        <f t="shared" si="7"/>
        <v>-3.2421479229990391E-3</v>
      </c>
      <c r="J468" s="98"/>
      <c r="K468" s="98"/>
    </row>
    <row r="469" spans="1:11" ht="16">
      <c r="A469" s="106">
        <v>40631</v>
      </c>
      <c r="B469" s="107">
        <v>5.05</v>
      </c>
      <c r="G469" s="111">
        <v>40627</v>
      </c>
      <c r="H469" s="112">
        <v>388.97</v>
      </c>
      <c r="I469" s="114">
        <f t="shared" si="7"/>
        <v>-1.1562309412482041E-2</v>
      </c>
      <c r="J469" s="98"/>
      <c r="K469" s="98"/>
    </row>
    <row r="470" spans="1:11" ht="16">
      <c r="A470" s="106">
        <v>40632</v>
      </c>
      <c r="B470" s="107">
        <v>4.97</v>
      </c>
      <c r="G470" s="111">
        <v>40628</v>
      </c>
      <c r="H470" s="112">
        <v>387.36</v>
      </c>
      <c r="I470" s="114">
        <f t="shared" si="7"/>
        <v>-4.1391366943466235E-3</v>
      </c>
      <c r="J470" s="98"/>
      <c r="K470" s="98"/>
    </row>
    <row r="471" spans="1:11" ht="16">
      <c r="A471" s="106">
        <v>40633</v>
      </c>
      <c r="B471" s="107">
        <v>4.9000000000000004</v>
      </c>
      <c r="G471" s="111">
        <v>40631</v>
      </c>
      <c r="H471" s="112">
        <v>392.1</v>
      </c>
      <c r="I471" s="114">
        <f t="shared" si="7"/>
        <v>1.2236679058240441E-2</v>
      </c>
      <c r="J471" s="98"/>
      <c r="K471" s="98"/>
    </row>
    <row r="472" spans="1:11" ht="16">
      <c r="A472" s="106">
        <v>40634</v>
      </c>
      <c r="B472" s="107">
        <v>4.8499999999999996</v>
      </c>
      <c r="G472" s="111">
        <v>40632</v>
      </c>
      <c r="H472" s="112">
        <v>394.25</v>
      </c>
      <c r="I472" s="114">
        <f t="shared" si="7"/>
        <v>5.48329507778611E-3</v>
      </c>
      <c r="J472" s="98"/>
      <c r="K472" s="98"/>
    </row>
    <row r="473" spans="1:11" ht="16">
      <c r="A473" s="106">
        <v>40638</v>
      </c>
      <c r="B473" s="107">
        <v>4.83</v>
      </c>
      <c r="G473" s="111">
        <v>40633</v>
      </c>
      <c r="H473" s="112">
        <v>398.35</v>
      </c>
      <c r="I473" s="114">
        <f t="shared" si="7"/>
        <v>1.039949270767293E-2</v>
      </c>
      <c r="J473" s="98"/>
      <c r="K473" s="98"/>
    </row>
    <row r="474" spans="1:11" ht="16">
      <c r="A474" s="106">
        <v>40639</v>
      </c>
      <c r="B474" s="107">
        <v>4.78</v>
      </c>
      <c r="G474" s="111">
        <v>40634</v>
      </c>
      <c r="H474" s="112">
        <v>402.42</v>
      </c>
      <c r="I474" s="114">
        <f t="shared" si="7"/>
        <v>1.0217145726120203E-2</v>
      </c>
      <c r="J474" s="98"/>
      <c r="K474" s="98"/>
    </row>
    <row r="475" spans="1:11" ht="16">
      <c r="A475" s="106">
        <v>40640</v>
      </c>
      <c r="B475" s="107">
        <v>4.7300000000000004</v>
      </c>
      <c r="G475" s="111">
        <v>40635</v>
      </c>
      <c r="H475" s="112">
        <v>402.58</v>
      </c>
      <c r="I475" s="114">
        <f t="shared" si="7"/>
        <v>3.9759455295462764E-4</v>
      </c>
      <c r="J475" s="98"/>
      <c r="K475" s="98"/>
    </row>
    <row r="476" spans="1:11" ht="16">
      <c r="A476" s="106">
        <v>40641</v>
      </c>
      <c r="B476" s="107">
        <v>4.6900000000000004</v>
      </c>
      <c r="G476" s="111">
        <v>40638</v>
      </c>
      <c r="H476" s="112">
        <v>406.98</v>
      </c>
      <c r="I476" s="114">
        <f t="shared" si="7"/>
        <v>1.0929504694719094E-2</v>
      </c>
      <c r="J476" s="98"/>
      <c r="K476" s="98"/>
    </row>
    <row r="477" spans="1:11" ht="16">
      <c r="A477" s="106">
        <v>40642</v>
      </c>
      <c r="B477" s="107">
        <v>4.68</v>
      </c>
      <c r="G477" s="111">
        <v>40639</v>
      </c>
      <c r="H477" s="112">
        <v>407.56</v>
      </c>
      <c r="I477" s="114">
        <f t="shared" si="7"/>
        <v>1.4251314560911332E-3</v>
      </c>
      <c r="J477" s="98"/>
      <c r="K477" s="98"/>
    </row>
    <row r="478" spans="1:11" ht="16">
      <c r="A478" s="106">
        <v>40645</v>
      </c>
      <c r="B478" s="107">
        <v>4.6500000000000004</v>
      </c>
      <c r="G478" s="111">
        <v>40640</v>
      </c>
      <c r="H478" s="112">
        <v>414.65</v>
      </c>
      <c r="I478" s="114">
        <f t="shared" si="7"/>
        <v>1.7396211600745781E-2</v>
      </c>
      <c r="J478" s="98"/>
      <c r="K478" s="98"/>
    </row>
    <row r="479" spans="1:11" ht="16">
      <c r="A479" s="106">
        <v>40646</v>
      </c>
      <c r="B479" s="107">
        <v>4.63</v>
      </c>
      <c r="G479" s="111">
        <v>40641</v>
      </c>
      <c r="H479" s="112">
        <v>418.29</v>
      </c>
      <c r="I479" s="114">
        <f t="shared" si="7"/>
        <v>8.7784878813457201E-3</v>
      </c>
      <c r="J479" s="98"/>
      <c r="K479" s="98"/>
    </row>
    <row r="480" spans="1:11" ht="16">
      <c r="A480" s="106">
        <v>40647</v>
      </c>
      <c r="B480" s="107">
        <v>4.6100000000000003</v>
      </c>
      <c r="G480" s="111">
        <v>40642</v>
      </c>
      <c r="H480" s="112">
        <v>419.72</v>
      </c>
      <c r="I480" s="114">
        <f t="shared" si="7"/>
        <v>3.4186808195271201E-3</v>
      </c>
      <c r="J480" s="98"/>
      <c r="K480" s="98"/>
    </row>
    <row r="481" spans="1:11" ht="16">
      <c r="A481" s="106">
        <v>40648</v>
      </c>
      <c r="B481" s="107">
        <v>4.59</v>
      </c>
      <c r="G481" s="111">
        <v>40645</v>
      </c>
      <c r="H481" s="112">
        <v>423.15</v>
      </c>
      <c r="I481" s="114">
        <f t="shared" si="7"/>
        <v>8.172114743161929E-3</v>
      </c>
      <c r="J481" s="98"/>
      <c r="K481" s="98"/>
    </row>
    <row r="482" spans="1:11" ht="16">
      <c r="A482" s="106">
        <v>40649</v>
      </c>
      <c r="B482" s="107">
        <v>4.6100000000000003</v>
      </c>
      <c r="G482" s="111">
        <v>40646</v>
      </c>
      <c r="H482" s="112">
        <v>420.64</v>
      </c>
      <c r="I482" s="114">
        <f t="shared" si="7"/>
        <v>-5.931702705896269E-3</v>
      </c>
      <c r="J482" s="98"/>
      <c r="K482" s="98"/>
    </row>
    <row r="483" spans="1:11" ht="16">
      <c r="A483" s="106">
        <v>40652</v>
      </c>
      <c r="B483" s="107">
        <v>4.6500000000000004</v>
      </c>
      <c r="G483" s="111">
        <v>40647</v>
      </c>
      <c r="H483" s="112">
        <v>420.42</v>
      </c>
      <c r="I483" s="114">
        <f t="shared" si="7"/>
        <v>-5.2301255230113863E-4</v>
      </c>
      <c r="J483" s="98"/>
      <c r="K483" s="98"/>
    </row>
    <row r="484" spans="1:11" ht="16">
      <c r="A484" s="106">
        <v>40653</v>
      </c>
      <c r="B484" s="107">
        <v>4.66</v>
      </c>
      <c r="G484" s="111">
        <v>40648</v>
      </c>
      <c r="H484" s="112">
        <v>425.66</v>
      </c>
      <c r="I484" s="114">
        <f t="shared" si="7"/>
        <v>1.2463726749440962E-2</v>
      </c>
      <c r="J484" s="98"/>
      <c r="K484" s="98"/>
    </row>
    <row r="485" spans="1:11" ht="16">
      <c r="A485" s="106">
        <v>40654</v>
      </c>
      <c r="B485" s="107">
        <v>4.6500000000000004</v>
      </c>
      <c r="G485" s="111">
        <v>40649</v>
      </c>
      <c r="H485" s="112">
        <v>421.23</v>
      </c>
      <c r="I485" s="114">
        <f t="shared" si="7"/>
        <v>-1.0407367382417876E-2</v>
      </c>
      <c r="J485" s="98"/>
      <c r="K485" s="98"/>
    </row>
    <row r="486" spans="1:11" ht="16">
      <c r="A486" s="106">
        <v>40655</v>
      </c>
      <c r="B486" s="107">
        <v>4.59</v>
      </c>
      <c r="G486" s="111">
        <v>40652</v>
      </c>
      <c r="H486" s="112">
        <v>416.63</v>
      </c>
      <c r="I486" s="114">
        <f t="shared" si="7"/>
        <v>-1.0920399781592094E-2</v>
      </c>
      <c r="J486" s="98"/>
      <c r="K486" s="98"/>
    </row>
    <row r="487" spans="1:11" ht="16">
      <c r="A487" s="106">
        <v>40656</v>
      </c>
      <c r="B487" s="107">
        <v>4.55</v>
      </c>
      <c r="G487" s="111">
        <v>40653</v>
      </c>
      <c r="H487" s="112">
        <v>420.39</v>
      </c>
      <c r="I487" s="114">
        <f t="shared" si="7"/>
        <v>9.0247941818879518E-3</v>
      </c>
      <c r="J487" s="98"/>
      <c r="K487" s="98"/>
    </row>
    <row r="488" spans="1:11" ht="16">
      <c r="A488" s="106">
        <v>40659</v>
      </c>
      <c r="B488" s="107">
        <v>4.53</v>
      </c>
      <c r="G488" s="111">
        <v>40654</v>
      </c>
      <c r="H488" s="112">
        <v>422.8</v>
      </c>
      <c r="I488" s="114">
        <f t="shared" si="7"/>
        <v>5.7327719498561081E-3</v>
      </c>
      <c r="J488" s="98"/>
      <c r="K488" s="98"/>
    </row>
    <row r="489" spans="1:11" ht="16">
      <c r="A489" s="106">
        <v>40660</v>
      </c>
      <c r="B489" s="107">
        <v>4.57</v>
      </c>
      <c r="G489" s="111">
        <v>40655</v>
      </c>
      <c r="H489" s="112">
        <v>424.81</v>
      </c>
      <c r="I489" s="114">
        <f t="shared" si="7"/>
        <v>4.7540208136234163E-3</v>
      </c>
      <c r="J489" s="98"/>
      <c r="K489" s="98"/>
    </row>
    <row r="490" spans="1:11" ht="16">
      <c r="A490" s="106">
        <v>40661</v>
      </c>
      <c r="B490" s="107">
        <v>4.58</v>
      </c>
      <c r="G490" s="111">
        <v>40656</v>
      </c>
      <c r="H490" s="112">
        <v>427.66</v>
      </c>
      <c r="I490" s="114">
        <f t="shared" si="7"/>
        <v>6.708881617664364E-3</v>
      </c>
      <c r="J490" s="98"/>
      <c r="K490" s="98"/>
    </row>
    <row r="491" spans="1:11" ht="16">
      <c r="A491" s="106">
        <v>40662</v>
      </c>
      <c r="B491" s="107">
        <v>4.6100000000000003</v>
      </c>
      <c r="G491" s="111">
        <v>40659</v>
      </c>
      <c r="H491" s="112">
        <v>430.12</v>
      </c>
      <c r="I491" s="114">
        <f t="shared" si="7"/>
        <v>5.7522330823551737E-3</v>
      </c>
      <c r="J491" s="98"/>
      <c r="K491" s="98"/>
    </row>
    <row r="492" spans="1:11" ht="16">
      <c r="A492" s="106">
        <v>40663</v>
      </c>
      <c r="B492" s="107">
        <v>4.6399999999999997</v>
      </c>
      <c r="G492" s="111">
        <v>40660</v>
      </c>
      <c r="H492" s="112">
        <v>431.21</v>
      </c>
      <c r="I492" s="114">
        <f t="shared" si="7"/>
        <v>2.534176508881103E-3</v>
      </c>
      <c r="J492" s="98"/>
      <c r="K492" s="98"/>
    </row>
    <row r="493" spans="1:11" ht="16">
      <c r="A493" s="106">
        <v>40666</v>
      </c>
      <c r="B493" s="107">
        <v>4.6399999999999997</v>
      </c>
      <c r="G493" s="111">
        <v>40661</v>
      </c>
      <c r="H493" s="112">
        <v>428.38</v>
      </c>
      <c r="I493" s="114">
        <f t="shared" si="7"/>
        <v>-6.5629275758910532E-3</v>
      </c>
      <c r="J493" s="98"/>
      <c r="K493" s="98"/>
    </row>
    <row r="494" spans="1:11" ht="16">
      <c r="A494" s="106">
        <v>40667</v>
      </c>
      <c r="B494" s="107">
        <v>4.66</v>
      </c>
      <c r="G494" s="111">
        <v>40662</v>
      </c>
      <c r="H494" s="112">
        <v>424.11</v>
      </c>
      <c r="I494" s="114">
        <f t="shared" si="7"/>
        <v>-9.9677856109061658E-3</v>
      </c>
      <c r="J494" s="98"/>
      <c r="K494" s="98"/>
    </row>
    <row r="495" spans="1:11" ht="16">
      <c r="A495" s="106">
        <v>40668</v>
      </c>
      <c r="B495" s="107">
        <v>4.6500000000000004</v>
      </c>
      <c r="G495" s="111">
        <v>40663</v>
      </c>
      <c r="H495" s="112">
        <v>423.42</v>
      </c>
      <c r="I495" s="114">
        <f t="shared" si="7"/>
        <v>-1.6269364080073734E-3</v>
      </c>
      <c r="J495" s="98"/>
      <c r="K495" s="98"/>
    </row>
    <row r="496" spans="1:11" ht="16">
      <c r="A496" s="106">
        <v>40669</v>
      </c>
      <c r="B496" s="107">
        <v>4.68</v>
      </c>
      <c r="G496" s="111">
        <v>40666</v>
      </c>
      <c r="H496" s="112">
        <v>424.9</v>
      </c>
      <c r="I496" s="114">
        <f t="shared" si="7"/>
        <v>3.4953474091916625E-3</v>
      </c>
      <c r="J496" s="98"/>
      <c r="K496" s="98"/>
    </row>
    <row r="497" spans="1:11" ht="16">
      <c r="A497" s="106">
        <v>40670</v>
      </c>
      <c r="B497" s="107">
        <v>4.6399999999999997</v>
      </c>
      <c r="G497" s="111">
        <v>40667</v>
      </c>
      <c r="H497" s="112">
        <v>424.24</v>
      </c>
      <c r="I497" s="114">
        <f t="shared" si="7"/>
        <v>-1.5533066603905521E-3</v>
      </c>
      <c r="J497" s="98"/>
      <c r="K497" s="98"/>
    </row>
    <row r="498" spans="1:11" ht="16">
      <c r="A498" s="106">
        <v>40673</v>
      </c>
      <c r="B498" s="107">
        <v>4.6500000000000004</v>
      </c>
      <c r="G498" s="111">
        <v>40668</v>
      </c>
      <c r="H498" s="112">
        <v>421.22</v>
      </c>
      <c r="I498" s="114">
        <f t="shared" si="7"/>
        <v>-7.1186121063548935E-3</v>
      </c>
      <c r="J498" s="98"/>
      <c r="K498" s="98"/>
    </row>
    <row r="499" spans="1:11" ht="16">
      <c r="A499" s="106">
        <v>40674</v>
      </c>
      <c r="B499" s="107">
        <v>4.68</v>
      </c>
      <c r="G499" s="111">
        <v>40669</v>
      </c>
      <c r="H499" s="112">
        <v>415.13</v>
      </c>
      <c r="I499" s="114">
        <f t="shared" si="7"/>
        <v>-1.4458002943829928E-2</v>
      </c>
      <c r="J499" s="98"/>
      <c r="K499" s="98"/>
    </row>
    <row r="500" spans="1:11" ht="16">
      <c r="A500" s="106">
        <v>40675</v>
      </c>
      <c r="B500" s="107">
        <v>4.63</v>
      </c>
      <c r="G500" s="111">
        <v>40670</v>
      </c>
      <c r="H500" s="112">
        <v>420.51</v>
      </c>
      <c r="I500" s="114">
        <f t="shared" si="7"/>
        <v>1.2959795726639856E-2</v>
      </c>
      <c r="J500" s="98"/>
      <c r="K500" s="98"/>
    </row>
    <row r="501" spans="1:11" ht="16">
      <c r="A501" s="106">
        <v>40676</v>
      </c>
      <c r="B501" s="107">
        <v>4.5999999999999996</v>
      </c>
      <c r="G501" s="111">
        <v>40673</v>
      </c>
      <c r="H501" s="112">
        <v>421.05</v>
      </c>
      <c r="I501" s="114">
        <f t="shared" si="7"/>
        <v>1.2841549546980247E-3</v>
      </c>
      <c r="J501" s="98"/>
      <c r="K501" s="98"/>
    </row>
    <row r="502" spans="1:11" ht="16">
      <c r="A502" s="106">
        <v>40677</v>
      </c>
      <c r="B502" s="107">
        <v>4.5599999999999996</v>
      </c>
      <c r="G502" s="111">
        <v>40674</v>
      </c>
      <c r="H502" s="112">
        <v>418.09</v>
      </c>
      <c r="I502" s="114">
        <f t="shared" si="7"/>
        <v>-7.0300439377747326E-3</v>
      </c>
      <c r="J502" s="98"/>
      <c r="K502" s="98"/>
    </row>
    <row r="503" spans="1:11" ht="16">
      <c r="A503" s="106">
        <v>40680</v>
      </c>
      <c r="B503" s="107">
        <v>4.54</v>
      </c>
      <c r="G503" s="111">
        <v>40675</v>
      </c>
      <c r="H503" s="112">
        <v>420.66</v>
      </c>
      <c r="I503" s="114">
        <f t="shared" si="7"/>
        <v>6.1470018417089101E-3</v>
      </c>
      <c r="J503" s="98"/>
      <c r="K503" s="98"/>
    </row>
    <row r="504" spans="1:11" ht="16">
      <c r="A504" s="106">
        <v>40681</v>
      </c>
      <c r="B504" s="107">
        <v>4.57</v>
      </c>
      <c r="G504" s="111">
        <v>40676</v>
      </c>
      <c r="H504" s="112">
        <v>421.58</v>
      </c>
      <c r="I504" s="114">
        <f t="shared" si="7"/>
        <v>2.1870394142537997E-3</v>
      </c>
      <c r="J504" s="98"/>
      <c r="K504" s="98"/>
    </row>
    <row r="505" spans="1:11" ht="16">
      <c r="A505" s="106">
        <v>40682</v>
      </c>
      <c r="B505" s="107">
        <v>4.58</v>
      </c>
      <c r="G505" s="111">
        <v>40677</v>
      </c>
      <c r="H505" s="112">
        <v>425.23</v>
      </c>
      <c r="I505" s="114">
        <f t="shared" si="7"/>
        <v>8.6579059727691643E-3</v>
      </c>
      <c r="J505" s="98"/>
      <c r="K505" s="98"/>
    </row>
    <row r="506" spans="1:11" ht="16">
      <c r="A506" s="106">
        <v>40683</v>
      </c>
      <c r="B506" s="107">
        <v>4.55</v>
      </c>
      <c r="G506" s="111">
        <v>40680</v>
      </c>
      <c r="H506" s="112">
        <v>424.54</v>
      </c>
      <c r="I506" s="114">
        <f t="shared" si="7"/>
        <v>-1.6226512710768581E-3</v>
      </c>
      <c r="J506" s="98"/>
      <c r="K506" s="98"/>
    </row>
    <row r="507" spans="1:11" ht="16">
      <c r="A507" s="106">
        <v>40684</v>
      </c>
      <c r="B507" s="107">
        <v>4.55</v>
      </c>
      <c r="G507" s="111">
        <v>40681</v>
      </c>
      <c r="H507" s="112">
        <v>424.83</v>
      </c>
      <c r="I507" s="114">
        <f t="shared" si="7"/>
        <v>6.8309228812357681E-4</v>
      </c>
      <c r="J507" s="98"/>
      <c r="K507" s="98"/>
    </row>
    <row r="508" spans="1:11" ht="16">
      <c r="A508" s="106">
        <v>40688</v>
      </c>
      <c r="B508" s="107">
        <v>4.54</v>
      </c>
      <c r="G508" s="111">
        <v>40682</v>
      </c>
      <c r="H508" s="112">
        <v>422.84</v>
      </c>
      <c r="I508" s="114">
        <f t="shared" si="7"/>
        <v>-4.6842266318292136E-3</v>
      </c>
      <c r="J508" s="98"/>
      <c r="K508" s="98"/>
    </row>
    <row r="509" spans="1:11" ht="16">
      <c r="A509" s="106">
        <v>40689</v>
      </c>
      <c r="B509" s="107">
        <v>4.6100000000000003</v>
      </c>
      <c r="G509" s="111">
        <v>40683</v>
      </c>
      <c r="H509" s="112">
        <v>422.37</v>
      </c>
      <c r="I509" s="114">
        <f t="shared" si="7"/>
        <v>-1.1115315485762389E-3</v>
      </c>
      <c r="J509" s="98"/>
      <c r="K509" s="98"/>
    </row>
    <row r="510" spans="1:11" ht="16">
      <c r="A510" s="106">
        <v>40690</v>
      </c>
      <c r="B510" s="107">
        <v>4.62</v>
      </c>
      <c r="G510" s="111">
        <v>40684</v>
      </c>
      <c r="H510" s="112">
        <v>423.79</v>
      </c>
      <c r="I510" s="114">
        <f t="shared" si="7"/>
        <v>3.3619812013163664E-3</v>
      </c>
      <c r="J510" s="98"/>
      <c r="K510" s="98"/>
    </row>
    <row r="511" spans="1:11" ht="16">
      <c r="A511" s="106">
        <v>40691</v>
      </c>
      <c r="B511" s="107">
        <v>4.62</v>
      </c>
      <c r="G511" s="111">
        <v>40687</v>
      </c>
      <c r="H511" s="112">
        <v>422.85</v>
      </c>
      <c r="I511" s="114">
        <f t="shared" si="7"/>
        <v>-2.2180797092899995E-3</v>
      </c>
      <c r="J511" s="98"/>
      <c r="K511" s="98"/>
    </row>
    <row r="512" spans="1:11" ht="16">
      <c r="A512" s="106">
        <v>40693</v>
      </c>
      <c r="B512" s="107">
        <v>4.6500000000000004</v>
      </c>
      <c r="G512" s="111">
        <v>40688</v>
      </c>
      <c r="H512" s="112">
        <v>420.07</v>
      </c>
      <c r="I512" s="114">
        <f t="shared" si="7"/>
        <v>-6.5744353789760623E-3</v>
      </c>
      <c r="J512" s="98"/>
      <c r="K512" s="98"/>
    </row>
    <row r="513" spans="1:11" ht="16">
      <c r="A513" s="106">
        <v>40694</v>
      </c>
      <c r="B513" s="107">
        <v>4.74</v>
      </c>
      <c r="G513" s="111">
        <v>40689</v>
      </c>
      <c r="H513" s="112">
        <v>418.85</v>
      </c>
      <c r="I513" s="114">
        <f t="shared" si="7"/>
        <v>-2.9042778584520423E-3</v>
      </c>
      <c r="J513" s="98"/>
      <c r="K513" s="98"/>
    </row>
    <row r="514" spans="1:11" ht="16">
      <c r="A514" s="106">
        <v>40695</v>
      </c>
      <c r="B514" s="107">
        <v>4.7699999999999996</v>
      </c>
      <c r="G514" s="111">
        <v>40690</v>
      </c>
      <c r="H514" s="112">
        <v>414.41</v>
      </c>
      <c r="I514" s="114">
        <f t="shared" si="7"/>
        <v>-1.0600453623015427E-2</v>
      </c>
      <c r="J514" s="98"/>
      <c r="K514" s="98"/>
    </row>
    <row r="515" spans="1:11" ht="16">
      <c r="A515" s="106">
        <v>40696</v>
      </c>
      <c r="B515" s="107">
        <v>4.7300000000000004</v>
      </c>
      <c r="G515" s="111">
        <v>40691</v>
      </c>
      <c r="H515" s="112">
        <v>412.83</v>
      </c>
      <c r="I515" s="114">
        <f t="shared" si="7"/>
        <v>-3.8126493086557689E-3</v>
      </c>
      <c r="J515" s="98"/>
      <c r="K515" s="98"/>
    </row>
    <row r="516" spans="1:11" ht="16">
      <c r="A516" s="106">
        <v>40697</v>
      </c>
      <c r="B516" s="107">
        <v>4.76</v>
      </c>
      <c r="G516" s="111">
        <v>40694</v>
      </c>
      <c r="H516" s="112">
        <v>413.71</v>
      </c>
      <c r="I516" s="114">
        <f t="shared" si="7"/>
        <v>2.1316280309084945E-3</v>
      </c>
      <c r="J516" s="98"/>
      <c r="K516" s="98"/>
    </row>
    <row r="517" spans="1:11" ht="16">
      <c r="A517" s="106">
        <v>40698</v>
      </c>
      <c r="B517" s="107">
        <v>4.82</v>
      </c>
      <c r="G517" s="111">
        <v>40695</v>
      </c>
      <c r="H517" s="112">
        <v>413.05</v>
      </c>
      <c r="I517" s="114">
        <f t="shared" si="7"/>
        <v>-1.5953203935122895E-3</v>
      </c>
      <c r="J517" s="98"/>
      <c r="K517" s="98"/>
    </row>
    <row r="518" spans="1:11" ht="16">
      <c r="A518" s="106">
        <v>40701</v>
      </c>
      <c r="B518" s="107">
        <v>4.8499999999999996</v>
      </c>
      <c r="G518" s="111">
        <v>40696</v>
      </c>
      <c r="H518" s="112">
        <v>411.25</v>
      </c>
      <c r="I518" s="114">
        <f t="shared" si="7"/>
        <v>-4.3578259290643073E-3</v>
      </c>
      <c r="J518" s="98"/>
      <c r="K518" s="98"/>
    </row>
    <row r="519" spans="1:11" ht="16">
      <c r="A519" s="106">
        <v>40702</v>
      </c>
      <c r="B519" s="107">
        <v>4.8600000000000003</v>
      </c>
      <c r="G519" s="111">
        <v>40697</v>
      </c>
      <c r="H519" s="112">
        <v>408.14</v>
      </c>
      <c r="I519" s="114">
        <f t="shared" si="7"/>
        <v>-7.5623100303952029E-3</v>
      </c>
      <c r="J519" s="98"/>
      <c r="K519" s="98"/>
    </row>
    <row r="520" spans="1:11" ht="16">
      <c r="A520" s="106">
        <v>40703</v>
      </c>
      <c r="B520" s="107">
        <v>4.9000000000000004</v>
      </c>
      <c r="G520" s="111">
        <v>40698</v>
      </c>
      <c r="H520" s="112">
        <v>405.76</v>
      </c>
      <c r="I520" s="114">
        <f t="shared" si="7"/>
        <v>-5.8313323859460198E-3</v>
      </c>
      <c r="J520" s="98"/>
      <c r="K520" s="98"/>
    </row>
    <row r="521" spans="1:11" ht="16">
      <c r="A521" s="106">
        <v>40704</v>
      </c>
      <c r="B521" s="107">
        <v>4.88</v>
      </c>
      <c r="G521" s="111">
        <v>40701</v>
      </c>
      <c r="H521" s="112">
        <v>403.69</v>
      </c>
      <c r="I521" s="114">
        <f t="shared" si="7"/>
        <v>-5.1015378548895374E-3</v>
      </c>
      <c r="J521" s="98"/>
      <c r="K521" s="98"/>
    </row>
    <row r="522" spans="1:11" ht="16">
      <c r="A522" s="106">
        <v>40705</v>
      </c>
      <c r="B522" s="107">
        <v>4.87</v>
      </c>
      <c r="G522" s="111">
        <v>40702</v>
      </c>
      <c r="H522" s="112">
        <v>400.43</v>
      </c>
      <c r="I522" s="114">
        <f t="shared" si="7"/>
        <v>-8.0755034803933201E-3</v>
      </c>
      <c r="J522" s="98"/>
      <c r="K522" s="98"/>
    </row>
    <row r="523" spans="1:11" ht="16">
      <c r="A523" s="106">
        <v>40708</v>
      </c>
      <c r="B523" s="107">
        <v>4.87</v>
      </c>
      <c r="G523" s="111">
        <v>40703</v>
      </c>
      <c r="H523" s="112">
        <v>404.01</v>
      </c>
      <c r="I523" s="114">
        <f t="shared" si="7"/>
        <v>8.9403890817369991E-3</v>
      </c>
      <c r="J523" s="98"/>
      <c r="K523" s="98"/>
    </row>
    <row r="524" spans="1:11" ht="16">
      <c r="A524" s="106">
        <v>40709</v>
      </c>
      <c r="B524" s="107">
        <v>4.9000000000000004</v>
      </c>
      <c r="G524" s="111">
        <v>40704</v>
      </c>
      <c r="H524" s="112">
        <v>403.39</v>
      </c>
      <c r="I524" s="114">
        <f t="shared" si="7"/>
        <v>-1.5346154798148159E-3</v>
      </c>
      <c r="J524" s="98"/>
      <c r="K524" s="98"/>
    </row>
    <row r="525" spans="1:11" ht="16">
      <c r="A525" s="106">
        <v>40710</v>
      </c>
      <c r="B525" s="107">
        <v>4.88</v>
      </c>
      <c r="G525" s="111">
        <v>40705</v>
      </c>
      <c r="H525" s="112">
        <v>405.27</v>
      </c>
      <c r="I525" s="114">
        <f t="shared" si="7"/>
        <v>4.660502243486464E-3</v>
      </c>
      <c r="J525" s="98"/>
      <c r="K525" s="98"/>
    </row>
    <row r="526" spans="1:11" ht="16">
      <c r="A526" s="106">
        <v>40711</v>
      </c>
      <c r="B526" s="107">
        <v>4.8600000000000003</v>
      </c>
      <c r="G526" s="111">
        <v>40708</v>
      </c>
      <c r="H526" s="112">
        <v>401.71</v>
      </c>
      <c r="I526" s="114">
        <f t="shared" si="7"/>
        <v>-8.7842672786043741E-3</v>
      </c>
      <c r="J526" s="98"/>
      <c r="K526" s="98"/>
    </row>
    <row r="527" spans="1:11" ht="16">
      <c r="A527" s="106">
        <v>40712</v>
      </c>
      <c r="B527" s="107">
        <v>4.83</v>
      </c>
      <c r="G527" s="111">
        <v>40709</v>
      </c>
      <c r="H527" s="112">
        <v>399.99</v>
      </c>
      <c r="I527" s="114">
        <f t="shared" ref="I527:I590" si="8">H527/H526-1</f>
        <v>-4.2816957506658371E-3</v>
      </c>
      <c r="J527" s="98"/>
      <c r="K527" s="98"/>
    </row>
    <row r="528" spans="1:11" ht="16">
      <c r="A528" s="106">
        <v>40715</v>
      </c>
      <c r="B528" s="107">
        <v>4.83</v>
      </c>
      <c r="G528" s="111">
        <v>40710</v>
      </c>
      <c r="H528" s="112">
        <v>401.76</v>
      </c>
      <c r="I528" s="114">
        <f t="shared" si="8"/>
        <v>4.4251106277657382E-3</v>
      </c>
      <c r="J528" s="98"/>
      <c r="K528" s="98"/>
    </row>
    <row r="529" spans="1:11" ht="16">
      <c r="A529" s="106">
        <v>40716</v>
      </c>
      <c r="B529" s="107">
        <v>4.83</v>
      </c>
      <c r="G529" s="111">
        <v>40711</v>
      </c>
      <c r="H529" s="112">
        <v>405.2</v>
      </c>
      <c r="I529" s="114">
        <f t="shared" si="8"/>
        <v>8.5623257666267438E-3</v>
      </c>
      <c r="J529" s="98"/>
      <c r="K529" s="98"/>
    </row>
    <row r="530" spans="1:11" ht="16">
      <c r="A530" s="106">
        <v>40717</v>
      </c>
      <c r="B530" s="107">
        <v>4.8099999999999996</v>
      </c>
      <c r="G530" s="111">
        <v>40712</v>
      </c>
      <c r="H530" s="112">
        <v>403.65</v>
      </c>
      <c r="I530" s="114">
        <f t="shared" si="8"/>
        <v>-3.8252714708786328E-3</v>
      </c>
      <c r="J530" s="98"/>
      <c r="K530" s="98"/>
    </row>
    <row r="531" spans="1:11" ht="16">
      <c r="A531" s="106">
        <v>40718</v>
      </c>
      <c r="B531" s="107">
        <v>4.82</v>
      </c>
      <c r="G531" s="111">
        <v>40715</v>
      </c>
      <c r="H531" s="112">
        <v>408.31</v>
      </c>
      <c r="I531" s="114">
        <f t="shared" si="8"/>
        <v>1.1544655022915906E-2</v>
      </c>
      <c r="J531" s="98"/>
      <c r="K531" s="98"/>
    </row>
    <row r="532" spans="1:11" ht="16">
      <c r="A532" s="106">
        <v>40719</v>
      </c>
      <c r="B532" s="107">
        <v>4.8600000000000003</v>
      </c>
      <c r="G532" s="111">
        <v>40716</v>
      </c>
      <c r="H532" s="112">
        <v>409.63</v>
      </c>
      <c r="I532" s="114">
        <f t="shared" si="8"/>
        <v>3.2328377948127596E-3</v>
      </c>
      <c r="J532" s="98"/>
      <c r="K532" s="98"/>
    </row>
    <row r="533" spans="1:11" ht="16">
      <c r="A533" s="106">
        <v>40722</v>
      </c>
      <c r="B533" s="107">
        <v>4.88</v>
      </c>
      <c r="G533" s="111">
        <v>40717</v>
      </c>
      <c r="H533" s="112">
        <v>410.52</v>
      </c>
      <c r="I533" s="114">
        <f t="shared" si="8"/>
        <v>2.1726924297535977E-3</v>
      </c>
      <c r="J533" s="98"/>
      <c r="K533" s="98"/>
    </row>
    <row r="534" spans="1:11" ht="16">
      <c r="A534" s="106">
        <v>40723</v>
      </c>
      <c r="B534" s="107">
        <v>4.8899999999999997</v>
      </c>
      <c r="G534" s="111">
        <v>40718</v>
      </c>
      <c r="H534" s="112">
        <v>409.04</v>
      </c>
      <c r="I534" s="114">
        <f t="shared" si="8"/>
        <v>-3.6051836694922512E-3</v>
      </c>
      <c r="J534" s="98"/>
      <c r="K534" s="98"/>
    </row>
    <row r="535" spans="1:11" ht="16">
      <c r="A535" s="106">
        <v>40724</v>
      </c>
      <c r="B535" s="107">
        <v>4.8899999999999997</v>
      </c>
      <c r="G535" s="111">
        <v>40719</v>
      </c>
      <c r="H535" s="112">
        <v>405.56</v>
      </c>
      <c r="I535" s="114">
        <f t="shared" si="8"/>
        <v>-8.5077254058283369E-3</v>
      </c>
      <c r="J535" s="98"/>
      <c r="K535" s="98"/>
    </row>
    <row r="536" spans="1:11" ht="16">
      <c r="A536" s="106">
        <v>40725</v>
      </c>
      <c r="B536" s="107">
        <v>4.87</v>
      </c>
      <c r="G536" s="111">
        <v>40722</v>
      </c>
      <c r="H536" s="112">
        <v>397.32</v>
      </c>
      <c r="I536" s="114">
        <f t="shared" si="8"/>
        <v>-2.0317585560706175E-2</v>
      </c>
      <c r="J536" s="98"/>
      <c r="K536" s="98"/>
    </row>
    <row r="537" spans="1:11" ht="16">
      <c r="A537" s="106">
        <v>40726</v>
      </c>
      <c r="B537" s="107">
        <v>4.87</v>
      </c>
      <c r="G537" s="111">
        <v>40723</v>
      </c>
      <c r="H537" s="112">
        <v>402.73</v>
      </c>
      <c r="I537" s="114">
        <f t="shared" si="8"/>
        <v>1.3616228732507896E-2</v>
      </c>
    </row>
    <row r="538" spans="1:11" ht="16">
      <c r="A538" s="106">
        <v>40729</v>
      </c>
      <c r="B538" s="107">
        <v>4.84</v>
      </c>
      <c r="G538" s="111">
        <v>40724</v>
      </c>
      <c r="H538" s="112">
        <v>402.3</v>
      </c>
      <c r="I538" s="114">
        <f t="shared" si="8"/>
        <v>-1.0677128597323948E-3</v>
      </c>
    </row>
    <row r="539" spans="1:11" ht="16">
      <c r="A539" s="106">
        <v>40730</v>
      </c>
      <c r="B539" s="107">
        <v>4.87</v>
      </c>
      <c r="G539" s="111">
        <v>40725</v>
      </c>
      <c r="H539" s="112">
        <v>402.15</v>
      </c>
      <c r="I539" s="114">
        <f t="shared" si="8"/>
        <v>-3.7285607755410677E-4</v>
      </c>
    </row>
    <row r="540" spans="1:11" ht="16">
      <c r="A540" s="106">
        <v>40731</v>
      </c>
      <c r="B540" s="107">
        <v>4.88</v>
      </c>
      <c r="G540" s="111">
        <v>40726</v>
      </c>
      <c r="H540" s="112">
        <v>399.02</v>
      </c>
      <c r="I540" s="114">
        <f t="shared" si="8"/>
        <v>-7.7831654855153865E-3</v>
      </c>
    </row>
    <row r="541" spans="1:11" ht="16">
      <c r="A541" s="106">
        <v>40732</v>
      </c>
      <c r="B541" s="107">
        <v>4.91</v>
      </c>
      <c r="G541" s="111">
        <v>40729</v>
      </c>
      <c r="H541" s="112">
        <v>390.65</v>
      </c>
      <c r="I541" s="114">
        <f t="shared" si="8"/>
        <v>-2.0976392160793944E-2</v>
      </c>
    </row>
    <row r="542" spans="1:11" ht="16">
      <c r="A542" s="106">
        <v>40733</v>
      </c>
      <c r="B542" s="107">
        <v>4.92</v>
      </c>
      <c r="G542" s="111">
        <v>40730</v>
      </c>
      <c r="H542" s="112">
        <v>384.54</v>
      </c>
      <c r="I542" s="114">
        <f t="shared" si="8"/>
        <v>-1.5640599001663813E-2</v>
      </c>
    </row>
    <row r="543" spans="1:11" ht="16">
      <c r="A543" s="106">
        <v>40736</v>
      </c>
      <c r="B543" s="107">
        <v>4.92</v>
      </c>
      <c r="G543" s="111">
        <v>40731</v>
      </c>
      <c r="H543" s="112">
        <v>373.61</v>
      </c>
      <c r="I543" s="114">
        <f t="shared" si="8"/>
        <v>-2.842357101991988E-2</v>
      </c>
    </row>
    <row r="544" spans="1:11" ht="16">
      <c r="A544" s="106">
        <v>40737</v>
      </c>
      <c r="B544" s="107">
        <v>4.91</v>
      </c>
      <c r="G544" s="111">
        <v>40732</v>
      </c>
      <c r="H544" s="112">
        <v>381.2</v>
      </c>
      <c r="I544" s="114">
        <f t="shared" si="8"/>
        <v>2.0315302052942741E-2</v>
      </c>
    </row>
    <row r="545" spans="1:9" ht="16">
      <c r="A545" s="106">
        <v>40738</v>
      </c>
      <c r="B545" s="107">
        <v>4.8899999999999997</v>
      </c>
      <c r="G545" s="111">
        <v>40733</v>
      </c>
      <c r="H545" s="112">
        <v>387.03</v>
      </c>
      <c r="I545" s="114">
        <f t="shared" si="8"/>
        <v>1.5293809024134353E-2</v>
      </c>
    </row>
    <row r="546" spans="1:9" ht="16">
      <c r="A546" s="106">
        <v>40739</v>
      </c>
      <c r="B546" s="107">
        <v>4.87</v>
      </c>
      <c r="G546" s="111">
        <v>40736</v>
      </c>
      <c r="H546" s="112">
        <v>391.58</v>
      </c>
      <c r="I546" s="114">
        <f t="shared" si="8"/>
        <v>1.1756194610236914E-2</v>
      </c>
    </row>
    <row r="547" spans="1:9" ht="16">
      <c r="A547" s="106">
        <v>40740</v>
      </c>
      <c r="B547" s="107">
        <v>4.8600000000000003</v>
      </c>
      <c r="G547" s="111">
        <v>40737</v>
      </c>
      <c r="H547" s="112">
        <v>391.86</v>
      </c>
      <c r="I547" s="114">
        <f t="shared" si="8"/>
        <v>7.1505184125864041E-4</v>
      </c>
    </row>
    <row r="548" spans="1:9" ht="16">
      <c r="A548" s="106">
        <v>40743</v>
      </c>
      <c r="B548" s="107">
        <v>4.87</v>
      </c>
      <c r="G548" s="111">
        <v>40738</v>
      </c>
      <c r="H548" s="112">
        <v>390.1</v>
      </c>
      <c r="I548" s="114">
        <f t="shared" si="8"/>
        <v>-4.4913999897921997E-3</v>
      </c>
    </row>
    <row r="549" spans="1:9" ht="16">
      <c r="A549" s="106">
        <v>40744</v>
      </c>
      <c r="B549" s="107">
        <v>4.87</v>
      </c>
      <c r="G549" s="111">
        <v>40739</v>
      </c>
      <c r="H549" s="112">
        <v>392.19</v>
      </c>
      <c r="I549" s="114">
        <f t="shared" si="8"/>
        <v>5.3576006152267208E-3</v>
      </c>
    </row>
    <row r="550" spans="1:9" ht="16">
      <c r="A550" s="106">
        <v>40745</v>
      </c>
      <c r="B550" s="107">
        <v>4.87</v>
      </c>
      <c r="G550" s="111">
        <v>40740</v>
      </c>
      <c r="H550" s="112">
        <v>392.76</v>
      </c>
      <c r="I550" s="114">
        <f t="shared" si="8"/>
        <v>1.4533771896274583E-3</v>
      </c>
    </row>
    <row r="551" spans="1:9" ht="16">
      <c r="A551" s="106">
        <v>40746</v>
      </c>
      <c r="B551" s="107">
        <v>4.88</v>
      </c>
      <c r="G551" s="111">
        <v>40743</v>
      </c>
      <c r="H551" s="112">
        <v>390.64</v>
      </c>
      <c r="I551" s="114">
        <f t="shared" si="8"/>
        <v>-5.397698339953183E-3</v>
      </c>
    </row>
    <row r="552" spans="1:9" ht="16">
      <c r="A552" s="106">
        <v>40747</v>
      </c>
      <c r="B552" s="107">
        <v>4.92</v>
      </c>
      <c r="G552" s="111">
        <v>40744</v>
      </c>
      <c r="H552" s="112">
        <v>391.94</v>
      </c>
      <c r="I552" s="114">
        <f t="shared" si="8"/>
        <v>3.3278722097072055E-3</v>
      </c>
    </row>
    <row r="553" spans="1:9" ht="16">
      <c r="A553" s="106">
        <v>40750</v>
      </c>
      <c r="B553" s="107">
        <v>4.96</v>
      </c>
      <c r="G553" s="111">
        <v>40745</v>
      </c>
      <c r="H553" s="112">
        <v>387.84</v>
      </c>
      <c r="I553" s="114">
        <f t="shared" si="8"/>
        <v>-1.0460784814002255E-2</v>
      </c>
    </row>
    <row r="554" spans="1:9" ht="16">
      <c r="A554" s="106">
        <v>40751</v>
      </c>
      <c r="B554" s="107">
        <v>4.97</v>
      </c>
      <c r="G554" s="111">
        <v>40746</v>
      </c>
      <c r="H554" s="112">
        <v>385.45</v>
      </c>
      <c r="I554" s="114">
        <f t="shared" si="8"/>
        <v>-6.1623349834982744E-3</v>
      </c>
    </row>
    <row r="555" spans="1:9" ht="16">
      <c r="A555" s="106">
        <v>40752</v>
      </c>
      <c r="B555" s="107">
        <v>4.95</v>
      </c>
      <c r="G555" s="111">
        <v>40747</v>
      </c>
      <c r="H555" s="112">
        <v>380.06</v>
      </c>
      <c r="I555" s="114">
        <f t="shared" si="8"/>
        <v>-1.3983655467635248E-2</v>
      </c>
    </row>
    <row r="556" spans="1:9" ht="16">
      <c r="A556" s="106">
        <v>40753</v>
      </c>
      <c r="B556" s="107">
        <v>4.93</v>
      </c>
      <c r="G556" s="111">
        <v>40750</v>
      </c>
      <c r="H556" s="112">
        <v>370.72</v>
      </c>
      <c r="I556" s="114">
        <f t="shared" si="8"/>
        <v>-2.4575067094669167E-2</v>
      </c>
    </row>
    <row r="557" spans="1:9" ht="16">
      <c r="A557" s="106">
        <v>40754</v>
      </c>
      <c r="B557" s="107">
        <v>4.88</v>
      </c>
      <c r="G557" s="111">
        <v>40751</v>
      </c>
      <c r="H557" s="112">
        <v>369.56</v>
      </c>
      <c r="I557" s="114">
        <f t="shared" si="8"/>
        <v>-3.1290461804057701E-3</v>
      </c>
    </row>
    <row r="558" spans="1:9" ht="16">
      <c r="A558" s="106">
        <v>40757</v>
      </c>
      <c r="B558" s="107">
        <v>4.88</v>
      </c>
      <c r="G558" s="111">
        <v>40752</v>
      </c>
      <c r="H558" s="112">
        <v>373.24</v>
      </c>
      <c r="I558" s="114">
        <f t="shared" si="8"/>
        <v>9.9577876393548426E-3</v>
      </c>
    </row>
    <row r="559" spans="1:9" ht="16">
      <c r="A559" s="106">
        <v>40758</v>
      </c>
      <c r="B559" s="107">
        <v>4.9000000000000004</v>
      </c>
      <c r="G559" s="111">
        <v>40753</v>
      </c>
      <c r="H559" s="112">
        <v>371.72</v>
      </c>
      <c r="I559" s="114">
        <f t="shared" si="8"/>
        <v>-4.0724466830992512E-3</v>
      </c>
    </row>
    <row r="560" spans="1:9" ht="16">
      <c r="A560" s="106">
        <v>40759</v>
      </c>
      <c r="B560" s="107">
        <v>4.93</v>
      </c>
      <c r="G560" s="111">
        <v>40754</v>
      </c>
      <c r="H560" s="112">
        <v>374.56</v>
      </c>
      <c r="I560" s="114">
        <f t="shared" si="8"/>
        <v>7.640159259657775E-3</v>
      </c>
    </row>
    <row r="561" spans="1:9" ht="16">
      <c r="A561" s="106">
        <v>40760</v>
      </c>
      <c r="B561" s="107">
        <v>4.9800000000000004</v>
      </c>
      <c r="G561" s="111">
        <v>40757</v>
      </c>
      <c r="H561" s="112">
        <v>370.27</v>
      </c>
      <c r="I561" s="114">
        <f t="shared" si="8"/>
        <v>-1.1453438701409691E-2</v>
      </c>
    </row>
    <row r="562" spans="1:9" ht="16">
      <c r="A562" s="106">
        <v>40761</v>
      </c>
      <c r="B562" s="107">
        <v>4.9800000000000004</v>
      </c>
      <c r="G562" s="111">
        <v>40758</v>
      </c>
      <c r="H562" s="112">
        <v>371.03</v>
      </c>
      <c r="I562" s="114">
        <f t="shared" si="8"/>
        <v>2.0525562427418098E-3</v>
      </c>
    </row>
    <row r="563" spans="1:9" ht="16">
      <c r="A563" s="106">
        <v>40764</v>
      </c>
      <c r="B563" s="107">
        <v>5</v>
      </c>
      <c r="G563" s="111">
        <v>40759</v>
      </c>
      <c r="H563" s="112">
        <v>371.61</v>
      </c>
      <c r="I563" s="114">
        <f t="shared" si="8"/>
        <v>1.5632159124601142E-3</v>
      </c>
    </row>
    <row r="564" spans="1:9" ht="16">
      <c r="A564" s="106">
        <v>40765</v>
      </c>
      <c r="B564" s="107">
        <v>4.97</v>
      </c>
      <c r="G564" s="111">
        <v>40760</v>
      </c>
      <c r="H564" s="112">
        <v>369.22</v>
      </c>
      <c r="I564" s="114">
        <f t="shared" si="8"/>
        <v>-6.4314738570006025E-3</v>
      </c>
    </row>
    <row r="565" spans="1:9" ht="16">
      <c r="A565" s="106">
        <v>40766</v>
      </c>
      <c r="B565" s="107">
        <v>4.97</v>
      </c>
      <c r="G565" s="111">
        <v>40761</v>
      </c>
      <c r="H565" s="112">
        <v>369.6</v>
      </c>
      <c r="I565" s="114">
        <f t="shared" si="8"/>
        <v>1.0291966849031997E-3</v>
      </c>
    </row>
    <row r="566" spans="1:9" ht="16">
      <c r="A566" s="106">
        <v>40767</v>
      </c>
      <c r="B566" s="107">
        <v>5</v>
      </c>
      <c r="G566" s="111">
        <v>40764</v>
      </c>
      <c r="H566" s="112">
        <v>371.29</v>
      </c>
      <c r="I566" s="114">
        <f t="shared" si="8"/>
        <v>4.5725108225107558E-3</v>
      </c>
    </row>
    <row r="567" spans="1:9" ht="16">
      <c r="A567" s="106">
        <v>40768</v>
      </c>
      <c r="B567" s="107">
        <v>5.01</v>
      </c>
      <c r="G567" s="111">
        <v>40765</v>
      </c>
      <c r="H567" s="112">
        <v>367.05</v>
      </c>
      <c r="I567" s="114">
        <f t="shared" si="8"/>
        <v>-1.1419645021411906E-2</v>
      </c>
    </row>
    <row r="568" spans="1:9" ht="16">
      <c r="A568" s="106">
        <v>40771</v>
      </c>
      <c r="B568" s="107">
        <v>5</v>
      </c>
      <c r="G568" s="111">
        <v>40766</v>
      </c>
      <c r="H568" s="112">
        <v>359.6</v>
      </c>
      <c r="I568" s="114">
        <f t="shared" si="8"/>
        <v>-2.0296962266721175E-2</v>
      </c>
    </row>
    <row r="569" spans="1:9" ht="16">
      <c r="A569" s="106">
        <v>40772</v>
      </c>
      <c r="B569" s="107">
        <v>5.03</v>
      </c>
      <c r="G569" s="111">
        <v>40767</v>
      </c>
      <c r="H569" s="112">
        <v>360.46</v>
      </c>
      <c r="I569" s="114">
        <f t="shared" si="8"/>
        <v>2.391546162402447E-3</v>
      </c>
    </row>
    <row r="570" spans="1:9" ht="16">
      <c r="A570" s="106">
        <v>40773</v>
      </c>
      <c r="B570" s="107">
        <v>5.05</v>
      </c>
      <c r="G570" s="111">
        <v>40768</v>
      </c>
      <c r="H570" s="112">
        <v>360.7</v>
      </c>
      <c r="I570" s="114">
        <f t="shared" si="8"/>
        <v>6.6581590190306628E-4</v>
      </c>
    </row>
    <row r="571" spans="1:9" ht="16">
      <c r="A571" s="106">
        <v>40774</v>
      </c>
      <c r="B571" s="107">
        <v>5.0999999999999996</v>
      </c>
      <c r="G571" s="111">
        <v>40771</v>
      </c>
      <c r="H571" s="112">
        <v>357.59</v>
      </c>
      <c r="I571" s="114">
        <f t="shared" si="8"/>
        <v>-8.6221236484613772E-3</v>
      </c>
    </row>
    <row r="572" spans="1:9" ht="16">
      <c r="A572" s="106">
        <v>40775</v>
      </c>
      <c r="B572" s="107">
        <v>5.13</v>
      </c>
      <c r="G572" s="111">
        <v>40772</v>
      </c>
      <c r="H572" s="112">
        <v>354.12</v>
      </c>
      <c r="I572" s="114">
        <f t="shared" si="8"/>
        <v>-9.7038507788248518E-3</v>
      </c>
    </row>
    <row r="573" spans="1:9" ht="16">
      <c r="A573" s="106">
        <v>40778</v>
      </c>
      <c r="B573" s="107">
        <v>5.25</v>
      </c>
      <c r="G573" s="111">
        <v>40773</v>
      </c>
      <c r="H573" s="112">
        <v>350.64</v>
      </c>
      <c r="I573" s="114">
        <f t="shared" si="8"/>
        <v>-9.8271772280583702E-3</v>
      </c>
    </row>
    <row r="574" spans="1:9" ht="16">
      <c r="A574" s="106">
        <v>40779</v>
      </c>
      <c r="B574" s="107">
        <v>5.26</v>
      </c>
      <c r="G574" s="111">
        <v>40774</v>
      </c>
      <c r="H574" s="112">
        <v>345.92</v>
      </c>
      <c r="I574" s="114">
        <f t="shared" si="8"/>
        <v>-1.3461099703399371E-2</v>
      </c>
    </row>
    <row r="575" spans="1:9" ht="16">
      <c r="A575" s="106">
        <v>40780</v>
      </c>
      <c r="B575" s="107">
        <v>5.29</v>
      </c>
      <c r="G575" s="111">
        <v>40775</v>
      </c>
      <c r="H575" s="112">
        <v>338.5</v>
      </c>
      <c r="I575" s="114">
        <f t="shared" si="8"/>
        <v>-2.1450046253469024E-2</v>
      </c>
    </row>
    <row r="576" spans="1:9" ht="16">
      <c r="A576" s="106">
        <v>40781</v>
      </c>
      <c r="B576" s="107">
        <v>5.2</v>
      </c>
      <c r="G576" s="111">
        <v>40778</v>
      </c>
      <c r="H576" s="112">
        <v>319.74</v>
      </c>
      <c r="I576" s="114">
        <f t="shared" si="8"/>
        <v>-5.5420974889217156E-2</v>
      </c>
    </row>
    <row r="577" spans="1:9" ht="16">
      <c r="A577" s="106">
        <v>40782</v>
      </c>
      <c r="B577" s="107">
        <v>5.17</v>
      </c>
      <c r="G577" s="111">
        <v>40779</v>
      </c>
      <c r="H577" s="112">
        <v>326.58999999999997</v>
      </c>
      <c r="I577" s="114">
        <f t="shared" si="8"/>
        <v>2.1423656721085704E-2</v>
      </c>
    </row>
    <row r="578" spans="1:9" ht="16">
      <c r="A578" s="106">
        <v>40785</v>
      </c>
      <c r="B578" s="107">
        <v>5.2</v>
      </c>
      <c r="G578" s="111">
        <v>40780</v>
      </c>
      <c r="H578" s="112">
        <v>325.26</v>
      </c>
      <c r="I578" s="114">
        <f t="shared" si="8"/>
        <v>-4.0723843350990441E-3</v>
      </c>
    </row>
    <row r="579" spans="1:9" ht="16">
      <c r="A579" s="106">
        <v>40786</v>
      </c>
      <c r="B579" s="107">
        <v>5.21</v>
      </c>
      <c r="G579" s="111">
        <v>40781</v>
      </c>
      <c r="H579" s="112">
        <v>337.22</v>
      </c>
      <c r="I579" s="114">
        <f t="shared" si="8"/>
        <v>3.6770583533173529E-2</v>
      </c>
    </row>
    <row r="580" spans="1:9" ht="16">
      <c r="A580" s="106">
        <v>40787</v>
      </c>
      <c r="B580" s="107">
        <v>5.24</v>
      </c>
      <c r="G580" s="111">
        <v>40782</v>
      </c>
      <c r="H580" s="112">
        <v>339.09</v>
      </c>
      <c r="I580" s="114">
        <f t="shared" si="8"/>
        <v>5.5453413202062318E-3</v>
      </c>
    </row>
    <row r="581" spans="1:9" ht="16">
      <c r="A581" s="106">
        <v>40788</v>
      </c>
      <c r="B581" s="107">
        <v>5.22</v>
      </c>
      <c r="G581" s="111">
        <v>40785</v>
      </c>
      <c r="H581" s="112">
        <v>338.46</v>
      </c>
      <c r="I581" s="114">
        <f t="shared" si="8"/>
        <v>-1.8579138281872298E-3</v>
      </c>
    </row>
    <row r="582" spans="1:9" ht="16">
      <c r="A582" s="106">
        <v>40789</v>
      </c>
      <c r="B582" s="107">
        <v>5.2</v>
      </c>
      <c r="G582" s="111">
        <v>40786</v>
      </c>
      <c r="H582" s="112">
        <v>330.98</v>
      </c>
      <c r="I582" s="114">
        <f t="shared" si="8"/>
        <v>-2.2100100455001992E-2</v>
      </c>
    </row>
    <row r="583" spans="1:9" ht="16">
      <c r="A583" s="106">
        <v>40792</v>
      </c>
      <c r="B583" s="107">
        <v>5.2</v>
      </c>
      <c r="G583" s="111">
        <v>40787</v>
      </c>
      <c r="H583" s="112">
        <v>329.44</v>
      </c>
      <c r="I583" s="114">
        <f t="shared" si="8"/>
        <v>-4.6528491147501683E-3</v>
      </c>
    </row>
    <row r="584" spans="1:9" ht="16">
      <c r="A584" s="106">
        <v>40793</v>
      </c>
      <c r="B584" s="107">
        <v>5.24</v>
      </c>
      <c r="G584" s="111">
        <v>40788</v>
      </c>
      <c r="H584" s="112">
        <v>332.38</v>
      </c>
      <c r="I584" s="114">
        <f t="shared" si="8"/>
        <v>8.9242350655658331E-3</v>
      </c>
    </row>
    <row r="585" spans="1:9" ht="16">
      <c r="A585" s="106">
        <v>40794</v>
      </c>
      <c r="B585" s="107">
        <v>5.23</v>
      </c>
      <c r="G585" s="111">
        <v>40789</v>
      </c>
      <c r="H585" s="112">
        <v>326.85000000000002</v>
      </c>
      <c r="I585" s="114">
        <f t="shared" si="8"/>
        <v>-1.6637583488777863E-2</v>
      </c>
    </row>
    <row r="586" spans="1:9" ht="16">
      <c r="A586" s="106">
        <v>40795</v>
      </c>
      <c r="B586" s="107">
        <v>5.26</v>
      </c>
      <c r="G586" s="111">
        <v>40792</v>
      </c>
      <c r="H586" s="112">
        <v>323.27999999999997</v>
      </c>
      <c r="I586" s="114">
        <f t="shared" si="8"/>
        <v>-1.0922441486920786E-2</v>
      </c>
    </row>
    <row r="587" spans="1:9" ht="16">
      <c r="A587" s="106">
        <v>40796</v>
      </c>
      <c r="B587" s="107">
        <v>5.28</v>
      </c>
      <c r="G587" s="111">
        <v>40793</v>
      </c>
      <c r="H587" s="112">
        <v>328.75</v>
      </c>
      <c r="I587" s="114">
        <f t="shared" si="8"/>
        <v>1.6920316753278986E-2</v>
      </c>
    </row>
    <row r="588" spans="1:9" ht="16">
      <c r="A588" s="106">
        <v>40799</v>
      </c>
      <c r="B588" s="107">
        <v>5.3</v>
      </c>
      <c r="G588" s="111">
        <v>40794</v>
      </c>
      <c r="H588" s="112">
        <v>335.55</v>
      </c>
      <c r="I588" s="114">
        <f t="shared" si="8"/>
        <v>2.068441064638793E-2</v>
      </c>
    </row>
    <row r="589" spans="1:9" ht="16">
      <c r="A589" s="106">
        <v>40800</v>
      </c>
      <c r="B589" s="107">
        <v>5.31</v>
      </c>
      <c r="G589" s="111">
        <v>40795</v>
      </c>
      <c r="H589" s="112">
        <v>333.12</v>
      </c>
      <c r="I589" s="114">
        <f t="shared" si="8"/>
        <v>-7.2418417523468781E-3</v>
      </c>
    </row>
    <row r="590" spans="1:9" ht="16">
      <c r="A590" s="106">
        <v>40801</v>
      </c>
      <c r="B590" s="107">
        <v>5.31</v>
      </c>
      <c r="G590" s="111">
        <v>40796</v>
      </c>
      <c r="H590" s="112">
        <v>332.93</v>
      </c>
      <c r="I590" s="114">
        <f t="shared" si="8"/>
        <v>-5.7036503362151159E-4</v>
      </c>
    </row>
    <row r="591" spans="1:9" ht="16">
      <c r="A591" s="106">
        <v>40802</v>
      </c>
      <c r="B591" s="107">
        <v>5.29</v>
      </c>
      <c r="G591" s="111">
        <v>40799</v>
      </c>
      <c r="H591" s="112">
        <v>334.93</v>
      </c>
      <c r="I591" s="114">
        <f t="shared" ref="I591:I654" si="9">H591/H590-1</f>
        <v>6.00726879524216E-3</v>
      </c>
    </row>
    <row r="592" spans="1:9" ht="16">
      <c r="A592" s="106">
        <v>40803</v>
      </c>
      <c r="B592" s="107">
        <v>5.23</v>
      </c>
      <c r="G592" s="111">
        <v>40800</v>
      </c>
      <c r="H592" s="112">
        <v>334.69</v>
      </c>
      <c r="I592" s="114">
        <f t="shared" si="9"/>
        <v>-7.1656764099958803E-4</v>
      </c>
    </row>
    <row r="593" spans="1:9" ht="16">
      <c r="A593" s="106">
        <v>40806</v>
      </c>
      <c r="B593" s="107">
        <v>5.28</v>
      </c>
      <c r="G593" s="111">
        <v>40801</v>
      </c>
      <c r="H593" s="112">
        <v>340.67</v>
      </c>
      <c r="I593" s="114">
        <f t="shared" si="9"/>
        <v>1.7867280169709288E-2</v>
      </c>
    </row>
    <row r="594" spans="1:9" ht="16">
      <c r="A594" s="106">
        <v>40807</v>
      </c>
      <c r="B594" s="107">
        <v>5.37</v>
      </c>
      <c r="G594" s="111">
        <v>40802</v>
      </c>
      <c r="H594" s="112">
        <v>341.91</v>
      </c>
      <c r="I594" s="114">
        <f t="shared" si="9"/>
        <v>3.6398861067896693E-3</v>
      </c>
    </row>
    <row r="595" spans="1:9" ht="16">
      <c r="A595" s="106">
        <v>40808</v>
      </c>
      <c r="B595" s="107">
        <v>5.4</v>
      </c>
      <c r="G595" s="111">
        <v>40803</v>
      </c>
      <c r="H595" s="112">
        <v>342.12</v>
      </c>
      <c r="I595" s="114">
        <f t="shared" si="9"/>
        <v>6.1419671843454537E-4</v>
      </c>
    </row>
    <row r="596" spans="1:9" ht="16">
      <c r="A596" s="106">
        <v>40809</v>
      </c>
      <c r="B596" s="107">
        <v>5.5</v>
      </c>
      <c r="G596" s="111">
        <v>40806</v>
      </c>
      <c r="H596" s="112">
        <v>337.75</v>
      </c>
      <c r="I596" s="114">
        <f t="shared" si="9"/>
        <v>-1.2773295919560446E-2</v>
      </c>
    </row>
    <row r="597" spans="1:9" ht="16">
      <c r="A597" s="106">
        <v>40810</v>
      </c>
      <c r="B597" s="107">
        <v>5.51</v>
      </c>
      <c r="G597" s="111">
        <v>40807</v>
      </c>
      <c r="H597" s="112">
        <v>333.75</v>
      </c>
      <c r="I597" s="114">
        <f t="shared" si="9"/>
        <v>-1.1843079200592133E-2</v>
      </c>
    </row>
    <row r="598" spans="1:9" ht="16">
      <c r="A598" s="106">
        <v>40813</v>
      </c>
      <c r="B598" s="107">
        <v>5.57</v>
      </c>
      <c r="G598" s="111">
        <v>40808</v>
      </c>
      <c r="H598" s="112">
        <v>327.95</v>
      </c>
      <c r="I598" s="114">
        <f t="shared" si="9"/>
        <v>-1.7378277153558108E-2</v>
      </c>
    </row>
    <row r="599" spans="1:9" ht="16">
      <c r="A599" s="106">
        <v>40814</v>
      </c>
      <c r="B599" s="107">
        <v>5.63</v>
      </c>
      <c r="G599" s="111">
        <v>40809</v>
      </c>
      <c r="H599" s="112">
        <v>325.44</v>
      </c>
      <c r="I599" s="114">
        <f t="shared" si="9"/>
        <v>-7.6536057325811147E-3</v>
      </c>
    </row>
    <row r="600" spans="1:9" ht="16">
      <c r="A600" s="106">
        <v>40815</v>
      </c>
      <c r="B600" s="107">
        <v>5.58</v>
      </c>
      <c r="G600" s="111">
        <v>40810</v>
      </c>
      <c r="H600" s="112">
        <v>327.27</v>
      </c>
      <c r="I600" s="114">
        <f t="shared" si="9"/>
        <v>5.6231563421829112E-3</v>
      </c>
    </row>
    <row r="601" spans="1:9" ht="16">
      <c r="A601" s="106">
        <v>40816</v>
      </c>
      <c r="B601" s="107">
        <v>5.51</v>
      </c>
      <c r="G601" s="111">
        <v>40813</v>
      </c>
      <c r="H601" s="112">
        <v>323.63</v>
      </c>
      <c r="I601" s="114">
        <f t="shared" si="9"/>
        <v>-1.112231490817972E-2</v>
      </c>
    </row>
    <row r="602" spans="1:9" ht="16">
      <c r="A602" s="106">
        <v>40817</v>
      </c>
      <c r="B602" s="107">
        <v>5.48</v>
      </c>
      <c r="G602" s="111">
        <v>40814</v>
      </c>
      <c r="H602" s="112">
        <v>321.64</v>
      </c>
      <c r="I602" s="114">
        <f t="shared" si="9"/>
        <v>-6.1489973117448971E-3</v>
      </c>
    </row>
    <row r="603" spans="1:9" ht="16">
      <c r="A603" s="106">
        <v>40820</v>
      </c>
      <c r="B603" s="107">
        <v>5.39</v>
      </c>
      <c r="G603" s="111">
        <v>40815</v>
      </c>
      <c r="H603" s="112">
        <v>327.47000000000003</v>
      </c>
      <c r="I603" s="114">
        <f t="shared" si="9"/>
        <v>1.8125854993160218E-2</v>
      </c>
    </row>
    <row r="604" spans="1:9" ht="16">
      <c r="A604" s="106">
        <v>40821</v>
      </c>
      <c r="B604" s="107">
        <v>5.32</v>
      </c>
      <c r="G604" s="111">
        <v>40816</v>
      </c>
      <c r="H604" s="112">
        <v>328.96</v>
      </c>
      <c r="I604" s="114">
        <f t="shared" si="9"/>
        <v>4.5500351177205633E-3</v>
      </c>
    </row>
    <row r="605" spans="1:9" ht="16">
      <c r="A605" s="106">
        <v>40822</v>
      </c>
      <c r="B605" s="107">
        <v>5.28</v>
      </c>
      <c r="G605" s="111">
        <v>40817</v>
      </c>
      <c r="H605" s="112">
        <v>333.53</v>
      </c>
      <c r="I605" s="114">
        <f t="shared" si="9"/>
        <v>1.3892266536964959E-2</v>
      </c>
    </row>
    <row r="606" spans="1:9" ht="16">
      <c r="A606" s="106">
        <v>40823</v>
      </c>
      <c r="B606" s="107">
        <v>5.3</v>
      </c>
      <c r="G606" s="111">
        <v>40820</v>
      </c>
      <c r="H606" s="112">
        <v>340.88</v>
      </c>
      <c r="I606" s="114">
        <f t="shared" si="9"/>
        <v>2.203699817107907E-2</v>
      </c>
    </row>
    <row r="607" spans="1:9" ht="16">
      <c r="A607" s="106">
        <v>40824</v>
      </c>
      <c r="B607" s="107">
        <v>5.25</v>
      </c>
      <c r="G607" s="111">
        <v>40821</v>
      </c>
      <c r="H607" s="112">
        <v>343.01</v>
      </c>
      <c r="I607" s="114">
        <f t="shared" si="9"/>
        <v>6.2485332081669842E-3</v>
      </c>
    </row>
    <row r="608" spans="1:9" ht="16">
      <c r="A608" s="106">
        <v>40827</v>
      </c>
      <c r="B608" s="107">
        <v>5.24</v>
      </c>
      <c r="G608" s="111">
        <v>40822</v>
      </c>
      <c r="H608" s="112">
        <v>351.32</v>
      </c>
      <c r="I608" s="114">
        <f t="shared" si="9"/>
        <v>2.4226698930060353E-2</v>
      </c>
    </row>
    <row r="609" spans="1:9" ht="16">
      <c r="A609" s="106">
        <v>40828</v>
      </c>
      <c r="B609" s="107">
        <v>5.23</v>
      </c>
      <c r="G609" s="111">
        <v>40823</v>
      </c>
      <c r="H609" s="112">
        <v>349.68</v>
      </c>
      <c r="I609" s="114">
        <f t="shared" si="9"/>
        <v>-4.6681088466354881E-3</v>
      </c>
    </row>
    <row r="610" spans="1:9" ht="16">
      <c r="A610" s="106">
        <v>40829</v>
      </c>
      <c r="B610" s="107">
        <v>5.23</v>
      </c>
      <c r="G610" s="111">
        <v>40824</v>
      </c>
      <c r="H610" s="112">
        <v>354.64</v>
      </c>
      <c r="I610" s="114">
        <f t="shared" si="9"/>
        <v>1.4184397163120588E-2</v>
      </c>
    </row>
    <row r="611" spans="1:9" ht="16">
      <c r="A611" s="106">
        <v>40830</v>
      </c>
      <c r="B611" s="107">
        <v>5.2</v>
      </c>
      <c r="G611" s="111">
        <v>40827</v>
      </c>
      <c r="H611" s="112">
        <v>356.9</v>
      </c>
      <c r="I611" s="114">
        <f t="shared" si="9"/>
        <v>6.3726595984661127E-3</v>
      </c>
    </row>
    <row r="612" spans="1:9" ht="16">
      <c r="A612" s="106">
        <v>40831</v>
      </c>
      <c r="B612" s="107">
        <v>5.15</v>
      </c>
      <c r="G612" s="111">
        <v>40828</v>
      </c>
      <c r="H612" s="112">
        <v>352.47</v>
      </c>
      <c r="I612" s="114">
        <f t="shared" si="9"/>
        <v>-1.2412440459512286E-2</v>
      </c>
    </row>
    <row r="613" spans="1:9" ht="16">
      <c r="A613" s="106">
        <v>40834</v>
      </c>
      <c r="B613" s="107">
        <v>5.15</v>
      </c>
      <c r="G613" s="111">
        <v>40829</v>
      </c>
      <c r="H613" s="112">
        <v>350.4</v>
      </c>
      <c r="I613" s="114">
        <f t="shared" si="9"/>
        <v>-5.8728402417228542E-3</v>
      </c>
    </row>
    <row r="614" spans="1:9" ht="16">
      <c r="A614" s="106">
        <v>40835</v>
      </c>
      <c r="B614" s="107">
        <v>5.16</v>
      </c>
      <c r="G614" s="111">
        <v>40830</v>
      </c>
      <c r="H614" s="112">
        <v>356.35</v>
      </c>
      <c r="I614" s="114">
        <f t="shared" si="9"/>
        <v>1.6980593607305972E-2</v>
      </c>
    </row>
    <row r="615" spans="1:9" ht="16">
      <c r="A615" s="106">
        <v>40836</v>
      </c>
      <c r="B615" s="107">
        <v>5.2</v>
      </c>
      <c r="G615" s="111">
        <v>40831</v>
      </c>
      <c r="H615" s="112">
        <v>357.16</v>
      </c>
      <c r="I615" s="114">
        <f t="shared" si="9"/>
        <v>2.2730461624806964E-3</v>
      </c>
    </row>
    <row r="616" spans="1:9" ht="16">
      <c r="A616" s="106">
        <v>40837</v>
      </c>
      <c r="B616" s="107">
        <v>5.17</v>
      </c>
      <c r="G616" s="111">
        <v>40834</v>
      </c>
      <c r="H616" s="112">
        <v>357.6</v>
      </c>
      <c r="I616" s="114">
        <f t="shared" si="9"/>
        <v>1.2319408668384213E-3</v>
      </c>
    </row>
    <row r="617" spans="1:9" ht="16">
      <c r="A617" s="106">
        <v>40838</v>
      </c>
      <c r="B617" s="107">
        <v>5.14</v>
      </c>
      <c r="G617" s="111">
        <v>40835</v>
      </c>
      <c r="H617" s="112">
        <v>356.89</v>
      </c>
      <c r="I617" s="114">
        <f t="shared" si="9"/>
        <v>-1.9854586129754992E-3</v>
      </c>
    </row>
    <row r="618" spans="1:9" ht="16">
      <c r="A618" s="106">
        <v>40841</v>
      </c>
      <c r="B618" s="107">
        <v>5.0999999999999996</v>
      </c>
      <c r="G618" s="111">
        <v>40836</v>
      </c>
      <c r="H618" s="112">
        <v>353.96</v>
      </c>
      <c r="I618" s="114">
        <f t="shared" si="9"/>
        <v>-8.2098125472834793E-3</v>
      </c>
    </row>
    <row r="619" spans="1:9" ht="16">
      <c r="A619" s="106">
        <v>40842</v>
      </c>
      <c r="B619" s="107">
        <v>5.0999999999999996</v>
      </c>
      <c r="G619" s="111">
        <v>40837</v>
      </c>
      <c r="H619" s="112">
        <v>354.67</v>
      </c>
      <c r="I619" s="114">
        <f t="shared" si="9"/>
        <v>2.0058763702113236E-3</v>
      </c>
    </row>
    <row r="620" spans="1:9" ht="16">
      <c r="A620" s="106">
        <v>40843</v>
      </c>
      <c r="B620" s="107">
        <v>5.13</v>
      </c>
      <c r="G620" s="111">
        <v>40838</v>
      </c>
      <c r="H620" s="112">
        <v>358.62</v>
      </c>
      <c r="I620" s="114">
        <f t="shared" si="9"/>
        <v>1.11371133729945E-2</v>
      </c>
    </row>
    <row r="621" spans="1:9" ht="16">
      <c r="A621" s="106">
        <v>40844</v>
      </c>
      <c r="B621" s="107">
        <v>5.15</v>
      </c>
      <c r="G621" s="111">
        <v>40841</v>
      </c>
      <c r="H621" s="112">
        <v>359.02</v>
      </c>
      <c r="I621" s="114">
        <f t="shared" si="9"/>
        <v>1.1153867603590495E-3</v>
      </c>
    </row>
    <row r="622" spans="1:9" ht="16">
      <c r="A622" s="106">
        <v>40845</v>
      </c>
      <c r="B622" s="107">
        <v>5.14</v>
      </c>
      <c r="G622" s="111">
        <v>40842</v>
      </c>
      <c r="H622" s="112">
        <v>357.42</v>
      </c>
      <c r="I622" s="114">
        <f t="shared" si="9"/>
        <v>-4.4565762353071525E-3</v>
      </c>
    </row>
    <row r="623" spans="1:9" ht="16">
      <c r="A623" s="106">
        <v>40846</v>
      </c>
      <c r="B623" s="107">
        <v>5.15</v>
      </c>
      <c r="G623" s="111">
        <v>40843</v>
      </c>
      <c r="H623" s="112">
        <v>356.72</v>
      </c>
      <c r="I623" s="114">
        <f t="shared" si="9"/>
        <v>-1.9584802193497453E-3</v>
      </c>
    </row>
    <row r="624" spans="1:9" ht="16">
      <c r="A624" s="106">
        <v>40848</v>
      </c>
      <c r="B624" s="107">
        <v>5.12</v>
      </c>
      <c r="G624" s="111">
        <v>40844</v>
      </c>
      <c r="H624" s="112">
        <v>351.27</v>
      </c>
      <c r="I624" s="114">
        <f t="shared" si="9"/>
        <v>-1.527808925768126E-2</v>
      </c>
    </row>
    <row r="625" spans="1:9" ht="16">
      <c r="A625" s="106">
        <v>40849</v>
      </c>
      <c r="B625" s="107">
        <v>5.08</v>
      </c>
      <c r="G625" s="111">
        <v>40845</v>
      </c>
      <c r="H625" s="112">
        <v>352.32</v>
      </c>
      <c r="I625" s="114">
        <f t="shared" si="9"/>
        <v>2.9891536424972998E-3</v>
      </c>
    </row>
    <row r="626" spans="1:9" ht="16">
      <c r="A626" s="106">
        <v>40850</v>
      </c>
      <c r="B626" s="107">
        <v>5.05</v>
      </c>
      <c r="G626" s="111">
        <v>40848</v>
      </c>
      <c r="H626" s="112">
        <v>353.05</v>
      </c>
      <c r="I626" s="114">
        <f t="shared" si="9"/>
        <v>2.0719800181654424E-3</v>
      </c>
    </row>
    <row r="627" spans="1:9" ht="16">
      <c r="A627" s="106">
        <v>40851</v>
      </c>
      <c r="B627" s="107">
        <v>5.08</v>
      </c>
      <c r="G627" s="111">
        <v>40849</v>
      </c>
      <c r="H627" s="112">
        <v>356.85</v>
      </c>
      <c r="I627" s="114">
        <f t="shared" si="9"/>
        <v>1.0763347967710057E-2</v>
      </c>
    </row>
    <row r="628" spans="1:9" ht="16">
      <c r="A628" s="106">
        <v>40852</v>
      </c>
      <c r="B628" s="107">
        <v>5.12</v>
      </c>
      <c r="G628" s="111">
        <v>40850</v>
      </c>
      <c r="H628" s="112">
        <v>360.19</v>
      </c>
      <c r="I628" s="114">
        <f t="shared" si="9"/>
        <v>9.35967493344525E-3</v>
      </c>
    </row>
    <row r="629" spans="1:9" ht="16">
      <c r="A629" s="106">
        <v>40855</v>
      </c>
      <c r="B629" s="107">
        <v>5.18</v>
      </c>
      <c r="G629" s="111">
        <v>40851</v>
      </c>
      <c r="H629" s="112">
        <v>358.82</v>
      </c>
      <c r="I629" s="114">
        <f t="shared" si="9"/>
        <v>-3.8035481273772653E-3</v>
      </c>
    </row>
    <row r="630" spans="1:9" ht="16">
      <c r="A630" s="106">
        <v>40856</v>
      </c>
      <c r="B630" s="107">
        <v>5.19</v>
      </c>
      <c r="G630" s="111">
        <v>40852</v>
      </c>
      <c r="H630" s="112">
        <v>354.71</v>
      </c>
      <c r="I630" s="114">
        <f t="shared" si="9"/>
        <v>-1.1454211025026528E-2</v>
      </c>
    </row>
    <row r="631" spans="1:9" ht="16">
      <c r="A631" s="106">
        <v>40857</v>
      </c>
      <c r="B631" s="107">
        <v>5.19</v>
      </c>
      <c r="G631" s="111">
        <v>40855</v>
      </c>
      <c r="H631" s="112">
        <v>351.12</v>
      </c>
      <c r="I631" s="114">
        <f t="shared" si="9"/>
        <v>-1.0120943869639909E-2</v>
      </c>
    </row>
    <row r="632" spans="1:9" ht="16">
      <c r="A632" s="106">
        <v>40858</v>
      </c>
      <c r="B632" s="107">
        <v>5.21</v>
      </c>
      <c r="G632" s="111">
        <v>40856</v>
      </c>
      <c r="H632" s="112">
        <v>347.55</v>
      </c>
      <c r="I632" s="114">
        <f t="shared" si="9"/>
        <v>-1.0167464114832492E-2</v>
      </c>
    </row>
    <row r="633" spans="1:9" ht="16">
      <c r="A633" s="106">
        <v>40859</v>
      </c>
      <c r="B633" s="107">
        <v>5.24</v>
      </c>
      <c r="G633" s="111">
        <v>40857</v>
      </c>
      <c r="H633" s="112">
        <v>347.45</v>
      </c>
      <c r="I633" s="114">
        <f t="shared" si="9"/>
        <v>-2.8772838440516146E-4</v>
      </c>
    </row>
    <row r="634" spans="1:9" ht="16">
      <c r="A634" s="106">
        <v>40862</v>
      </c>
      <c r="B634" s="107">
        <v>5.22</v>
      </c>
      <c r="G634" s="111">
        <v>40858</v>
      </c>
      <c r="H634" s="112">
        <v>347.81</v>
      </c>
      <c r="I634" s="114">
        <f t="shared" si="9"/>
        <v>1.036120305079935E-3</v>
      </c>
    </row>
    <row r="635" spans="1:9" ht="16">
      <c r="A635" s="106">
        <v>40863</v>
      </c>
      <c r="B635" s="107">
        <v>5.19</v>
      </c>
      <c r="G635" s="111">
        <v>40859</v>
      </c>
      <c r="H635" s="112">
        <v>342.58</v>
      </c>
      <c r="I635" s="114">
        <f t="shared" si="9"/>
        <v>-1.5036945458727469E-2</v>
      </c>
    </row>
    <row r="636" spans="1:9" ht="16">
      <c r="A636" s="106">
        <v>40864</v>
      </c>
      <c r="B636" s="107">
        <v>5.17</v>
      </c>
      <c r="G636" s="111">
        <v>40862</v>
      </c>
      <c r="H636" s="112">
        <v>341.22</v>
      </c>
      <c r="I636" s="114">
        <f t="shared" si="9"/>
        <v>-3.9698756494832566E-3</v>
      </c>
    </row>
    <row r="637" spans="1:9" ht="16">
      <c r="A637" s="106">
        <v>40865</v>
      </c>
      <c r="B637" s="107">
        <v>5.1100000000000003</v>
      </c>
      <c r="G637" s="111">
        <v>40863</v>
      </c>
      <c r="H637" s="112">
        <v>344.94</v>
      </c>
      <c r="I637" s="114">
        <f t="shared" si="9"/>
        <v>1.0902057323720626E-2</v>
      </c>
    </row>
    <row r="638" spans="1:9" ht="16">
      <c r="A638" s="106">
        <v>40866</v>
      </c>
      <c r="B638" s="107">
        <v>5.07</v>
      </c>
      <c r="G638" s="111">
        <v>40864</v>
      </c>
      <c r="H638" s="112">
        <v>344.38</v>
      </c>
      <c r="I638" s="114">
        <f t="shared" si="9"/>
        <v>-1.6234707485359712E-3</v>
      </c>
    </row>
    <row r="639" spans="1:9" ht="16">
      <c r="A639" s="106">
        <v>40869</v>
      </c>
      <c r="B639" s="107">
        <v>5.08</v>
      </c>
      <c r="G639" s="111">
        <v>40865</v>
      </c>
      <c r="H639" s="112">
        <v>349.89</v>
      </c>
      <c r="I639" s="114">
        <f t="shared" si="9"/>
        <v>1.5999767698472667E-2</v>
      </c>
    </row>
    <row r="640" spans="1:9" ht="16">
      <c r="A640" s="106">
        <v>40870</v>
      </c>
      <c r="B640" s="107">
        <v>5.09</v>
      </c>
      <c r="G640" s="111">
        <v>40866</v>
      </c>
      <c r="H640" s="112">
        <v>352.75</v>
      </c>
      <c r="I640" s="114">
        <f t="shared" si="9"/>
        <v>8.1739975420846989E-3</v>
      </c>
    </row>
    <row r="641" spans="1:9" ht="16">
      <c r="A641" s="106">
        <v>40871</v>
      </c>
      <c r="B641" s="107">
        <v>5.12</v>
      </c>
      <c r="G641" s="111">
        <v>40869</v>
      </c>
      <c r="H641" s="112">
        <v>351.79</v>
      </c>
      <c r="I641" s="114">
        <f t="shared" si="9"/>
        <v>-2.7214741318213331E-3</v>
      </c>
    </row>
    <row r="642" spans="1:9" ht="16">
      <c r="A642" s="106">
        <v>40872</v>
      </c>
      <c r="B642" s="107">
        <v>5.12</v>
      </c>
      <c r="G642" s="111">
        <v>40870</v>
      </c>
      <c r="H642" s="112">
        <v>350.21</v>
      </c>
      <c r="I642" s="114">
        <f t="shared" si="9"/>
        <v>-4.4913158418375954E-3</v>
      </c>
    </row>
    <row r="643" spans="1:9" ht="16">
      <c r="A643" s="106">
        <v>40873</v>
      </c>
      <c r="B643" s="107">
        <v>5.12</v>
      </c>
      <c r="G643" s="111">
        <v>40871</v>
      </c>
      <c r="H643" s="112">
        <v>348.69</v>
      </c>
      <c r="I643" s="114">
        <f t="shared" si="9"/>
        <v>-4.3402529910624432E-3</v>
      </c>
    </row>
    <row r="644" spans="1:9" ht="16">
      <c r="A644" s="106">
        <v>40876</v>
      </c>
      <c r="B644" s="107">
        <v>5.09</v>
      </c>
      <c r="G644" s="111">
        <v>40872</v>
      </c>
      <c r="H644" s="112">
        <v>348.98</v>
      </c>
      <c r="I644" s="114">
        <f t="shared" si="9"/>
        <v>8.3168430410962557E-4</v>
      </c>
    </row>
    <row r="645" spans="1:9" ht="16">
      <c r="A645" s="106">
        <v>40877</v>
      </c>
      <c r="B645" s="107">
        <v>5.1100000000000003</v>
      </c>
      <c r="G645" s="111">
        <v>40873</v>
      </c>
      <c r="H645" s="112">
        <v>344.51</v>
      </c>
      <c r="I645" s="114">
        <f t="shared" si="9"/>
        <v>-1.2808756948822331E-2</v>
      </c>
    </row>
    <row r="646" spans="1:9" ht="16">
      <c r="A646" s="106">
        <v>40878</v>
      </c>
      <c r="B646" s="107">
        <v>5.1100000000000003</v>
      </c>
      <c r="G646" s="111">
        <v>40876</v>
      </c>
      <c r="H646" s="112">
        <v>341.82</v>
      </c>
      <c r="I646" s="114">
        <f t="shared" si="9"/>
        <v>-7.8081913442280548E-3</v>
      </c>
    </row>
    <row r="647" spans="1:9" ht="16">
      <c r="A647" s="106">
        <v>40879</v>
      </c>
      <c r="B647" s="107">
        <v>5.16</v>
      </c>
      <c r="G647" s="111">
        <v>40877</v>
      </c>
      <c r="H647" s="112">
        <v>345.57</v>
      </c>
      <c r="I647" s="114">
        <f t="shared" si="9"/>
        <v>1.0970686326136514E-2</v>
      </c>
    </row>
    <row r="648" spans="1:9" ht="16">
      <c r="A648" s="106">
        <v>40880</v>
      </c>
      <c r="B648" s="107">
        <v>5.2</v>
      </c>
      <c r="G648" s="111">
        <v>40878</v>
      </c>
      <c r="H648" s="112">
        <v>345.03</v>
      </c>
      <c r="I648" s="114">
        <f t="shared" si="9"/>
        <v>-1.5626356454554458E-3</v>
      </c>
    </row>
    <row r="649" spans="1:9" ht="16">
      <c r="A649" s="106">
        <v>40883</v>
      </c>
      <c r="B649" s="107">
        <v>5.21</v>
      </c>
      <c r="G649" s="111">
        <v>40879</v>
      </c>
      <c r="H649" s="112">
        <v>344.21</v>
      </c>
      <c r="I649" s="114">
        <f t="shared" si="9"/>
        <v>-2.3766049329043692E-3</v>
      </c>
    </row>
    <row r="650" spans="1:9" ht="16">
      <c r="A650" s="106">
        <v>40884</v>
      </c>
      <c r="B650" s="107">
        <v>5.26</v>
      </c>
      <c r="G650" s="111">
        <v>40880</v>
      </c>
      <c r="H650" s="112">
        <v>341.65</v>
      </c>
      <c r="I650" s="114">
        <f t="shared" si="9"/>
        <v>-7.437320240550882E-3</v>
      </c>
    </row>
    <row r="651" spans="1:9" ht="16">
      <c r="A651" s="106">
        <v>40885</v>
      </c>
      <c r="B651" s="107">
        <v>5.25</v>
      </c>
      <c r="G651" s="111">
        <v>40883</v>
      </c>
      <c r="H651" s="112">
        <v>340.73</v>
      </c>
      <c r="I651" s="114">
        <f t="shared" si="9"/>
        <v>-2.6928142836234459E-3</v>
      </c>
    </row>
    <row r="652" spans="1:9" ht="16">
      <c r="A652" s="106">
        <v>40886</v>
      </c>
      <c r="B652" s="107">
        <v>5.3</v>
      </c>
      <c r="G652" s="111">
        <v>40884</v>
      </c>
      <c r="H652" s="112">
        <v>335.73</v>
      </c>
      <c r="I652" s="114">
        <f t="shared" si="9"/>
        <v>-1.4674375605318035E-2</v>
      </c>
    </row>
    <row r="653" spans="1:9" ht="16">
      <c r="A653" s="106">
        <v>40887</v>
      </c>
      <c r="B653" s="107">
        <v>5.37</v>
      </c>
      <c r="G653" s="111">
        <v>40885</v>
      </c>
      <c r="H653" s="112">
        <v>335.03</v>
      </c>
      <c r="I653" s="114">
        <f t="shared" si="9"/>
        <v>-2.0850087868228284E-3</v>
      </c>
    </row>
    <row r="654" spans="1:9" ht="16">
      <c r="A654" s="106">
        <v>40890</v>
      </c>
      <c r="B654" s="107">
        <v>5.45</v>
      </c>
      <c r="G654" s="111">
        <v>40886</v>
      </c>
      <c r="H654" s="112">
        <v>332.34</v>
      </c>
      <c r="I654" s="114">
        <f t="shared" si="9"/>
        <v>-8.0291317195474443E-3</v>
      </c>
    </row>
    <row r="655" spans="1:9" ht="16">
      <c r="A655" s="106">
        <v>40891</v>
      </c>
      <c r="B655" s="107">
        <v>5.43</v>
      </c>
      <c r="G655" s="111">
        <v>40887</v>
      </c>
      <c r="H655" s="112">
        <v>324.67</v>
      </c>
      <c r="I655" s="114">
        <f t="shared" ref="I655:I718" si="10">H655/H654-1</f>
        <v>-2.3078774748751196E-2</v>
      </c>
    </row>
    <row r="656" spans="1:9" ht="16">
      <c r="A656" s="106">
        <v>40892</v>
      </c>
      <c r="B656" s="107">
        <v>5.47</v>
      </c>
      <c r="G656" s="111">
        <v>40890</v>
      </c>
      <c r="H656" s="112">
        <v>324.33999999999997</v>
      </c>
      <c r="I656" s="114">
        <f t="shared" si="10"/>
        <v>-1.0164166692334664E-3</v>
      </c>
    </row>
    <row r="657" spans="1:9" ht="16">
      <c r="A657" s="106">
        <v>40893</v>
      </c>
      <c r="B657" s="107">
        <v>5.43</v>
      </c>
      <c r="G657" s="111">
        <v>40891</v>
      </c>
      <c r="H657" s="112">
        <v>328.28</v>
      </c>
      <c r="I657" s="114">
        <f t="shared" si="10"/>
        <v>1.2147746192267439E-2</v>
      </c>
    </row>
    <row r="658" spans="1:9" ht="16">
      <c r="A658" s="106">
        <v>40894</v>
      </c>
      <c r="B658" s="107">
        <v>5.45</v>
      </c>
      <c r="G658" s="111">
        <v>40892</v>
      </c>
      <c r="H658" s="112">
        <v>331.94</v>
      </c>
      <c r="I658" s="114">
        <f t="shared" si="10"/>
        <v>1.1149019130010984E-2</v>
      </c>
    </row>
    <row r="659" spans="1:9" ht="16">
      <c r="A659" s="106">
        <v>40897</v>
      </c>
      <c r="B659" s="107">
        <v>5.48</v>
      </c>
      <c r="G659" s="111">
        <v>40893</v>
      </c>
      <c r="H659" s="112">
        <v>335.98</v>
      </c>
      <c r="I659" s="114">
        <f t="shared" si="10"/>
        <v>1.2170874254383346E-2</v>
      </c>
    </row>
    <row r="660" spans="1:9" ht="16">
      <c r="A660" s="106">
        <v>40898</v>
      </c>
      <c r="B660" s="107">
        <v>5.47</v>
      </c>
      <c r="G660" s="111">
        <v>40894</v>
      </c>
      <c r="H660" s="112">
        <v>332.66</v>
      </c>
      <c r="I660" s="114">
        <f t="shared" si="10"/>
        <v>-9.8815405678909229E-3</v>
      </c>
    </row>
    <row r="661" spans="1:9" ht="16">
      <c r="A661" s="106">
        <v>40899</v>
      </c>
      <c r="B661" s="107">
        <v>5.48</v>
      </c>
      <c r="G661" s="111">
        <v>40897</v>
      </c>
      <c r="H661" s="112">
        <v>333.29</v>
      </c>
      <c r="I661" s="114">
        <f t="shared" si="10"/>
        <v>1.8938255275655624E-3</v>
      </c>
    </row>
    <row r="662" spans="1:9" ht="16">
      <c r="A662" s="106">
        <v>40900</v>
      </c>
      <c r="B662" s="107">
        <v>5.48</v>
      </c>
      <c r="G662" s="111">
        <v>40898</v>
      </c>
      <c r="H662" s="112">
        <v>334.1</v>
      </c>
      <c r="I662" s="114">
        <f t="shared" si="10"/>
        <v>2.4303159410723474E-3</v>
      </c>
    </row>
    <row r="663" spans="1:9" ht="16">
      <c r="A663" s="106">
        <v>40904</v>
      </c>
      <c r="B663" s="107">
        <v>5.48</v>
      </c>
      <c r="G663" s="111">
        <v>40899</v>
      </c>
      <c r="H663" s="112">
        <v>337.77</v>
      </c>
      <c r="I663" s="114">
        <f t="shared" si="10"/>
        <v>1.0984735109248689E-2</v>
      </c>
    </row>
    <row r="664" spans="1:9" ht="16">
      <c r="A664" s="106">
        <v>40905</v>
      </c>
      <c r="B664" s="107">
        <v>5.47</v>
      </c>
      <c r="G664" s="111">
        <v>40900</v>
      </c>
      <c r="H664" s="112">
        <v>338.15</v>
      </c>
      <c r="I664" s="114">
        <f t="shared" si="10"/>
        <v>1.1250259052018041E-3</v>
      </c>
    </row>
    <row r="665" spans="1:9" ht="16">
      <c r="A665" s="106">
        <v>40906</v>
      </c>
      <c r="B665" s="107">
        <v>5.48</v>
      </c>
      <c r="G665" s="111">
        <v>40901</v>
      </c>
      <c r="H665" s="112">
        <v>338.36</v>
      </c>
      <c r="I665" s="114">
        <f t="shared" si="10"/>
        <v>6.2102617181736264E-4</v>
      </c>
    </row>
    <row r="666" spans="1:9" ht="16">
      <c r="A666" s="106">
        <v>40907</v>
      </c>
      <c r="B666" s="107">
        <v>5.5</v>
      </c>
      <c r="G666" s="111">
        <v>40904</v>
      </c>
      <c r="H666" s="112">
        <v>337.09</v>
      </c>
      <c r="I666" s="114">
        <f t="shared" si="10"/>
        <v>-3.7533987468969521E-3</v>
      </c>
    </row>
    <row r="667" spans="1:9" ht="16">
      <c r="A667" s="106">
        <v>40911</v>
      </c>
      <c r="B667" s="107">
        <v>5.47</v>
      </c>
      <c r="G667" s="111">
        <v>40905</v>
      </c>
      <c r="H667" s="112">
        <v>337.4</v>
      </c>
      <c r="I667" s="114">
        <f t="shared" si="10"/>
        <v>9.1963570559783214E-4</v>
      </c>
    </row>
    <row r="668" spans="1:9" ht="16">
      <c r="A668" s="106">
        <v>40912</v>
      </c>
      <c r="B668" s="107">
        <v>5.46</v>
      </c>
      <c r="G668" s="111">
        <v>40906</v>
      </c>
      <c r="H668" s="112">
        <v>334.32</v>
      </c>
      <c r="I668" s="114">
        <f t="shared" si="10"/>
        <v>-9.1286307053941584E-3</v>
      </c>
    </row>
    <row r="669" spans="1:9" ht="16">
      <c r="A669" s="106">
        <v>40913</v>
      </c>
      <c r="B669" s="107">
        <v>5.45</v>
      </c>
      <c r="G669" s="111">
        <v>40907</v>
      </c>
      <c r="H669" s="112">
        <v>335.55</v>
      </c>
      <c r="I669" s="114">
        <f t="shared" si="10"/>
        <v>3.6791098348887274E-3</v>
      </c>
    </row>
    <row r="670" spans="1:9" ht="16">
      <c r="A670" s="106">
        <v>40914</v>
      </c>
      <c r="B670" s="107">
        <v>5.48</v>
      </c>
      <c r="G670" s="111">
        <v>40908</v>
      </c>
      <c r="H670" s="112">
        <v>335.71</v>
      </c>
      <c r="I670" s="114">
        <f t="shared" si="10"/>
        <v>4.768290865742042E-4</v>
      </c>
    </row>
    <row r="671" spans="1:9" ht="16">
      <c r="A671" s="106">
        <v>40915</v>
      </c>
      <c r="B671" s="107">
        <v>5.49</v>
      </c>
      <c r="G671" s="111">
        <v>40911</v>
      </c>
      <c r="H671" s="112">
        <v>325.14</v>
      </c>
      <c r="I671" s="114">
        <f t="shared" si="10"/>
        <v>-3.1485508325638234E-2</v>
      </c>
    </row>
    <row r="672" spans="1:9" ht="16">
      <c r="A672" s="106">
        <v>40918</v>
      </c>
      <c r="B672" s="107">
        <v>5.51</v>
      </c>
      <c r="G672" s="111">
        <v>40912</v>
      </c>
      <c r="H672" s="112">
        <v>325.35000000000002</v>
      </c>
      <c r="I672" s="114">
        <f t="shared" si="10"/>
        <v>6.4587562280871147E-4</v>
      </c>
    </row>
    <row r="673" spans="1:9" ht="16">
      <c r="A673" s="106">
        <v>40919</v>
      </c>
      <c r="B673" s="107">
        <v>5.55</v>
      </c>
      <c r="G673" s="111">
        <v>40913</v>
      </c>
      <c r="H673" s="112">
        <v>322.12</v>
      </c>
      <c r="I673" s="114">
        <f t="shared" si="10"/>
        <v>-9.9277700937452362E-3</v>
      </c>
    </row>
    <row r="674" spans="1:9" ht="16">
      <c r="A674" s="106">
        <v>40920</v>
      </c>
      <c r="B674" s="107">
        <v>5.59</v>
      </c>
      <c r="G674" s="111">
        <v>40914</v>
      </c>
      <c r="H674" s="112">
        <v>312.39999999999998</v>
      </c>
      <c r="I674" s="114">
        <f t="shared" si="10"/>
        <v>-3.0175090028560891E-2</v>
      </c>
    </row>
    <row r="675" spans="1:9" ht="16">
      <c r="A675" s="106">
        <v>40921</v>
      </c>
      <c r="B675" s="107">
        <v>5.65</v>
      </c>
      <c r="G675" s="111">
        <v>40915</v>
      </c>
      <c r="H675" s="112">
        <v>312.70999999999998</v>
      </c>
      <c r="I675" s="114">
        <f t="shared" si="10"/>
        <v>9.9231754161333008E-4</v>
      </c>
    </row>
    <row r="676" spans="1:9" ht="16">
      <c r="A676" s="106">
        <v>40922</v>
      </c>
      <c r="B676" s="107">
        <v>5.71</v>
      </c>
      <c r="G676" s="111">
        <v>40918</v>
      </c>
      <c r="H676" s="112">
        <v>305.73</v>
      </c>
      <c r="I676" s="114">
        <f t="shared" si="10"/>
        <v>-2.2321000287806481E-2</v>
      </c>
    </row>
    <row r="677" spans="1:9" ht="16">
      <c r="A677" s="106">
        <v>40925</v>
      </c>
      <c r="B677" s="107">
        <v>5.72</v>
      </c>
      <c r="G677" s="111">
        <v>40919</v>
      </c>
      <c r="H677" s="112">
        <v>305.54000000000002</v>
      </c>
      <c r="I677" s="114">
        <f t="shared" si="10"/>
        <v>-6.2146338272328627E-4</v>
      </c>
    </row>
    <row r="678" spans="1:9" ht="16">
      <c r="A678" s="106">
        <v>40926</v>
      </c>
      <c r="B678" s="107">
        <v>5.72</v>
      </c>
      <c r="G678" s="111">
        <v>40920</v>
      </c>
      <c r="H678" s="112">
        <v>306.83999999999997</v>
      </c>
      <c r="I678" s="114">
        <f t="shared" si="10"/>
        <v>4.2547620606139258E-3</v>
      </c>
    </row>
    <row r="679" spans="1:9" ht="16">
      <c r="A679" s="106">
        <v>40927</v>
      </c>
      <c r="B679" s="107">
        <v>5.77</v>
      </c>
      <c r="G679" s="111">
        <v>40921</v>
      </c>
      <c r="H679" s="112">
        <v>304.85000000000002</v>
      </c>
      <c r="I679" s="114">
        <f t="shared" si="10"/>
        <v>-6.4854647373222551E-3</v>
      </c>
    </row>
    <row r="680" spans="1:9" ht="16">
      <c r="A680" s="106">
        <v>40928</v>
      </c>
      <c r="B680" s="107">
        <v>5.79</v>
      </c>
      <c r="G680" s="111">
        <v>40922</v>
      </c>
      <c r="H680" s="112">
        <v>298.33999999999997</v>
      </c>
      <c r="I680" s="114">
        <f t="shared" si="10"/>
        <v>-2.1354764638346846E-2</v>
      </c>
    </row>
    <row r="681" spans="1:9" ht="16">
      <c r="A681" s="106">
        <v>40929</v>
      </c>
      <c r="B681" s="107">
        <v>5.7</v>
      </c>
      <c r="G681" s="111">
        <v>40925</v>
      </c>
      <c r="H681" s="112">
        <v>295.79000000000002</v>
      </c>
      <c r="I681" s="114">
        <f t="shared" si="10"/>
        <v>-8.5472950325130581E-3</v>
      </c>
    </row>
    <row r="682" spans="1:9" ht="16">
      <c r="A682" s="106">
        <v>40932</v>
      </c>
      <c r="B682" s="107">
        <v>5.69</v>
      </c>
      <c r="G682" s="111">
        <v>40926</v>
      </c>
      <c r="H682" s="112">
        <v>300.29000000000002</v>
      </c>
      <c r="I682" s="114">
        <f t="shared" si="10"/>
        <v>1.5213496061394993E-2</v>
      </c>
    </row>
    <row r="683" spans="1:9" ht="16">
      <c r="A683" s="106">
        <v>40933</v>
      </c>
      <c r="B683" s="107">
        <v>5.66</v>
      </c>
      <c r="G683" s="111">
        <v>40927</v>
      </c>
      <c r="H683" s="112">
        <v>291.77</v>
      </c>
      <c r="I683" s="114">
        <f t="shared" si="10"/>
        <v>-2.837257317926023E-2</v>
      </c>
    </row>
    <row r="684" spans="1:9" ht="16">
      <c r="A684" s="106">
        <v>40934</v>
      </c>
      <c r="B684" s="107">
        <v>5.63</v>
      </c>
      <c r="G684" s="111">
        <v>40928</v>
      </c>
      <c r="H684" s="112">
        <v>290.02999999999997</v>
      </c>
      <c r="I684" s="114">
        <f t="shared" si="10"/>
        <v>-5.9636014669088855E-3</v>
      </c>
    </row>
    <row r="685" spans="1:9" ht="16">
      <c r="A685" s="106">
        <v>40935</v>
      </c>
      <c r="B685" s="107">
        <v>5.56</v>
      </c>
      <c r="G685" s="111">
        <v>40929</v>
      </c>
      <c r="H685" s="112">
        <v>298.17</v>
      </c>
      <c r="I685" s="114">
        <f t="shared" si="10"/>
        <v>2.8066062131503866E-2</v>
      </c>
    </row>
    <row r="686" spans="1:9" ht="16">
      <c r="A686" s="106">
        <v>40936</v>
      </c>
      <c r="B686" s="107">
        <v>5.51</v>
      </c>
      <c r="G686" s="111">
        <v>40932</v>
      </c>
      <c r="H686" s="112">
        <v>299.99</v>
      </c>
      <c r="I686" s="114">
        <f t="shared" si="10"/>
        <v>6.1039004594694024E-3</v>
      </c>
    </row>
    <row r="687" spans="1:9" ht="16">
      <c r="A687" s="106">
        <v>40938</v>
      </c>
      <c r="B687" s="107">
        <v>5.55</v>
      </c>
      <c r="G687" s="111">
        <v>40933</v>
      </c>
      <c r="H687" s="112">
        <v>297.44</v>
      </c>
      <c r="I687" s="114">
        <f t="shared" si="10"/>
        <v>-8.5002833427780811E-3</v>
      </c>
    </row>
    <row r="688" spans="1:9" ht="16">
      <c r="A688" s="106">
        <v>40939</v>
      </c>
      <c r="B688" s="107">
        <v>5.55</v>
      </c>
      <c r="G688" s="111">
        <v>40934</v>
      </c>
      <c r="H688" s="112">
        <v>299.45999999999998</v>
      </c>
      <c r="I688" s="114">
        <f t="shared" si="10"/>
        <v>6.7912856374394703E-3</v>
      </c>
    </row>
    <row r="689" spans="1:9" ht="16">
      <c r="A689" s="106">
        <v>40940</v>
      </c>
      <c r="B689" s="107">
        <v>5.59</v>
      </c>
      <c r="G689" s="111">
        <v>40935</v>
      </c>
      <c r="H689" s="112">
        <v>301.94</v>
      </c>
      <c r="I689" s="114">
        <f t="shared" si="10"/>
        <v>8.281573498964967E-3</v>
      </c>
    </row>
    <row r="690" spans="1:9" ht="16">
      <c r="A690" s="106">
        <v>40941</v>
      </c>
      <c r="B690" s="107">
        <v>5.57</v>
      </c>
      <c r="G690" s="111">
        <v>40936</v>
      </c>
      <c r="H690" s="112">
        <v>310.48</v>
      </c>
      <c r="I690" s="114">
        <f t="shared" si="10"/>
        <v>2.8283764986421156E-2</v>
      </c>
    </row>
    <row r="691" spans="1:9" ht="16">
      <c r="A691" s="106">
        <v>40942</v>
      </c>
      <c r="B691" s="107">
        <v>5.51</v>
      </c>
      <c r="G691" s="111">
        <v>40939</v>
      </c>
      <c r="H691" s="112">
        <v>310.41000000000003</v>
      </c>
      <c r="I691" s="114">
        <f t="shared" si="10"/>
        <v>-2.2545735635148834E-4</v>
      </c>
    </row>
    <row r="692" spans="1:9" ht="16">
      <c r="A692" s="106">
        <v>40943</v>
      </c>
      <c r="B692" s="107">
        <v>5.49</v>
      </c>
      <c r="G692" s="111">
        <v>40940</v>
      </c>
      <c r="H692" s="112">
        <v>305.27999999999997</v>
      </c>
      <c r="I692" s="114">
        <f t="shared" si="10"/>
        <v>-1.6526529428820158E-2</v>
      </c>
    </row>
    <row r="693" spans="1:9" ht="16">
      <c r="A693" s="106">
        <v>40946</v>
      </c>
      <c r="B693" s="107">
        <v>5.49</v>
      </c>
      <c r="G693" s="111">
        <v>40941</v>
      </c>
      <c r="H693" s="112">
        <v>302.54000000000002</v>
      </c>
      <c r="I693" s="114">
        <f t="shared" si="10"/>
        <v>-8.9753668763100647E-3</v>
      </c>
    </row>
    <row r="694" spans="1:9" ht="16">
      <c r="A694" s="106">
        <v>40947</v>
      </c>
      <c r="B694" s="107">
        <v>5.51</v>
      </c>
      <c r="G694" s="111">
        <v>40942</v>
      </c>
      <c r="H694" s="112">
        <v>309.04000000000002</v>
      </c>
      <c r="I694" s="114">
        <f t="shared" si="10"/>
        <v>2.1484762345475028E-2</v>
      </c>
    </row>
    <row r="695" spans="1:9" ht="16">
      <c r="A695" s="106">
        <v>40948</v>
      </c>
      <c r="B695" s="107">
        <v>5.53</v>
      </c>
      <c r="G695" s="111">
        <v>40943</v>
      </c>
      <c r="H695" s="112">
        <v>308.64999999999998</v>
      </c>
      <c r="I695" s="114">
        <f t="shared" si="10"/>
        <v>-1.2619725601865639E-3</v>
      </c>
    </row>
    <row r="696" spans="1:9" ht="16">
      <c r="A696" s="106">
        <v>40949</v>
      </c>
      <c r="B696" s="107">
        <v>5.58</v>
      </c>
      <c r="G696" s="111">
        <v>40946</v>
      </c>
      <c r="H696" s="112">
        <v>306.10000000000002</v>
      </c>
      <c r="I696" s="114">
        <f t="shared" si="10"/>
        <v>-8.2617851935847808E-3</v>
      </c>
    </row>
    <row r="697" spans="1:9" ht="16">
      <c r="A697" s="106">
        <v>40950</v>
      </c>
      <c r="B697" s="107">
        <v>5.61</v>
      </c>
      <c r="G697" s="111">
        <v>40947</v>
      </c>
      <c r="H697" s="112">
        <v>304.11</v>
      </c>
      <c r="I697" s="114">
        <f t="shared" si="10"/>
        <v>-6.5011434171839966E-3</v>
      </c>
    </row>
    <row r="698" spans="1:9" ht="16">
      <c r="A698" s="106">
        <v>40953</v>
      </c>
      <c r="B698" s="107">
        <v>5.6</v>
      </c>
      <c r="G698" s="111">
        <v>40948</v>
      </c>
      <c r="H698" s="112">
        <v>304.44</v>
      </c>
      <c r="I698" s="114">
        <f t="shared" si="10"/>
        <v>1.0851336687383029E-3</v>
      </c>
    </row>
    <row r="699" spans="1:9" ht="16">
      <c r="A699" s="106">
        <v>40954</v>
      </c>
      <c r="B699" s="107">
        <v>5.57</v>
      </c>
      <c r="G699" s="111">
        <v>40949</v>
      </c>
      <c r="H699" s="112">
        <v>297.76</v>
      </c>
      <c r="I699" s="114">
        <f t="shared" si="10"/>
        <v>-2.1941926159505964E-2</v>
      </c>
    </row>
    <row r="700" spans="1:9" ht="16">
      <c r="A700" s="106">
        <v>40955</v>
      </c>
      <c r="B700" s="107">
        <v>5.5</v>
      </c>
      <c r="G700" s="111">
        <v>40950</v>
      </c>
      <c r="H700" s="112">
        <v>297.70999999999998</v>
      </c>
      <c r="I700" s="114">
        <f t="shared" si="10"/>
        <v>-1.679204728640693E-4</v>
      </c>
    </row>
    <row r="701" spans="1:9" ht="16">
      <c r="A701" s="106">
        <v>40956</v>
      </c>
      <c r="B701" s="107">
        <v>5.48</v>
      </c>
      <c r="G701" s="111">
        <v>40953</v>
      </c>
      <c r="H701" s="112">
        <v>303.97000000000003</v>
      </c>
      <c r="I701" s="114">
        <f t="shared" si="10"/>
        <v>2.1027174095596513E-2</v>
      </c>
    </row>
    <row r="702" spans="1:9" ht="16">
      <c r="A702" s="106">
        <v>40957</v>
      </c>
      <c r="B702" s="107">
        <v>5.46</v>
      </c>
      <c r="G702" s="111">
        <v>40954</v>
      </c>
      <c r="H702" s="112">
        <v>306.11</v>
      </c>
      <c r="I702" s="114">
        <f t="shared" si="10"/>
        <v>7.0401684376746321E-3</v>
      </c>
    </row>
    <row r="703" spans="1:9" ht="16">
      <c r="A703" s="106">
        <v>40960</v>
      </c>
      <c r="B703" s="107">
        <v>5.44</v>
      </c>
      <c r="G703" s="111">
        <v>40955</v>
      </c>
      <c r="H703" s="112">
        <v>308.60000000000002</v>
      </c>
      <c r="I703" s="114">
        <f t="shared" si="10"/>
        <v>8.134330796119027E-3</v>
      </c>
    </row>
    <row r="704" spans="1:9" ht="16">
      <c r="A704" s="106">
        <v>40961</v>
      </c>
      <c r="B704" s="107">
        <v>5.43</v>
      </c>
      <c r="G704" s="111">
        <v>40956</v>
      </c>
      <c r="H704" s="112">
        <v>312.58999999999997</v>
      </c>
      <c r="I704" s="114">
        <f t="shared" si="10"/>
        <v>1.292935839274123E-2</v>
      </c>
    </row>
    <row r="705" spans="1:9" ht="16">
      <c r="A705" s="106">
        <v>40962</v>
      </c>
      <c r="B705" s="107">
        <v>5.44</v>
      </c>
      <c r="G705" s="111">
        <v>40957</v>
      </c>
      <c r="H705" s="112">
        <v>311</v>
      </c>
      <c r="I705" s="114">
        <f t="shared" si="10"/>
        <v>-5.0865350778974694E-3</v>
      </c>
    </row>
    <row r="706" spans="1:9" ht="16">
      <c r="A706" s="106">
        <v>40963</v>
      </c>
      <c r="B706" s="107">
        <v>5.4</v>
      </c>
      <c r="G706" s="111">
        <v>40960</v>
      </c>
      <c r="H706" s="112">
        <v>315.32</v>
      </c>
      <c r="I706" s="114">
        <f t="shared" si="10"/>
        <v>1.3890675241157613E-2</v>
      </c>
    </row>
    <row r="707" spans="1:9" ht="16">
      <c r="A707" s="106">
        <v>40964</v>
      </c>
      <c r="B707" s="107">
        <v>5.39</v>
      </c>
      <c r="G707" s="111">
        <v>40961</v>
      </c>
      <c r="H707" s="112">
        <v>312.77</v>
      </c>
      <c r="I707" s="114">
        <f t="shared" si="10"/>
        <v>-8.0870227070912737E-3</v>
      </c>
    </row>
    <row r="708" spans="1:9" ht="16">
      <c r="A708" s="106">
        <v>40967</v>
      </c>
      <c r="B708" s="107">
        <v>5.38</v>
      </c>
      <c r="G708" s="111">
        <v>40962</v>
      </c>
      <c r="H708" s="112">
        <v>309.57</v>
      </c>
      <c r="I708" s="114">
        <f t="shared" si="10"/>
        <v>-1.0231160277520135E-2</v>
      </c>
    </row>
    <row r="709" spans="1:9" ht="16">
      <c r="A709" s="106">
        <v>40968</v>
      </c>
      <c r="B709" s="107">
        <v>5.36</v>
      </c>
      <c r="G709" s="111">
        <v>40963</v>
      </c>
      <c r="H709" s="112">
        <v>308.54000000000002</v>
      </c>
      <c r="I709" s="114">
        <f t="shared" si="10"/>
        <v>-3.3271957877054614E-3</v>
      </c>
    </row>
    <row r="710" spans="1:9" ht="16">
      <c r="A710" s="106">
        <v>40969</v>
      </c>
      <c r="B710" s="107">
        <v>5.31</v>
      </c>
      <c r="G710" s="111">
        <v>40964</v>
      </c>
      <c r="H710" s="112">
        <v>311.02</v>
      </c>
      <c r="I710" s="114">
        <f t="shared" si="10"/>
        <v>8.0378557075255763E-3</v>
      </c>
    </row>
    <row r="711" spans="1:9" ht="16">
      <c r="A711" s="106">
        <v>40970</v>
      </c>
      <c r="B711" s="107">
        <v>5.28</v>
      </c>
      <c r="G711" s="111">
        <v>40967</v>
      </c>
      <c r="H711" s="112">
        <v>311.43</v>
      </c>
      <c r="I711" s="114">
        <f t="shared" si="10"/>
        <v>1.3182431997942334E-3</v>
      </c>
    </row>
    <row r="712" spans="1:9" ht="16">
      <c r="A712" s="106">
        <v>40971</v>
      </c>
      <c r="B712" s="107">
        <v>5.21</v>
      </c>
      <c r="G712" s="111">
        <v>40968</v>
      </c>
      <c r="H712" s="112">
        <v>317.58999999999997</v>
      </c>
      <c r="I712" s="114">
        <f t="shared" si="10"/>
        <v>1.9779725781074342E-2</v>
      </c>
    </row>
    <row r="713" spans="1:9" ht="16">
      <c r="A713" s="106">
        <v>40974</v>
      </c>
      <c r="B713" s="107">
        <v>5.25</v>
      </c>
      <c r="G713" s="111">
        <v>40969</v>
      </c>
      <c r="H713" s="112">
        <v>323.73</v>
      </c>
      <c r="I713" s="114">
        <f t="shared" si="10"/>
        <v>1.93331024276584E-2</v>
      </c>
    </row>
    <row r="714" spans="1:9" ht="16">
      <c r="A714" s="106">
        <v>40975</v>
      </c>
      <c r="B714" s="107">
        <v>5.24</v>
      </c>
      <c r="G714" s="111">
        <v>40970</v>
      </c>
      <c r="H714" s="112">
        <v>327.58999999999997</v>
      </c>
      <c r="I714" s="114">
        <f t="shared" si="10"/>
        <v>1.1923516510672361E-2</v>
      </c>
    </row>
    <row r="715" spans="1:9" ht="16">
      <c r="A715" s="106">
        <v>40976</v>
      </c>
      <c r="B715" s="107">
        <v>5.24</v>
      </c>
      <c r="G715" s="111">
        <v>40971</v>
      </c>
      <c r="H715" s="112">
        <v>332.53</v>
      </c>
      <c r="I715" s="114">
        <f t="shared" si="10"/>
        <v>1.5079825391495438E-2</v>
      </c>
    </row>
    <row r="716" spans="1:9" ht="16">
      <c r="A716" s="106">
        <v>40977</v>
      </c>
      <c r="B716" s="107">
        <v>5.22</v>
      </c>
      <c r="G716" s="111">
        <v>40974</v>
      </c>
      <c r="H716" s="112">
        <v>334.3</v>
      </c>
      <c r="I716" s="114">
        <f t="shared" si="10"/>
        <v>5.3228280155175334E-3</v>
      </c>
    </row>
    <row r="717" spans="1:9" ht="16">
      <c r="A717" s="106">
        <v>40978</v>
      </c>
      <c r="B717" s="107">
        <v>5.19</v>
      </c>
      <c r="G717" s="111">
        <v>40975</v>
      </c>
      <c r="H717" s="112">
        <v>331.6</v>
      </c>
      <c r="I717" s="114">
        <f t="shared" si="10"/>
        <v>-8.0765779240202784E-3</v>
      </c>
    </row>
    <row r="718" spans="1:9" ht="16">
      <c r="A718" s="106">
        <v>40981</v>
      </c>
      <c r="B718" s="107">
        <v>5.18</v>
      </c>
      <c r="G718" s="111">
        <v>40976</v>
      </c>
      <c r="H718" s="112">
        <v>332.06</v>
      </c>
      <c r="I718" s="114">
        <f t="shared" si="10"/>
        <v>1.3872135102532823E-3</v>
      </c>
    </row>
    <row r="719" spans="1:9" ht="16">
      <c r="A719" s="106">
        <v>40982</v>
      </c>
      <c r="B719" s="107">
        <v>5.22</v>
      </c>
      <c r="G719" s="111">
        <v>40977</v>
      </c>
      <c r="H719" s="112">
        <v>332.16</v>
      </c>
      <c r="I719" s="114">
        <f t="shared" ref="I719:I782" si="11">H719/H718-1</f>
        <v>3.0115039450717696E-4</v>
      </c>
    </row>
    <row r="720" spans="1:9" ht="16">
      <c r="A720" s="106">
        <v>40983</v>
      </c>
      <c r="B720" s="107">
        <v>5.21</v>
      </c>
      <c r="G720" s="111">
        <v>40978</v>
      </c>
      <c r="H720" s="112">
        <v>336.39</v>
      </c>
      <c r="I720" s="114">
        <f t="shared" si="11"/>
        <v>1.2734826589595238E-2</v>
      </c>
    </row>
    <row r="721" spans="1:9" ht="16">
      <c r="A721" s="106">
        <v>40984</v>
      </c>
      <c r="B721" s="107">
        <v>5.09</v>
      </c>
      <c r="G721" s="111">
        <v>40981</v>
      </c>
      <c r="H721" s="112">
        <v>337.24</v>
      </c>
      <c r="I721" s="114">
        <f t="shared" si="11"/>
        <v>2.5268289782693909E-3</v>
      </c>
    </row>
    <row r="722" spans="1:9" ht="16">
      <c r="A722" s="106">
        <v>40985</v>
      </c>
      <c r="B722" s="107">
        <v>5.0199999999999996</v>
      </c>
      <c r="G722" s="111">
        <v>40982</v>
      </c>
      <c r="H722" s="112">
        <v>331.45</v>
      </c>
      <c r="I722" s="114">
        <f t="shared" si="11"/>
        <v>-1.7168781876408579E-2</v>
      </c>
    </row>
    <row r="723" spans="1:9" ht="16">
      <c r="A723" s="106">
        <v>40988</v>
      </c>
      <c r="B723" s="107">
        <v>5.0199999999999996</v>
      </c>
      <c r="G723" s="111">
        <v>40983</v>
      </c>
      <c r="H723" s="112">
        <v>332.17</v>
      </c>
      <c r="I723" s="114">
        <f t="shared" si="11"/>
        <v>2.1722733443958475E-3</v>
      </c>
    </row>
    <row r="724" spans="1:9" ht="16">
      <c r="A724" s="106">
        <v>40989</v>
      </c>
      <c r="B724" s="107">
        <v>5.0199999999999996</v>
      </c>
      <c r="G724" s="111">
        <v>40984</v>
      </c>
      <c r="H724" s="112">
        <v>342.21</v>
      </c>
      <c r="I724" s="114">
        <f t="shared" si="11"/>
        <v>3.0225486949453373E-2</v>
      </c>
    </row>
    <row r="725" spans="1:9" ht="16">
      <c r="A725" s="106">
        <v>40990</v>
      </c>
      <c r="B725" s="107">
        <v>5.04</v>
      </c>
      <c r="G725" s="111">
        <v>40985</v>
      </c>
      <c r="H725" s="112">
        <v>346.09</v>
      </c>
      <c r="I725" s="114">
        <f t="shared" si="11"/>
        <v>1.1338067268636287E-2</v>
      </c>
    </row>
    <row r="726" spans="1:9" ht="16">
      <c r="A726" s="106">
        <v>40991</v>
      </c>
      <c r="B726" s="107">
        <v>5.08</v>
      </c>
      <c r="G726" s="111">
        <v>40988</v>
      </c>
      <c r="H726" s="112">
        <v>347.55</v>
      </c>
      <c r="I726" s="114">
        <f t="shared" si="11"/>
        <v>4.2185558669711742E-3</v>
      </c>
    </row>
    <row r="727" spans="1:9" ht="16">
      <c r="A727" s="106">
        <v>40995</v>
      </c>
      <c r="B727" s="107">
        <v>5.08</v>
      </c>
      <c r="G727" s="111">
        <v>40989</v>
      </c>
      <c r="H727" s="112">
        <v>347.49</v>
      </c>
      <c r="I727" s="114">
        <f t="shared" si="11"/>
        <v>-1.7263703064307467E-4</v>
      </c>
    </row>
    <row r="728" spans="1:9" ht="16">
      <c r="A728" s="106">
        <v>40996</v>
      </c>
      <c r="B728" s="107">
        <v>5.0599999999999996</v>
      </c>
      <c r="G728" s="111">
        <v>40990</v>
      </c>
      <c r="H728" s="112">
        <v>343.94</v>
      </c>
      <c r="I728" s="114">
        <f t="shared" si="11"/>
        <v>-1.0216121327232486E-2</v>
      </c>
    </row>
    <row r="729" spans="1:9" ht="16">
      <c r="A729" s="106">
        <v>40997</v>
      </c>
      <c r="B729" s="107">
        <v>4.9800000000000004</v>
      </c>
      <c r="G729" s="111">
        <v>40991</v>
      </c>
      <c r="H729" s="112">
        <v>341.04</v>
      </c>
      <c r="I729" s="114">
        <f t="shared" si="11"/>
        <v>-8.4317032040471807E-3</v>
      </c>
    </row>
    <row r="730" spans="1:9" ht="16">
      <c r="A730" s="106">
        <v>40998</v>
      </c>
      <c r="B730" s="107">
        <v>4.96</v>
      </c>
      <c r="G730" s="111">
        <v>40992</v>
      </c>
      <c r="H730" s="112">
        <v>340.67</v>
      </c>
      <c r="I730" s="114">
        <f t="shared" si="11"/>
        <v>-1.0849167253108583E-3</v>
      </c>
    </row>
    <row r="731" spans="1:9" ht="16">
      <c r="A731" s="106">
        <v>40999</v>
      </c>
      <c r="B731" s="107">
        <v>4.9800000000000004</v>
      </c>
      <c r="G731" s="111">
        <v>40995</v>
      </c>
      <c r="H731" s="112">
        <v>340.67</v>
      </c>
      <c r="I731" s="114">
        <f t="shared" si="11"/>
        <v>0</v>
      </c>
    </row>
    <row r="732" spans="1:9" ht="16">
      <c r="A732" s="106">
        <v>41002</v>
      </c>
      <c r="B732" s="107">
        <v>4.97</v>
      </c>
      <c r="G732" s="111">
        <v>40996</v>
      </c>
      <c r="H732" s="112">
        <v>340.97</v>
      </c>
      <c r="I732" s="114">
        <f t="shared" si="11"/>
        <v>8.8061760648128207E-4</v>
      </c>
    </row>
    <row r="733" spans="1:9" ht="16">
      <c r="A733" s="106">
        <v>41003</v>
      </c>
      <c r="B733" s="107">
        <v>5</v>
      </c>
      <c r="G733" s="111">
        <v>40997</v>
      </c>
      <c r="H733" s="112">
        <v>349.02</v>
      </c>
      <c r="I733" s="114">
        <f t="shared" si="11"/>
        <v>2.3609115171422612E-2</v>
      </c>
    </row>
    <row r="734" spans="1:9" ht="16">
      <c r="A734" s="106">
        <v>41004</v>
      </c>
      <c r="B734" s="107">
        <v>4.99</v>
      </c>
      <c r="G734" s="111">
        <v>40998</v>
      </c>
      <c r="H734" s="112">
        <v>350.35</v>
      </c>
      <c r="I734" s="114">
        <f t="shared" si="11"/>
        <v>3.8106698756519286E-3</v>
      </c>
    </row>
    <row r="735" spans="1:9" ht="16">
      <c r="A735" s="106">
        <v>41005</v>
      </c>
      <c r="B735" s="107">
        <v>4.99</v>
      </c>
      <c r="G735" s="111">
        <v>40999</v>
      </c>
      <c r="H735" s="112">
        <v>347.3</v>
      </c>
      <c r="I735" s="114">
        <f t="shared" si="11"/>
        <v>-8.7055801341515693E-3</v>
      </c>
    </row>
    <row r="736" spans="1:9" ht="16">
      <c r="A736" s="106">
        <v>41006</v>
      </c>
      <c r="B736" s="107">
        <v>4.97</v>
      </c>
      <c r="G736" s="111">
        <v>41002</v>
      </c>
      <c r="H736" s="112">
        <v>347.05</v>
      </c>
      <c r="I736" s="114">
        <f t="shared" si="11"/>
        <v>-7.1983875611858483E-4</v>
      </c>
    </row>
    <row r="737" spans="1:9" ht="16">
      <c r="A737" s="106">
        <v>41009</v>
      </c>
      <c r="B737" s="107">
        <v>4.92</v>
      </c>
      <c r="G737" s="111">
        <v>41003</v>
      </c>
      <c r="H737" s="112">
        <v>341.96</v>
      </c>
      <c r="I737" s="114">
        <f t="shared" si="11"/>
        <v>-1.4666474571387478E-2</v>
      </c>
    </row>
    <row r="738" spans="1:9" ht="16">
      <c r="A738" s="106">
        <v>41010</v>
      </c>
      <c r="B738" s="107">
        <v>4.9000000000000004</v>
      </c>
      <c r="G738" s="111">
        <v>41004</v>
      </c>
      <c r="H738" s="112">
        <v>340.45</v>
      </c>
      <c r="I738" s="114">
        <f t="shared" si="11"/>
        <v>-4.4157211369750815E-3</v>
      </c>
    </row>
    <row r="739" spans="1:9" ht="16">
      <c r="A739" s="106">
        <v>41011</v>
      </c>
      <c r="B739" s="107">
        <v>4.84</v>
      </c>
      <c r="G739" s="111">
        <v>41005</v>
      </c>
      <c r="H739" s="112">
        <v>340.09</v>
      </c>
      <c r="I739" s="114">
        <f t="shared" si="11"/>
        <v>-1.0574239976501865E-3</v>
      </c>
    </row>
    <row r="740" spans="1:9" ht="16">
      <c r="A740" s="106">
        <v>41012</v>
      </c>
      <c r="B740" s="107">
        <v>4.8</v>
      </c>
      <c r="G740" s="111">
        <v>41006</v>
      </c>
      <c r="H740" s="112">
        <v>343.69</v>
      </c>
      <c r="I740" s="114">
        <f t="shared" si="11"/>
        <v>1.0585433267664479E-2</v>
      </c>
    </row>
    <row r="741" spans="1:9" ht="16">
      <c r="A741" s="106">
        <v>41013</v>
      </c>
      <c r="B741" s="107">
        <v>4.8</v>
      </c>
      <c r="G741" s="111">
        <v>41009</v>
      </c>
      <c r="H741" s="112">
        <v>346.92</v>
      </c>
      <c r="I741" s="114">
        <f t="shared" si="11"/>
        <v>9.3980040152463751E-3</v>
      </c>
    </row>
    <row r="742" spans="1:9" ht="16">
      <c r="A742" s="106">
        <v>41016</v>
      </c>
      <c r="B742" s="107">
        <v>4.82</v>
      </c>
      <c r="G742" s="111">
        <v>41010</v>
      </c>
      <c r="H742" s="112">
        <v>349.47</v>
      </c>
      <c r="I742" s="114">
        <f t="shared" si="11"/>
        <v>7.3503977862332537E-3</v>
      </c>
    </row>
    <row r="743" spans="1:9" ht="16">
      <c r="A743" s="106">
        <v>41017</v>
      </c>
      <c r="B743" s="107">
        <v>4.7699999999999996</v>
      </c>
      <c r="G743" s="111">
        <v>41011</v>
      </c>
      <c r="H743" s="112">
        <v>355.75</v>
      </c>
      <c r="I743" s="114">
        <f t="shared" si="11"/>
        <v>1.7970068961570274E-2</v>
      </c>
    </row>
    <row r="744" spans="1:9" ht="16">
      <c r="A744" s="106">
        <v>41018</v>
      </c>
      <c r="B744" s="107">
        <v>4.76</v>
      </c>
      <c r="G744" s="111">
        <v>41012</v>
      </c>
      <c r="H744" s="112">
        <v>355.92</v>
      </c>
      <c r="I744" s="114">
        <f t="shared" si="11"/>
        <v>4.7786366830648852E-4</v>
      </c>
    </row>
    <row r="745" spans="1:9" ht="16">
      <c r="A745" s="106">
        <v>41019</v>
      </c>
      <c r="B745" s="107">
        <v>4.7699999999999996</v>
      </c>
      <c r="G745" s="111">
        <v>41013</v>
      </c>
      <c r="H745" s="112">
        <v>355.88</v>
      </c>
      <c r="I745" s="114">
        <f t="shared" si="11"/>
        <v>-1.1238480557429487E-4</v>
      </c>
    </row>
    <row r="746" spans="1:9" ht="16">
      <c r="A746" s="106">
        <v>41020</v>
      </c>
      <c r="B746" s="107">
        <v>4.79</v>
      </c>
      <c r="G746" s="111">
        <v>41016</v>
      </c>
      <c r="H746" s="112">
        <v>355.04</v>
      </c>
      <c r="I746" s="114">
        <f t="shared" si="11"/>
        <v>-2.3603461841069651E-3</v>
      </c>
    </row>
    <row r="747" spans="1:9" ht="16">
      <c r="A747" s="106">
        <v>41023</v>
      </c>
      <c r="B747" s="107">
        <v>4.82</v>
      </c>
      <c r="G747" s="111">
        <v>41017</v>
      </c>
      <c r="H747" s="112">
        <v>358.64</v>
      </c>
      <c r="I747" s="114">
        <f t="shared" si="11"/>
        <v>1.0139702568724651E-2</v>
      </c>
    </row>
    <row r="748" spans="1:9" ht="16">
      <c r="A748" s="106">
        <v>41024</v>
      </c>
      <c r="B748" s="107">
        <v>4.83</v>
      </c>
      <c r="G748" s="111">
        <v>41018</v>
      </c>
      <c r="H748" s="112">
        <v>357.56</v>
      </c>
      <c r="I748" s="114">
        <f t="shared" si="11"/>
        <v>-3.0113763105062974E-3</v>
      </c>
    </row>
    <row r="749" spans="1:9" ht="16">
      <c r="A749" s="106">
        <v>41025</v>
      </c>
      <c r="B749" s="107">
        <v>4.8</v>
      </c>
      <c r="G749" s="111">
        <v>41019</v>
      </c>
      <c r="H749" s="112">
        <v>358.46</v>
      </c>
      <c r="I749" s="114">
        <f t="shared" si="11"/>
        <v>2.5170600738337878E-3</v>
      </c>
    </row>
    <row r="750" spans="1:9" ht="16">
      <c r="A750" s="106">
        <v>41026</v>
      </c>
      <c r="B750" s="107">
        <v>4.7300000000000004</v>
      </c>
      <c r="G750" s="111">
        <v>41020</v>
      </c>
      <c r="H750" s="112">
        <v>355.37</v>
      </c>
      <c r="I750" s="114">
        <f t="shared" si="11"/>
        <v>-8.6202086704234571E-3</v>
      </c>
    </row>
    <row r="751" spans="1:9" ht="16">
      <c r="A751" s="106">
        <v>41027</v>
      </c>
      <c r="B751" s="107">
        <v>4.71</v>
      </c>
      <c r="G751" s="111">
        <v>41023</v>
      </c>
      <c r="H751" s="112">
        <v>352.78</v>
      </c>
      <c r="I751" s="114">
        <f t="shared" si="11"/>
        <v>-7.2881785181642122E-3</v>
      </c>
    </row>
    <row r="752" spans="1:9" ht="16">
      <c r="A752" s="106">
        <v>41028</v>
      </c>
      <c r="B752" s="107">
        <v>4.54</v>
      </c>
      <c r="G752" s="111">
        <v>41024</v>
      </c>
      <c r="H752" s="112">
        <v>354.31</v>
      </c>
      <c r="I752" s="114">
        <f t="shared" si="11"/>
        <v>4.3369805544533069E-3</v>
      </c>
    </row>
    <row r="753" spans="1:9" ht="16">
      <c r="A753" s="106">
        <v>41030</v>
      </c>
      <c r="B753" s="107">
        <v>4.5199999999999996</v>
      </c>
      <c r="G753" s="111">
        <v>41025</v>
      </c>
      <c r="H753" s="112">
        <v>354.45</v>
      </c>
      <c r="I753" s="114">
        <f t="shared" si="11"/>
        <v>3.9513420451009473E-4</v>
      </c>
    </row>
    <row r="754" spans="1:9" ht="16">
      <c r="A754" s="106">
        <v>41031</v>
      </c>
      <c r="B754" s="107">
        <v>4.54</v>
      </c>
      <c r="G754" s="111">
        <v>41026</v>
      </c>
      <c r="H754" s="112">
        <v>355.09</v>
      </c>
      <c r="I754" s="114">
        <f t="shared" si="11"/>
        <v>1.8056143320637208E-3</v>
      </c>
    </row>
    <row r="755" spans="1:9" ht="16">
      <c r="A755" s="106">
        <v>41032</v>
      </c>
      <c r="B755" s="107">
        <v>4.55</v>
      </c>
      <c r="G755" s="111">
        <v>41027</v>
      </c>
      <c r="H755" s="112">
        <v>354.04</v>
      </c>
      <c r="I755" s="114">
        <f t="shared" si="11"/>
        <v>-2.956996817708113E-3</v>
      </c>
    </row>
    <row r="756" spans="1:9" ht="16">
      <c r="A756" s="106">
        <v>41033</v>
      </c>
      <c r="B756" s="107">
        <v>4.53</v>
      </c>
      <c r="G756" s="111">
        <v>41030</v>
      </c>
      <c r="H756" s="112">
        <v>352.2</v>
      </c>
      <c r="I756" s="114">
        <f t="shared" si="11"/>
        <v>-5.1971528640832876E-3</v>
      </c>
    </row>
    <row r="757" spans="1:9" ht="16">
      <c r="A757" s="106">
        <v>41034</v>
      </c>
      <c r="B757" s="107">
        <v>4.5199999999999996</v>
      </c>
      <c r="G757" s="111">
        <v>41031</v>
      </c>
      <c r="H757" s="112">
        <v>345.71</v>
      </c>
      <c r="I757" s="114">
        <f t="shared" si="11"/>
        <v>-1.8427030096536123E-2</v>
      </c>
    </row>
    <row r="758" spans="1:9" ht="16">
      <c r="A758" s="106">
        <v>41037</v>
      </c>
      <c r="B758" s="107">
        <v>4.53</v>
      </c>
      <c r="G758" s="111">
        <v>41032</v>
      </c>
      <c r="H758" s="112">
        <v>342.88</v>
      </c>
      <c r="I758" s="114">
        <f t="shared" si="11"/>
        <v>-8.186051893205204E-3</v>
      </c>
    </row>
    <row r="759" spans="1:9" ht="16">
      <c r="A759" s="106">
        <v>41038</v>
      </c>
      <c r="B759" s="107">
        <v>4.51</v>
      </c>
      <c r="G759" s="111">
        <v>41033</v>
      </c>
      <c r="H759" s="112">
        <v>341.33</v>
      </c>
      <c r="I759" s="114">
        <f t="shared" si="11"/>
        <v>-4.5205319645357234E-3</v>
      </c>
    </row>
    <row r="760" spans="1:9" ht="16">
      <c r="A760" s="106">
        <v>41039</v>
      </c>
      <c r="B760" s="107">
        <v>4.4800000000000004</v>
      </c>
      <c r="G760" s="111">
        <v>41034</v>
      </c>
      <c r="H760" s="112">
        <v>339.36</v>
      </c>
      <c r="I760" s="114">
        <f t="shared" si="11"/>
        <v>-5.7715407377024741E-3</v>
      </c>
    </row>
    <row r="761" spans="1:9" ht="16">
      <c r="A761" s="106">
        <v>41040</v>
      </c>
      <c r="B761" s="107">
        <v>4.46</v>
      </c>
      <c r="G761" s="111">
        <v>41037</v>
      </c>
      <c r="H761" s="112">
        <v>337.76</v>
      </c>
      <c r="I761" s="114">
        <f t="shared" si="11"/>
        <v>-4.7147571900048035E-3</v>
      </c>
    </row>
    <row r="762" spans="1:9" ht="16">
      <c r="A762" s="106">
        <v>41041</v>
      </c>
      <c r="B762" s="107">
        <v>4.43</v>
      </c>
      <c r="G762" s="111">
        <v>41038</v>
      </c>
      <c r="H762" s="112">
        <v>340.53</v>
      </c>
      <c r="I762" s="114">
        <f t="shared" si="11"/>
        <v>8.2010895310278276E-3</v>
      </c>
    </row>
    <row r="763" spans="1:9" ht="16">
      <c r="A763" s="106">
        <v>41044</v>
      </c>
      <c r="B763" s="107">
        <v>4.42</v>
      </c>
      <c r="G763" s="111">
        <v>41039</v>
      </c>
      <c r="H763" s="112">
        <v>340.9</v>
      </c>
      <c r="I763" s="114">
        <f t="shared" si="11"/>
        <v>1.0865415675564982E-3</v>
      </c>
    </row>
    <row r="764" spans="1:9" ht="16">
      <c r="A764" s="106">
        <v>41045</v>
      </c>
      <c r="B764" s="107">
        <v>4.4000000000000004</v>
      </c>
      <c r="G764" s="111">
        <v>41040</v>
      </c>
      <c r="H764" s="112">
        <v>340.06</v>
      </c>
      <c r="I764" s="114">
        <f t="shared" si="11"/>
        <v>-2.4640657084188389E-3</v>
      </c>
    </row>
    <row r="765" spans="1:9" ht="16">
      <c r="A765" s="106">
        <v>41046</v>
      </c>
      <c r="B765" s="107">
        <v>4.4400000000000004</v>
      </c>
      <c r="G765" s="111">
        <v>41041</v>
      </c>
      <c r="H765" s="112">
        <v>336.26</v>
      </c>
      <c r="I765" s="114">
        <f t="shared" si="11"/>
        <v>-1.1174498617890993E-2</v>
      </c>
    </row>
    <row r="766" spans="1:9" ht="16">
      <c r="A766" s="106">
        <v>41047</v>
      </c>
      <c r="B766" s="107">
        <v>4.51</v>
      </c>
      <c r="G766" s="111">
        <v>41044</v>
      </c>
      <c r="H766" s="112">
        <v>337.53</v>
      </c>
      <c r="I766" s="114">
        <f t="shared" si="11"/>
        <v>3.7768393505024367E-3</v>
      </c>
    </row>
    <row r="767" spans="1:9" ht="16">
      <c r="A767" s="106">
        <v>41048</v>
      </c>
      <c r="B767" s="107">
        <v>4.49</v>
      </c>
      <c r="G767" s="111">
        <v>41045</v>
      </c>
      <c r="H767" s="112">
        <v>339.08</v>
      </c>
      <c r="I767" s="114">
        <f t="shared" si="11"/>
        <v>4.5921843984237931E-3</v>
      </c>
    </row>
    <row r="768" spans="1:9" ht="16">
      <c r="A768" s="106">
        <v>41051</v>
      </c>
      <c r="B768" s="107">
        <v>4.49</v>
      </c>
      <c r="G768" s="111">
        <v>41046</v>
      </c>
      <c r="H768" s="112">
        <v>336.42</v>
      </c>
      <c r="I768" s="114">
        <f t="shared" si="11"/>
        <v>-7.844756399669639E-3</v>
      </c>
    </row>
    <row r="769" spans="1:9" ht="16">
      <c r="A769" s="106">
        <v>41052</v>
      </c>
      <c r="B769" s="107">
        <v>4.4800000000000004</v>
      </c>
      <c r="G769" s="111">
        <v>41047</v>
      </c>
      <c r="H769" s="112">
        <v>331.13</v>
      </c>
      <c r="I769" s="114">
        <f t="shared" si="11"/>
        <v>-1.5724392128886544E-2</v>
      </c>
    </row>
    <row r="770" spans="1:9" ht="16">
      <c r="A770" s="106">
        <v>41053</v>
      </c>
      <c r="B770" s="107">
        <v>4.47</v>
      </c>
      <c r="G770" s="111">
        <v>41048</v>
      </c>
      <c r="H770" s="112">
        <v>332.88</v>
      </c>
      <c r="I770" s="114">
        <f t="shared" si="11"/>
        <v>5.2849334098390433E-3</v>
      </c>
    </row>
    <row r="771" spans="1:9" ht="16">
      <c r="A771" s="106">
        <v>41054</v>
      </c>
      <c r="B771" s="107">
        <v>4.47</v>
      </c>
      <c r="G771" s="111">
        <v>41051</v>
      </c>
      <c r="H771" s="112">
        <v>333.65</v>
      </c>
      <c r="I771" s="114">
        <f t="shared" si="11"/>
        <v>2.3131458783944847E-3</v>
      </c>
    </row>
    <row r="772" spans="1:9" ht="16">
      <c r="A772" s="106">
        <v>41055</v>
      </c>
      <c r="B772" s="107">
        <v>4.46</v>
      </c>
      <c r="G772" s="111">
        <v>41052</v>
      </c>
      <c r="H772" s="112">
        <v>334.67</v>
      </c>
      <c r="I772" s="114">
        <f t="shared" si="11"/>
        <v>3.057095759029016E-3</v>
      </c>
    </row>
    <row r="773" spans="1:9" ht="16">
      <c r="A773" s="106">
        <v>41058</v>
      </c>
      <c r="B773" s="107">
        <v>4.46</v>
      </c>
      <c r="G773" s="111">
        <v>41053</v>
      </c>
      <c r="H773" s="112">
        <v>338.21</v>
      </c>
      <c r="I773" s="114">
        <f t="shared" si="11"/>
        <v>1.0577583888606634E-2</v>
      </c>
    </row>
    <row r="774" spans="1:9" ht="16">
      <c r="A774" s="106">
        <v>41059</v>
      </c>
      <c r="B774" s="107">
        <v>4.54</v>
      </c>
      <c r="G774" s="111">
        <v>41054</v>
      </c>
      <c r="H774" s="112">
        <v>340</v>
      </c>
      <c r="I774" s="114">
        <f t="shared" si="11"/>
        <v>5.2925697052128573E-3</v>
      </c>
    </row>
    <row r="775" spans="1:9" ht="16">
      <c r="A775" s="106">
        <v>41060</v>
      </c>
      <c r="B775" s="107">
        <v>4.54</v>
      </c>
      <c r="G775" s="111">
        <v>41055</v>
      </c>
      <c r="H775" s="112">
        <v>342.48</v>
      </c>
      <c r="I775" s="114">
        <f t="shared" si="11"/>
        <v>7.2941176470588953E-3</v>
      </c>
    </row>
    <row r="776" spans="1:9" ht="16">
      <c r="A776" s="106">
        <v>41061</v>
      </c>
      <c r="B776" s="107">
        <v>4.5</v>
      </c>
      <c r="G776" s="111">
        <v>41058</v>
      </c>
      <c r="H776" s="112">
        <v>342.88</v>
      </c>
      <c r="I776" s="114">
        <f t="shared" si="11"/>
        <v>1.1679514132212354E-3</v>
      </c>
    </row>
    <row r="777" spans="1:9" ht="16">
      <c r="A777" s="106">
        <v>41062</v>
      </c>
      <c r="B777" s="107">
        <v>4.42</v>
      </c>
      <c r="G777" s="111">
        <v>41059</v>
      </c>
      <c r="H777" s="112">
        <v>342.65</v>
      </c>
      <c r="I777" s="114">
        <f t="shared" si="11"/>
        <v>-6.707886140924213E-4</v>
      </c>
    </row>
    <row r="778" spans="1:9" ht="16">
      <c r="A778" s="106">
        <v>41065</v>
      </c>
      <c r="B778" s="107">
        <v>4.37</v>
      </c>
      <c r="G778" s="111">
        <v>41060</v>
      </c>
      <c r="H778" s="112">
        <v>342.49</v>
      </c>
      <c r="I778" s="114">
        <f t="shared" si="11"/>
        <v>-4.6694878155539854E-4</v>
      </c>
    </row>
    <row r="779" spans="1:9" ht="16">
      <c r="A779" s="106">
        <v>41066</v>
      </c>
      <c r="B779" s="107">
        <v>4.33</v>
      </c>
      <c r="G779" s="111">
        <v>41061</v>
      </c>
      <c r="H779" s="112">
        <v>343.17</v>
      </c>
      <c r="I779" s="114">
        <f t="shared" si="11"/>
        <v>1.9854594294723693E-3</v>
      </c>
    </row>
    <row r="780" spans="1:9" ht="16">
      <c r="A780" s="106">
        <v>41067</v>
      </c>
      <c r="B780" s="107">
        <v>4.29</v>
      </c>
      <c r="G780" s="111">
        <v>41062</v>
      </c>
      <c r="H780" s="112">
        <v>346.35</v>
      </c>
      <c r="I780" s="114">
        <f t="shared" si="11"/>
        <v>9.2665442783459451E-3</v>
      </c>
    </row>
    <row r="781" spans="1:9" ht="16">
      <c r="A781" s="106">
        <v>41068</v>
      </c>
      <c r="B781" s="107">
        <v>4.3</v>
      </c>
      <c r="G781" s="111">
        <v>41065</v>
      </c>
      <c r="H781" s="112">
        <v>349.83</v>
      </c>
      <c r="I781" s="114">
        <f t="shared" si="11"/>
        <v>1.0047639670853092E-2</v>
      </c>
    </row>
    <row r="782" spans="1:9" ht="16">
      <c r="A782" s="106">
        <v>41069</v>
      </c>
      <c r="B782" s="107">
        <v>4.32</v>
      </c>
      <c r="G782" s="111">
        <v>41066</v>
      </c>
      <c r="H782" s="112">
        <v>353.96</v>
      </c>
      <c r="I782" s="114">
        <f t="shared" si="11"/>
        <v>1.1805734213760966E-2</v>
      </c>
    </row>
    <row r="783" spans="1:9" ht="16">
      <c r="A783" s="106">
        <v>41072</v>
      </c>
      <c r="B783" s="107">
        <v>4.34</v>
      </c>
      <c r="G783" s="111">
        <v>41067</v>
      </c>
      <c r="H783" s="112">
        <v>356.34</v>
      </c>
      <c r="I783" s="114">
        <f t="shared" ref="I783:I846" si="12">H783/H782-1</f>
        <v>6.7239236071872099E-3</v>
      </c>
    </row>
    <row r="784" spans="1:9" ht="16">
      <c r="A784" s="106">
        <v>41073</v>
      </c>
      <c r="B784" s="107">
        <v>4.3899999999999997</v>
      </c>
      <c r="G784" s="111">
        <v>41068</v>
      </c>
      <c r="H784" s="112">
        <v>354.04</v>
      </c>
      <c r="I784" s="114">
        <f t="shared" si="12"/>
        <v>-6.4545097378906346E-3</v>
      </c>
    </row>
    <row r="785" spans="1:9" ht="16">
      <c r="A785" s="106">
        <v>41074</v>
      </c>
      <c r="B785" s="107">
        <v>4.38</v>
      </c>
      <c r="G785" s="111">
        <v>41069</v>
      </c>
      <c r="H785" s="112">
        <v>348.75</v>
      </c>
      <c r="I785" s="114">
        <f t="shared" si="12"/>
        <v>-1.4941814484239146E-2</v>
      </c>
    </row>
    <row r="786" spans="1:9" ht="16">
      <c r="A786" s="106">
        <v>41075</v>
      </c>
      <c r="B786" s="107">
        <v>4.3600000000000003</v>
      </c>
      <c r="G786" s="111">
        <v>41072</v>
      </c>
      <c r="H786" s="112">
        <v>343.49</v>
      </c>
      <c r="I786" s="114">
        <f t="shared" si="12"/>
        <v>-1.5082437275985683E-2</v>
      </c>
    </row>
    <row r="787" spans="1:9" ht="16">
      <c r="A787" s="106">
        <v>41076</v>
      </c>
      <c r="B787" s="107">
        <v>4.3499999999999996</v>
      </c>
      <c r="G787" s="111">
        <v>41073</v>
      </c>
      <c r="H787" s="112">
        <v>340.79</v>
      </c>
      <c r="I787" s="114">
        <f t="shared" si="12"/>
        <v>-7.8604908439837695E-3</v>
      </c>
    </row>
    <row r="788" spans="1:9" ht="16">
      <c r="A788" s="106">
        <v>41079</v>
      </c>
      <c r="B788" s="107">
        <v>4.33</v>
      </c>
      <c r="G788" s="111">
        <v>41074</v>
      </c>
      <c r="H788" s="112">
        <v>343.32</v>
      </c>
      <c r="I788" s="114">
        <f t="shared" si="12"/>
        <v>7.4239267584141899E-3</v>
      </c>
    </row>
    <row r="789" spans="1:9" ht="16">
      <c r="A789" s="106">
        <v>41080</v>
      </c>
      <c r="B789" s="107">
        <v>4.33</v>
      </c>
      <c r="G789" s="111">
        <v>41075</v>
      </c>
      <c r="H789" s="112">
        <v>339.93</v>
      </c>
      <c r="I789" s="114">
        <f t="shared" si="12"/>
        <v>-9.8741698706745762E-3</v>
      </c>
    </row>
    <row r="790" spans="1:9" ht="16">
      <c r="A790" s="106">
        <v>41081</v>
      </c>
      <c r="B790" s="107">
        <v>4.3099999999999996</v>
      </c>
      <c r="G790" s="111">
        <v>41076</v>
      </c>
      <c r="H790" s="112">
        <v>342.94</v>
      </c>
      <c r="I790" s="114">
        <f t="shared" si="12"/>
        <v>8.8547642161620477E-3</v>
      </c>
    </row>
    <row r="791" spans="1:9" ht="16">
      <c r="A791" s="106">
        <v>41082</v>
      </c>
      <c r="B791" s="107">
        <v>4.28</v>
      </c>
      <c r="G791" s="111">
        <v>41079</v>
      </c>
      <c r="H791" s="112">
        <v>348.52</v>
      </c>
      <c r="I791" s="114">
        <f t="shared" si="12"/>
        <v>1.6271067825275543E-2</v>
      </c>
    </row>
    <row r="792" spans="1:9" ht="16">
      <c r="A792" s="106">
        <v>41083</v>
      </c>
      <c r="B792" s="107">
        <v>4.29</v>
      </c>
      <c r="G792" s="111">
        <v>41080</v>
      </c>
      <c r="H792" s="112">
        <v>350.14</v>
      </c>
      <c r="I792" s="114">
        <f t="shared" si="12"/>
        <v>4.64822678755894E-3</v>
      </c>
    </row>
    <row r="793" spans="1:9" ht="16">
      <c r="A793" s="106">
        <v>41086</v>
      </c>
      <c r="B793" s="107">
        <v>4.3</v>
      </c>
      <c r="G793" s="111">
        <v>41081</v>
      </c>
      <c r="H793" s="112">
        <v>351.81</v>
      </c>
      <c r="I793" s="114">
        <f t="shared" si="12"/>
        <v>4.7695207631233139E-3</v>
      </c>
    </row>
    <row r="794" spans="1:9" ht="16">
      <c r="A794" s="106">
        <v>41087</v>
      </c>
      <c r="B794" s="107">
        <v>4.2699999999999996</v>
      </c>
      <c r="G794" s="111">
        <v>41082</v>
      </c>
      <c r="H794" s="112">
        <v>354.73</v>
      </c>
      <c r="I794" s="114">
        <f t="shared" si="12"/>
        <v>8.2999346238026295E-3</v>
      </c>
    </row>
    <row r="795" spans="1:9" ht="16">
      <c r="A795" s="106">
        <v>41088</v>
      </c>
      <c r="B795" s="107">
        <v>4.1900000000000004</v>
      </c>
      <c r="G795" s="111">
        <v>41083</v>
      </c>
      <c r="H795" s="112">
        <v>343.62</v>
      </c>
      <c r="I795" s="114">
        <f t="shared" si="12"/>
        <v>-3.1319595185070326E-2</v>
      </c>
    </row>
    <row r="796" spans="1:9" ht="16">
      <c r="A796" s="106">
        <v>41089</v>
      </c>
      <c r="B796" s="107">
        <v>4.18</v>
      </c>
      <c r="G796" s="111">
        <v>41086</v>
      </c>
      <c r="H796" s="112">
        <v>339.59</v>
      </c>
      <c r="I796" s="114">
        <f t="shared" si="12"/>
        <v>-1.1728071707118426E-2</v>
      </c>
    </row>
    <row r="797" spans="1:9" ht="16">
      <c r="A797" s="106">
        <v>41090</v>
      </c>
      <c r="B797" s="107">
        <v>4.09</v>
      </c>
      <c r="G797" s="111">
        <v>41087</v>
      </c>
      <c r="H797" s="112">
        <v>344.11</v>
      </c>
      <c r="I797" s="114">
        <f t="shared" si="12"/>
        <v>1.3310168143938483E-2</v>
      </c>
    </row>
    <row r="798" spans="1:9" ht="16">
      <c r="A798" s="106">
        <v>41093</v>
      </c>
      <c r="B798" s="107">
        <v>4.09</v>
      </c>
      <c r="G798" s="111">
        <v>41088</v>
      </c>
      <c r="H798" s="112">
        <v>351.35</v>
      </c>
      <c r="I798" s="114">
        <f t="shared" si="12"/>
        <v>2.1039783790067101E-2</v>
      </c>
    </row>
    <row r="799" spans="1:9" ht="16">
      <c r="A799" s="106">
        <v>41094</v>
      </c>
      <c r="B799" s="107">
        <v>4.0599999999999996</v>
      </c>
      <c r="G799" s="111">
        <v>41089</v>
      </c>
      <c r="H799" s="112">
        <v>356.15</v>
      </c>
      <c r="I799" s="114">
        <f t="shared" si="12"/>
        <v>1.3661591006119078E-2</v>
      </c>
    </row>
    <row r="800" spans="1:9" ht="16">
      <c r="A800" s="106">
        <v>41095</v>
      </c>
      <c r="B800" s="107">
        <v>4.0599999999999996</v>
      </c>
      <c r="G800" s="111">
        <v>41090</v>
      </c>
      <c r="H800" s="112">
        <v>357.66</v>
      </c>
      <c r="I800" s="114">
        <f t="shared" si="12"/>
        <v>4.2397866067669376E-3</v>
      </c>
    </row>
    <row r="801" spans="1:9" ht="16">
      <c r="A801" s="106">
        <v>41096</v>
      </c>
      <c r="B801" s="107">
        <v>4.05</v>
      </c>
      <c r="G801" s="111">
        <v>41093</v>
      </c>
      <c r="H801" s="112">
        <v>359.65</v>
      </c>
      <c r="I801" s="114">
        <f t="shared" si="12"/>
        <v>5.5639434099423735E-3</v>
      </c>
    </row>
    <row r="802" spans="1:9" ht="16">
      <c r="A802" s="106">
        <v>41097</v>
      </c>
      <c r="B802" s="107">
        <v>4.03</v>
      </c>
      <c r="G802" s="111">
        <v>41094</v>
      </c>
      <c r="H802" s="112">
        <v>355.15</v>
      </c>
      <c r="I802" s="114">
        <f t="shared" si="12"/>
        <v>-1.2512164604476572E-2</v>
      </c>
    </row>
    <row r="803" spans="1:9" ht="16">
      <c r="A803" s="106">
        <v>41100</v>
      </c>
      <c r="B803" s="107">
        <v>3.99</v>
      </c>
      <c r="G803" s="111">
        <v>41095</v>
      </c>
      <c r="H803" s="112">
        <v>351.42</v>
      </c>
      <c r="I803" s="114">
        <f t="shared" si="12"/>
        <v>-1.0502604533295656E-2</v>
      </c>
    </row>
    <row r="804" spans="1:9" ht="16">
      <c r="A804" s="106">
        <v>41101</v>
      </c>
      <c r="B804" s="107">
        <v>4.01</v>
      </c>
      <c r="G804" s="111">
        <v>41096</v>
      </c>
      <c r="H804" s="112">
        <v>353.92</v>
      </c>
      <c r="I804" s="114">
        <f t="shared" si="12"/>
        <v>7.1139946502760676E-3</v>
      </c>
    </row>
    <row r="805" spans="1:9" ht="16">
      <c r="A805" s="106">
        <v>41102</v>
      </c>
      <c r="B805" s="107">
        <v>3.99</v>
      </c>
      <c r="G805" s="111">
        <v>41097</v>
      </c>
      <c r="H805" s="112">
        <v>355.36</v>
      </c>
      <c r="I805" s="114">
        <f t="shared" si="12"/>
        <v>4.0687160940324762E-3</v>
      </c>
    </row>
    <row r="806" spans="1:9" ht="16">
      <c r="A806" s="106">
        <v>41103</v>
      </c>
      <c r="B806" s="107">
        <v>4</v>
      </c>
      <c r="G806" s="111">
        <v>41100</v>
      </c>
      <c r="H806" s="112">
        <v>362.07</v>
      </c>
      <c r="I806" s="114">
        <f t="shared" si="12"/>
        <v>1.8882260243133775E-2</v>
      </c>
    </row>
    <row r="807" spans="1:9" ht="16">
      <c r="A807" s="106">
        <v>41104</v>
      </c>
      <c r="B807" s="107">
        <v>4.01</v>
      </c>
      <c r="G807" s="111">
        <v>41101</v>
      </c>
      <c r="H807" s="112">
        <v>365.67</v>
      </c>
      <c r="I807" s="114">
        <f t="shared" si="12"/>
        <v>9.9428287347751443E-3</v>
      </c>
    </row>
    <row r="808" spans="1:9" ht="16">
      <c r="A808" s="106">
        <v>41107</v>
      </c>
      <c r="B808" s="107">
        <v>4.0199999999999996</v>
      </c>
      <c r="G808" s="111">
        <v>41102</v>
      </c>
      <c r="H808" s="112">
        <v>366.28</v>
      </c>
      <c r="I808" s="114">
        <f t="shared" si="12"/>
        <v>1.6681707550523228E-3</v>
      </c>
    </row>
    <row r="809" spans="1:9" ht="16">
      <c r="A809" s="106">
        <v>41108</v>
      </c>
      <c r="B809" s="107">
        <v>3.99</v>
      </c>
      <c r="G809" s="111">
        <v>41103</v>
      </c>
      <c r="H809" s="112">
        <v>370.2</v>
      </c>
      <c r="I809" s="114">
        <f t="shared" si="12"/>
        <v>1.0702195042044282E-2</v>
      </c>
    </row>
    <row r="810" spans="1:9" ht="16">
      <c r="A810" s="106">
        <v>41109</v>
      </c>
      <c r="B810" s="107">
        <v>4</v>
      </c>
      <c r="G810" s="111">
        <v>41104</v>
      </c>
      <c r="H810" s="112">
        <v>370.53</v>
      </c>
      <c r="I810" s="114">
        <f t="shared" si="12"/>
        <v>8.9141004862236528E-4</v>
      </c>
    </row>
    <row r="811" spans="1:9" ht="16">
      <c r="A811" s="106">
        <v>41110</v>
      </c>
      <c r="B811" s="107">
        <v>4.01</v>
      </c>
      <c r="G811" s="111">
        <v>41107</v>
      </c>
      <c r="H811" s="112">
        <v>371.57</v>
      </c>
      <c r="I811" s="114">
        <f t="shared" si="12"/>
        <v>2.8067902733921457E-3</v>
      </c>
    </row>
    <row r="812" spans="1:9" ht="16">
      <c r="A812" s="106">
        <v>41111</v>
      </c>
      <c r="B812" s="107">
        <v>3.99</v>
      </c>
      <c r="G812" s="111">
        <v>41108</v>
      </c>
      <c r="H812" s="112">
        <v>370.88</v>
      </c>
      <c r="I812" s="114">
        <f t="shared" si="12"/>
        <v>-1.8569852248566665E-3</v>
      </c>
    </row>
    <row r="813" spans="1:9" ht="16">
      <c r="A813" s="106">
        <v>41114</v>
      </c>
      <c r="B813" s="107">
        <v>3.99</v>
      </c>
      <c r="G813" s="111">
        <v>41109</v>
      </c>
      <c r="H813" s="112">
        <v>372.52</v>
      </c>
      <c r="I813" s="114">
        <f t="shared" si="12"/>
        <v>4.4219154443485564E-3</v>
      </c>
    </row>
    <row r="814" spans="1:9" ht="16">
      <c r="A814" s="106">
        <v>41115</v>
      </c>
      <c r="B814" s="107">
        <v>4.01</v>
      </c>
      <c r="G814" s="111">
        <v>41110</v>
      </c>
      <c r="H814" s="112">
        <v>372.64</v>
      </c>
      <c r="I814" s="114">
        <f t="shared" si="12"/>
        <v>3.221303554170607E-4</v>
      </c>
    </row>
    <row r="815" spans="1:9" ht="16">
      <c r="A815" s="106">
        <v>41116</v>
      </c>
      <c r="B815" s="107">
        <v>4</v>
      </c>
      <c r="G815" s="111">
        <v>41111</v>
      </c>
      <c r="H815" s="112">
        <v>372.12</v>
      </c>
      <c r="I815" s="114">
        <f t="shared" si="12"/>
        <v>-1.3954486904250718E-3</v>
      </c>
    </row>
    <row r="816" spans="1:9" ht="16">
      <c r="A816" s="106">
        <v>41117</v>
      </c>
      <c r="B816" s="107">
        <v>3.99</v>
      </c>
      <c r="G816" s="111">
        <v>41114</v>
      </c>
      <c r="H816" s="112">
        <v>371.95</v>
      </c>
      <c r="I816" s="114">
        <f t="shared" si="12"/>
        <v>-4.5684187896377626E-4</v>
      </c>
    </row>
    <row r="817" spans="1:9" ht="16">
      <c r="A817" s="106">
        <v>41118</v>
      </c>
      <c r="B817" s="107">
        <v>3.97</v>
      </c>
      <c r="G817" s="111">
        <v>41115</v>
      </c>
      <c r="H817" s="112">
        <v>372.14</v>
      </c>
      <c r="I817" s="114">
        <f t="shared" si="12"/>
        <v>5.1082134695512593E-4</v>
      </c>
    </row>
    <row r="818" spans="1:9" ht="16">
      <c r="A818" s="106">
        <v>41120</v>
      </c>
      <c r="B818" s="107">
        <v>4.01</v>
      </c>
      <c r="G818" s="111">
        <v>41116</v>
      </c>
      <c r="H818" s="112">
        <v>373.68</v>
      </c>
      <c r="I818" s="114">
        <f t="shared" si="12"/>
        <v>4.1382275487720221E-3</v>
      </c>
    </row>
    <row r="819" spans="1:9" ht="16">
      <c r="A819" s="106">
        <v>41121</v>
      </c>
      <c r="B819" s="107">
        <v>4</v>
      </c>
      <c r="G819" s="111">
        <v>41117</v>
      </c>
      <c r="H819" s="112">
        <v>374.15</v>
      </c>
      <c r="I819" s="114">
        <f t="shared" si="12"/>
        <v>1.257760650824169E-3</v>
      </c>
    </row>
    <row r="820" spans="1:9" ht="16">
      <c r="A820" s="106">
        <v>41122</v>
      </c>
      <c r="B820" s="107">
        <v>4.03</v>
      </c>
      <c r="G820" s="111">
        <v>41118</v>
      </c>
      <c r="H820" s="112">
        <v>373.37</v>
      </c>
      <c r="I820" s="114">
        <f t="shared" si="12"/>
        <v>-2.0847253775223562E-3</v>
      </c>
    </row>
    <row r="821" spans="1:9" ht="16">
      <c r="A821" s="106">
        <v>41123</v>
      </c>
      <c r="B821" s="107">
        <v>4.0599999999999996</v>
      </c>
      <c r="G821" s="111">
        <v>41121</v>
      </c>
      <c r="H821" s="112">
        <v>376.31</v>
      </c>
      <c r="I821" s="114">
        <f t="shared" si="12"/>
        <v>7.8742266384550508E-3</v>
      </c>
    </row>
    <row r="822" spans="1:9" ht="16">
      <c r="A822" s="106">
        <v>41124</v>
      </c>
      <c r="B822" s="107">
        <v>4.01</v>
      </c>
      <c r="G822" s="111">
        <v>41122</v>
      </c>
      <c r="H822" s="112">
        <v>374.44</v>
      </c>
      <c r="I822" s="114">
        <f t="shared" si="12"/>
        <v>-4.9693072201111299E-3</v>
      </c>
    </row>
    <row r="823" spans="1:9" ht="16">
      <c r="A823" s="106">
        <v>41125</v>
      </c>
      <c r="B823" s="107">
        <v>3.98</v>
      </c>
      <c r="G823" s="111">
        <v>41123</v>
      </c>
      <c r="H823" s="112">
        <v>371.82</v>
      </c>
      <c r="I823" s="114">
        <f t="shared" si="12"/>
        <v>-6.9971156927678413E-3</v>
      </c>
    </row>
    <row r="824" spans="1:9" ht="16">
      <c r="A824" s="106">
        <v>41128</v>
      </c>
      <c r="B824" s="107">
        <v>3.96</v>
      </c>
      <c r="G824" s="111">
        <v>41124</v>
      </c>
      <c r="H824" s="112">
        <v>375.02</v>
      </c>
      <c r="I824" s="114">
        <f t="shared" si="12"/>
        <v>8.6063148835457959E-3</v>
      </c>
    </row>
    <row r="825" spans="1:9" ht="16">
      <c r="A825" s="106">
        <v>41129</v>
      </c>
      <c r="B825" s="107">
        <v>3.94</v>
      </c>
      <c r="G825" s="111">
        <v>41125</v>
      </c>
      <c r="H825" s="112">
        <v>378.8</v>
      </c>
      <c r="I825" s="114">
        <f t="shared" si="12"/>
        <v>1.0079462428670638E-2</v>
      </c>
    </row>
    <row r="826" spans="1:9" ht="16">
      <c r="A826" s="106">
        <v>41130</v>
      </c>
      <c r="B826" s="107">
        <v>3.89</v>
      </c>
      <c r="G826" s="111">
        <v>41128</v>
      </c>
      <c r="H826" s="112">
        <v>382.82</v>
      </c>
      <c r="I826" s="114">
        <f t="shared" si="12"/>
        <v>1.0612460401267176E-2</v>
      </c>
    </row>
    <row r="827" spans="1:9" ht="16">
      <c r="A827" s="106">
        <v>41131</v>
      </c>
      <c r="B827" s="107">
        <v>3.89</v>
      </c>
      <c r="G827" s="111">
        <v>41129</v>
      </c>
      <c r="H827" s="112">
        <v>384.39</v>
      </c>
      <c r="I827" s="114">
        <f t="shared" si="12"/>
        <v>4.1011441408493887E-3</v>
      </c>
    </row>
    <row r="828" spans="1:9" ht="16">
      <c r="A828" s="106">
        <v>41132</v>
      </c>
      <c r="B828" s="107">
        <v>3.88</v>
      </c>
      <c r="G828" s="111">
        <v>41130</v>
      </c>
      <c r="H828" s="112">
        <v>385.27</v>
      </c>
      <c r="I828" s="114">
        <f t="shared" si="12"/>
        <v>2.2893415541507256E-3</v>
      </c>
    </row>
    <row r="829" spans="1:9" ht="16">
      <c r="A829" s="106">
        <v>41135</v>
      </c>
      <c r="B829" s="107">
        <v>3.85</v>
      </c>
      <c r="G829" s="111">
        <v>41131</v>
      </c>
      <c r="H829" s="112">
        <v>387.5</v>
      </c>
      <c r="I829" s="114">
        <f t="shared" si="12"/>
        <v>5.788148571131968E-3</v>
      </c>
    </row>
    <row r="830" spans="1:9" ht="16">
      <c r="A830" s="106">
        <v>41136</v>
      </c>
      <c r="B830" s="107">
        <v>3.83</v>
      </c>
      <c r="G830" s="111">
        <v>41132</v>
      </c>
      <c r="H830" s="112">
        <v>388.84</v>
      </c>
      <c r="I830" s="114">
        <f t="shared" si="12"/>
        <v>3.4580645161290668E-3</v>
      </c>
    </row>
    <row r="831" spans="1:9" ht="16">
      <c r="A831" s="106">
        <v>41137</v>
      </c>
      <c r="B831" s="107">
        <v>3.85</v>
      </c>
      <c r="G831" s="111">
        <v>41135</v>
      </c>
      <c r="H831" s="112">
        <v>391.7</v>
      </c>
      <c r="I831" s="114">
        <f t="shared" si="12"/>
        <v>7.3552103693035331E-3</v>
      </c>
    </row>
    <row r="832" spans="1:9" ht="16">
      <c r="A832" s="106">
        <v>41138</v>
      </c>
      <c r="B832" s="107">
        <v>3.81</v>
      </c>
      <c r="G832" s="111">
        <v>41136</v>
      </c>
      <c r="H832" s="112">
        <v>391.22</v>
      </c>
      <c r="I832" s="114">
        <f t="shared" si="12"/>
        <v>-1.2254276231808969E-3</v>
      </c>
    </row>
    <row r="833" spans="1:9" ht="16">
      <c r="A833" s="106">
        <v>41139</v>
      </c>
      <c r="B833" s="107">
        <v>3.82</v>
      </c>
      <c r="G833" s="111">
        <v>41137</v>
      </c>
      <c r="H833" s="112">
        <v>389.35</v>
      </c>
      <c r="I833" s="114">
        <f t="shared" si="12"/>
        <v>-4.7799192270333579E-3</v>
      </c>
    </row>
    <row r="834" spans="1:9" ht="16">
      <c r="A834" s="106">
        <v>41142</v>
      </c>
      <c r="B834" s="107">
        <v>3.84</v>
      </c>
      <c r="G834" s="111">
        <v>41138</v>
      </c>
      <c r="H834" s="112">
        <v>392.12</v>
      </c>
      <c r="I834" s="114">
        <f t="shared" si="12"/>
        <v>7.1144214716836185E-3</v>
      </c>
    </row>
    <row r="835" spans="1:9" ht="16">
      <c r="A835" s="106">
        <v>41143</v>
      </c>
      <c r="B835" s="107">
        <v>3.83</v>
      </c>
      <c r="G835" s="111">
        <v>41139</v>
      </c>
      <c r="H835" s="112">
        <v>389.64</v>
      </c>
      <c r="I835" s="114">
        <f t="shared" si="12"/>
        <v>-6.3245945118841629E-3</v>
      </c>
    </row>
    <row r="836" spans="1:9" ht="16">
      <c r="A836" s="106">
        <v>41144</v>
      </c>
      <c r="B836" s="107">
        <v>3.84</v>
      </c>
      <c r="G836" s="111">
        <v>41142</v>
      </c>
      <c r="H836" s="112">
        <v>387.41</v>
      </c>
      <c r="I836" s="114">
        <f t="shared" si="12"/>
        <v>-5.7232317010572631E-3</v>
      </c>
    </row>
    <row r="837" spans="1:9" ht="16">
      <c r="A837" s="106">
        <v>41145</v>
      </c>
      <c r="B837" s="107">
        <v>3.86</v>
      </c>
      <c r="G837" s="111">
        <v>41143</v>
      </c>
      <c r="H837" s="112">
        <v>387.63</v>
      </c>
      <c r="I837" s="114">
        <f t="shared" si="12"/>
        <v>5.6787382876022363E-4</v>
      </c>
    </row>
    <row r="838" spans="1:9" ht="16">
      <c r="A838" s="106">
        <v>41146</v>
      </c>
      <c r="B838" s="107">
        <v>3.86</v>
      </c>
      <c r="G838" s="111">
        <v>41144</v>
      </c>
      <c r="H838" s="112">
        <v>384.05</v>
      </c>
      <c r="I838" s="114">
        <f t="shared" si="12"/>
        <v>-9.2356112787967959E-3</v>
      </c>
    </row>
    <row r="839" spans="1:9" ht="16">
      <c r="A839" s="106">
        <v>41149</v>
      </c>
      <c r="B839" s="107">
        <v>3.87</v>
      </c>
      <c r="G839" s="111">
        <v>41145</v>
      </c>
      <c r="H839" s="112">
        <v>384.41</v>
      </c>
      <c r="I839" s="114">
        <f t="shared" si="12"/>
        <v>9.3737794558013121E-4</v>
      </c>
    </row>
    <row r="840" spans="1:9" ht="16">
      <c r="A840" s="106">
        <v>41150</v>
      </c>
      <c r="B840" s="107">
        <v>3.85</v>
      </c>
      <c r="G840" s="111">
        <v>41146</v>
      </c>
      <c r="H840" s="112">
        <v>386.31</v>
      </c>
      <c r="I840" s="114">
        <f t="shared" si="12"/>
        <v>4.9426393694231852E-3</v>
      </c>
    </row>
    <row r="841" spans="1:9" ht="16">
      <c r="A841" s="106">
        <v>41151</v>
      </c>
      <c r="B841" s="107">
        <v>3.89</v>
      </c>
      <c r="G841" s="111">
        <v>41149</v>
      </c>
      <c r="H841" s="112">
        <v>384.14</v>
      </c>
      <c r="I841" s="114">
        <f t="shared" si="12"/>
        <v>-5.6172503947606867E-3</v>
      </c>
    </row>
    <row r="842" spans="1:9" ht="16">
      <c r="A842" s="106">
        <v>41152</v>
      </c>
      <c r="B842" s="107">
        <v>3.91</v>
      </c>
      <c r="G842" s="111">
        <v>41150</v>
      </c>
      <c r="H842" s="112">
        <v>385.41</v>
      </c>
      <c r="I842" s="114">
        <f t="shared" si="12"/>
        <v>3.3060863226950232E-3</v>
      </c>
    </row>
    <row r="843" spans="1:9" ht="16">
      <c r="A843" s="106">
        <v>41153</v>
      </c>
      <c r="B843" s="107">
        <v>3.9</v>
      </c>
      <c r="G843" s="111">
        <v>41151</v>
      </c>
      <c r="H843" s="112">
        <v>383.27</v>
      </c>
      <c r="I843" s="114">
        <f t="shared" si="12"/>
        <v>-5.5525284761683835E-3</v>
      </c>
    </row>
    <row r="844" spans="1:9" ht="16">
      <c r="A844" s="106">
        <v>41156</v>
      </c>
      <c r="B844" s="107">
        <v>3.9</v>
      </c>
      <c r="G844" s="111">
        <v>41152</v>
      </c>
      <c r="H844" s="112">
        <v>382.73</v>
      </c>
      <c r="I844" s="114">
        <f t="shared" si="12"/>
        <v>-1.4089284316538553E-3</v>
      </c>
    </row>
    <row r="845" spans="1:9" ht="16">
      <c r="A845" s="106">
        <v>41157</v>
      </c>
      <c r="B845" s="107">
        <v>3.86</v>
      </c>
      <c r="G845" s="111">
        <v>41153</v>
      </c>
      <c r="H845" s="112">
        <v>386.41</v>
      </c>
      <c r="I845" s="114">
        <f t="shared" si="12"/>
        <v>9.6151333838476738E-3</v>
      </c>
    </row>
    <row r="846" spans="1:9" ht="16">
      <c r="A846" s="106">
        <v>41158</v>
      </c>
      <c r="B846" s="107">
        <v>3.8</v>
      </c>
      <c r="G846" s="111">
        <v>41156</v>
      </c>
      <c r="H846" s="112">
        <v>389.59</v>
      </c>
      <c r="I846" s="114">
        <f t="shared" si="12"/>
        <v>8.2296006832121016E-3</v>
      </c>
    </row>
    <row r="847" spans="1:9" ht="16">
      <c r="A847" s="106">
        <v>41159</v>
      </c>
      <c r="B847" s="107">
        <v>3.8</v>
      </c>
      <c r="G847" s="111">
        <v>41157</v>
      </c>
      <c r="H847" s="112">
        <v>395.71</v>
      </c>
      <c r="I847" s="114">
        <f t="shared" ref="I847:I910" si="13">H847/H846-1</f>
        <v>1.5708822095023001E-2</v>
      </c>
    </row>
    <row r="848" spans="1:9" ht="16">
      <c r="A848" s="106">
        <v>41160</v>
      </c>
      <c r="B848" s="107">
        <v>3.87</v>
      </c>
      <c r="G848" s="111">
        <v>41158</v>
      </c>
      <c r="H848" s="112">
        <v>396.49</v>
      </c>
      <c r="I848" s="114">
        <f t="shared" si="13"/>
        <v>1.9711404816660227E-3</v>
      </c>
    </row>
    <row r="849" spans="1:9" ht="16">
      <c r="A849" s="106">
        <v>41163</v>
      </c>
      <c r="B849" s="107">
        <v>3.94</v>
      </c>
      <c r="G849" s="111">
        <v>41159</v>
      </c>
      <c r="H849" s="112">
        <v>397.2</v>
      </c>
      <c r="I849" s="114">
        <f t="shared" si="13"/>
        <v>1.7907135110595274E-3</v>
      </c>
    </row>
    <row r="850" spans="1:9" ht="16">
      <c r="A850" s="106">
        <v>41164</v>
      </c>
      <c r="B850" s="107">
        <v>3.93</v>
      </c>
      <c r="G850" s="111">
        <v>41160</v>
      </c>
      <c r="H850" s="112">
        <v>390.33</v>
      </c>
      <c r="I850" s="114">
        <f t="shared" si="13"/>
        <v>-1.7296072507552829E-2</v>
      </c>
    </row>
    <row r="851" spans="1:9" ht="16">
      <c r="A851" s="106">
        <v>41165</v>
      </c>
      <c r="B851" s="107">
        <v>3.96</v>
      </c>
      <c r="G851" s="111">
        <v>41163</v>
      </c>
      <c r="H851" s="112">
        <v>383.23</v>
      </c>
      <c r="I851" s="114">
        <f t="shared" si="13"/>
        <v>-1.8189736889298702E-2</v>
      </c>
    </row>
    <row r="852" spans="1:9" ht="16">
      <c r="A852" s="106">
        <v>41166</v>
      </c>
      <c r="B852" s="107">
        <v>3.96</v>
      </c>
      <c r="G852" s="111">
        <v>41164</v>
      </c>
      <c r="H852" s="112">
        <v>381.22</v>
      </c>
      <c r="I852" s="114">
        <f t="shared" si="13"/>
        <v>-5.2448921013490413E-3</v>
      </c>
    </row>
    <row r="853" spans="1:9" ht="16">
      <c r="A853" s="106">
        <v>41167</v>
      </c>
      <c r="B853" s="107">
        <v>3.96</v>
      </c>
      <c r="G853" s="111">
        <v>41165</v>
      </c>
      <c r="H853" s="112">
        <v>381.13</v>
      </c>
      <c r="I853" s="114">
        <f t="shared" si="13"/>
        <v>-2.3608415088405277E-4</v>
      </c>
    </row>
    <row r="854" spans="1:9" ht="16">
      <c r="A854" s="106">
        <v>41170</v>
      </c>
      <c r="B854" s="107">
        <v>3.96</v>
      </c>
      <c r="G854" s="111">
        <v>41166</v>
      </c>
      <c r="H854" s="112">
        <v>383.16</v>
      </c>
      <c r="I854" s="114">
        <f t="shared" si="13"/>
        <v>5.3262666281845839E-3</v>
      </c>
    </row>
    <row r="855" spans="1:9" ht="16">
      <c r="A855" s="106">
        <v>41171</v>
      </c>
      <c r="B855" s="107">
        <v>3.94</v>
      </c>
      <c r="G855" s="111">
        <v>41167</v>
      </c>
      <c r="H855" s="112">
        <v>381.67</v>
      </c>
      <c r="I855" s="114">
        <f t="shared" si="13"/>
        <v>-3.8887148971709085E-3</v>
      </c>
    </row>
    <row r="856" spans="1:9" ht="16">
      <c r="A856" s="106">
        <v>41172</v>
      </c>
      <c r="B856" s="107">
        <v>3.91</v>
      </c>
      <c r="G856" s="111">
        <v>41170</v>
      </c>
      <c r="H856" s="112">
        <v>386.51</v>
      </c>
      <c r="I856" s="114">
        <f t="shared" si="13"/>
        <v>1.2681111955354041E-2</v>
      </c>
    </row>
    <row r="857" spans="1:9" ht="16">
      <c r="A857" s="106">
        <v>41173</v>
      </c>
      <c r="B857" s="107">
        <v>3.83</v>
      </c>
      <c r="G857" s="111">
        <v>41171</v>
      </c>
      <c r="H857" s="112">
        <v>386.73</v>
      </c>
      <c r="I857" s="114">
        <f t="shared" si="13"/>
        <v>5.6919613981532002E-4</v>
      </c>
    </row>
    <row r="858" spans="1:9" ht="16">
      <c r="A858" s="106">
        <v>41174</v>
      </c>
      <c r="B858" s="107">
        <v>3.84</v>
      </c>
      <c r="G858" s="111">
        <v>41172</v>
      </c>
      <c r="H858" s="112">
        <v>389.61</v>
      </c>
      <c r="I858" s="114">
        <f t="shared" si="13"/>
        <v>7.4470560856412238E-3</v>
      </c>
    </row>
    <row r="859" spans="1:9" ht="16">
      <c r="A859" s="106">
        <v>41177</v>
      </c>
      <c r="B859" s="107">
        <v>3.86</v>
      </c>
      <c r="G859" s="111">
        <v>41173</v>
      </c>
      <c r="H859" s="112">
        <v>395.34</v>
      </c>
      <c r="I859" s="114">
        <f t="shared" si="13"/>
        <v>1.4707014707014521E-2</v>
      </c>
    </row>
    <row r="860" spans="1:9" ht="16">
      <c r="A860" s="106">
        <v>41178</v>
      </c>
      <c r="B860" s="107">
        <v>3.84</v>
      </c>
      <c r="G860" s="111">
        <v>41174</v>
      </c>
      <c r="H860" s="112">
        <v>393.85</v>
      </c>
      <c r="I860" s="114">
        <f t="shared" si="13"/>
        <v>-3.7689077755854727E-3</v>
      </c>
    </row>
    <row r="861" spans="1:9" ht="16">
      <c r="A861" s="106">
        <v>41179</v>
      </c>
      <c r="B861" s="107">
        <v>3.83</v>
      </c>
      <c r="G861" s="111">
        <v>41177</v>
      </c>
      <c r="H861" s="112">
        <v>388.74</v>
      </c>
      <c r="I861" s="114">
        <f t="shared" si="13"/>
        <v>-1.2974482671067711E-2</v>
      </c>
    </row>
    <row r="862" spans="1:9" ht="16">
      <c r="A862" s="106">
        <v>41180</v>
      </c>
      <c r="B862" s="107">
        <v>3.81</v>
      </c>
      <c r="G862" s="111">
        <v>41178</v>
      </c>
      <c r="H862" s="112">
        <v>390.34</v>
      </c>
      <c r="I862" s="114">
        <f t="shared" si="13"/>
        <v>4.1158615012604205E-3</v>
      </c>
    </row>
    <row r="863" spans="1:9" ht="16">
      <c r="A863" s="106">
        <v>41181</v>
      </c>
      <c r="B863" s="107">
        <v>3.82</v>
      </c>
      <c r="G863" s="111">
        <v>41179</v>
      </c>
      <c r="H863" s="112">
        <v>391.32</v>
      </c>
      <c r="I863" s="114">
        <f t="shared" si="13"/>
        <v>2.510631756929893E-3</v>
      </c>
    </row>
    <row r="864" spans="1:9" ht="16">
      <c r="A864" s="106">
        <v>41184</v>
      </c>
      <c r="B864" s="107">
        <v>3.83</v>
      </c>
      <c r="G864" s="111">
        <v>41180</v>
      </c>
      <c r="H864" s="112">
        <v>390.96</v>
      </c>
      <c r="I864" s="114">
        <f t="shared" si="13"/>
        <v>-9.1996320147202937E-4</v>
      </c>
    </row>
    <row r="865" spans="1:9" ht="16">
      <c r="A865" s="106">
        <v>41185</v>
      </c>
      <c r="B865" s="107">
        <v>3.84</v>
      </c>
      <c r="G865" s="111">
        <v>41181</v>
      </c>
      <c r="H865" s="112">
        <v>387.68</v>
      </c>
      <c r="I865" s="114">
        <f t="shared" si="13"/>
        <v>-8.3896050746878892E-3</v>
      </c>
    </row>
    <row r="866" spans="1:9" ht="16">
      <c r="A866" s="106">
        <v>41186</v>
      </c>
      <c r="B866" s="107">
        <v>3.86</v>
      </c>
      <c r="G866" s="111">
        <v>41184</v>
      </c>
      <c r="H866" s="112">
        <v>391.73</v>
      </c>
      <c r="I866" s="114">
        <f t="shared" si="13"/>
        <v>1.0446760214610107E-2</v>
      </c>
    </row>
    <row r="867" spans="1:9" ht="16">
      <c r="A867" s="106">
        <v>41187</v>
      </c>
      <c r="B867" s="107">
        <v>3.87</v>
      </c>
      <c r="G867" s="111">
        <v>41185</v>
      </c>
      <c r="H867" s="112">
        <v>393.59</v>
      </c>
      <c r="I867" s="114">
        <f t="shared" si="13"/>
        <v>4.7481683812828912E-3</v>
      </c>
    </row>
    <row r="868" spans="1:9" ht="16">
      <c r="A868" s="106">
        <v>41188</v>
      </c>
      <c r="B868" s="107">
        <v>3.88</v>
      </c>
      <c r="G868" s="111">
        <v>41186</v>
      </c>
      <c r="H868" s="112">
        <v>393.83</v>
      </c>
      <c r="I868" s="114">
        <f t="shared" si="13"/>
        <v>6.0977158972530532E-4</v>
      </c>
    </row>
    <row r="869" spans="1:9" ht="16">
      <c r="A869" s="106">
        <v>41191</v>
      </c>
      <c r="B869" s="107">
        <v>3.88</v>
      </c>
      <c r="G869" s="111">
        <v>41187</v>
      </c>
      <c r="H869" s="112">
        <v>393.99</v>
      </c>
      <c r="I869" s="114">
        <f t="shared" si="13"/>
        <v>4.0626666328114069E-4</v>
      </c>
    </row>
    <row r="870" spans="1:9" ht="16">
      <c r="A870" s="106">
        <v>41192</v>
      </c>
      <c r="B870" s="107">
        <v>3.89</v>
      </c>
      <c r="G870" s="111">
        <v>41188</v>
      </c>
      <c r="H870" s="112">
        <v>393.18</v>
      </c>
      <c r="I870" s="114">
        <f t="shared" si="13"/>
        <v>-2.0558897433945456E-3</v>
      </c>
    </row>
    <row r="871" spans="1:9" ht="16">
      <c r="A871" s="106">
        <v>41193</v>
      </c>
      <c r="B871" s="107">
        <v>3.9</v>
      </c>
      <c r="G871" s="111">
        <v>41191</v>
      </c>
      <c r="H871" s="112">
        <v>394.46</v>
      </c>
      <c r="I871" s="114">
        <f t="shared" si="13"/>
        <v>3.2555063838444198E-3</v>
      </c>
    </row>
    <row r="872" spans="1:9" ht="16">
      <c r="A872" s="106">
        <v>41194</v>
      </c>
      <c r="B872" s="107">
        <v>3.89</v>
      </c>
      <c r="G872" s="111">
        <v>41192</v>
      </c>
      <c r="H872" s="112">
        <v>390.07</v>
      </c>
      <c r="I872" s="114">
        <f t="shared" si="13"/>
        <v>-1.1129138569183183E-2</v>
      </c>
    </row>
    <row r="873" spans="1:9" ht="16">
      <c r="A873" s="106">
        <v>41195</v>
      </c>
      <c r="B873" s="107">
        <v>3.89</v>
      </c>
      <c r="G873" s="111">
        <v>41193</v>
      </c>
      <c r="H873" s="112">
        <v>388.71</v>
      </c>
      <c r="I873" s="114">
        <f t="shared" si="13"/>
        <v>-3.4865536954905574E-3</v>
      </c>
    </row>
    <row r="874" spans="1:9" ht="16">
      <c r="A874" s="106">
        <v>41198</v>
      </c>
      <c r="B874" s="107">
        <v>3.91</v>
      </c>
      <c r="G874" s="111">
        <v>41194</v>
      </c>
      <c r="H874" s="112">
        <v>384.05</v>
      </c>
      <c r="I874" s="114">
        <f t="shared" si="13"/>
        <v>-1.1988371793882235E-2</v>
      </c>
    </row>
    <row r="875" spans="1:9" ht="16">
      <c r="A875" s="106">
        <v>41199</v>
      </c>
      <c r="B875" s="107">
        <v>3.91</v>
      </c>
      <c r="G875" s="111">
        <v>41195</v>
      </c>
      <c r="H875" s="112">
        <v>386.85</v>
      </c>
      <c r="I875" s="114">
        <f t="shared" si="13"/>
        <v>7.2907173545111448E-3</v>
      </c>
    </row>
    <row r="876" spans="1:9" ht="16">
      <c r="A876" s="106">
        <v>41200</v>
      </c>
      <c r="B876" s="107">
        <v>3.89</v>
      </c>
      <c r="G876" s="111">
        <v>41198</v>
      </c>
      <c r="H876" s="112">
        <v>385.6</v>
      </c>
      <c r="I876" s="114">
        <f t="shared" si="13"/>
        <v>-3.2312265736073043E-3</v>
      </c>
    </row>
    <row r="877" spans="1:9" ht="16">
      <c r="A877" s="106">
        <v>41201</v>
      </c>
      <c r="B877" s="107">
        <v>3.88</v>
      </c>
      <c r="G877" s="111">
        <v>41199</v>
      </c>
      <c r="H877" s="112">
        <v>391.36</v>
      </c>
      <c r="I877" s="114">
        <f t="shared" si="13"/>
        <v>1.4937759336099532E-2</v>
      </c>
    </row>
    <row r="878" spans="1:9" ht="16">
      <c r="A878" s="106">
        <v>41202</v>
      </c>
      <c r="B878" s="107">
        <v>3.88</v>
      </c>
      <c r="G878" s="111">
        <v>41200</v>
      </c>
      <c r="H878" s="112">
        <v>393.17</v>
      </c>
      <c r="I878" s="114">
        <f t="shared" si="13"/>
        <v>4.6248977923140089E-3</v>
      </c>
    </row>
    <row r="879" spans="1:9" ht="16">
      <c r="A879" s="106">
        <v>41205</v>
      </c>
      <c r="B879" s="107">
        <v>3.85</v>
      </c>
      <c r="G879" s="111">
        <v>41201</v>
      </c>
      <c r="H879" s="112">
        <v>393.41</v>
      </c>
      <c r="I879" s="114">
        <f t="shared" si="13"/>
        <v>6.1042297225122333E-4</v>
      </c>
    </row>
    <row r="880" spans="1:9" ht="16">
      <c r="A880" s="106">
        <v>41206</v>
      </c>
      <c r="B880" s="107">
        <v>3.85</v>
      </c>
      <c r="G880" s="111">
        <v>41202</v>
      </c>
      <c r="H880" s="112">
        <v>393.27</v>
      </c>
      <c r="I880" s="114">
        <f t="shared" si="13"/>
        <v>-3.5586284029398563E-4</v>
      </c>
    </row>
    <row r="881" spans="1:9" ht="16">
      <c r="A881" s="106">
        <v>41207</v>
      </c>
      <c r="B881" s="107">
        <v>3.92</v>
      </c>
      <c r="G881" s="111">
        <v>41205</v>
      </c>
      <c r="H881" s="112">
        <v>395.88</v>
      </c>
      <c r="I881" s="114">
        <f t="shared" si="13"/>
        <v>6.6366618353803641E-3</v>
      </c>
    </row>
    <row r="882" spans="1:9" ht="16">
      <c r="A882" s="106">
        <v>41208</v>
      </c>
      <c r="B882" s="107">
        <v>3.93</v>
      </c>
      <c r="G882" s="111">
        <v>41206</v>
      </c>
      <c r="H882" s="112">
        <v>396.16</v>
      </c>
      <c r="I882" s="114">
        <f t="shared" si="13"/>
        <v>7.0728503586958702E-4</v>
      </c>
    </row>
    <row r="883" spans="1:9" ht="16">
      <c r="A883" s="106">
        <v>41209</v>
      </c>
      <c r="B883" s="107">
        <v>3.94</v>
      </c>
      <c r="G883" s="111">
        <v>41207</v>
      </c>
      <c r="H883" s="112">
        <v>393.31</v>
      </c>
      <c r="I883" s="114">
        <f t="shared" si="13"/>
        <v>-7.1940630048465959E-3</v>
      </c>
    </row>
    <row r="884" spans="1:9" ht="16">
      <c r="A884" s="106">
        <v>41212</v>
      </c>
      <c r="B884" s="107">
        <v>3.95</v>
      </c>
      <c r="G884" s="111">
        <v>41208</v>
      </c>
      <c r="H884" s="112">
        <v>391.2</v>
      </c>
      <c r="I884" s="114">
        <f t="shared" si="13"/>
        <v>-5.3647250260608903E-3</v>
      </c>
    </row>
    <row r="885" spans="1:9" ht="16">
      <c r="A885" s="106">
        <v>41213</v>
      </c>
      <c r="B885" s="107">
        <v>4</v>
      </c>
      <c r="G885" s="111">
        <v>41209</v>
      </c>
      <c r="H885" s="112">
        <v>390.34</v>
      </c>
      <c r="I885" s="114">
        <f t="shared" si="13"/>
        <v>-2.1983640081799649E-3</v>
      </c>
    </row>
    <row r="886" spans="1:9" ht="16">
      <c r="A886" s="106">
        <v>41214</v>
      </c>
      <c r="B886" s="107">
        <v>4.01</v>
      </c>
      <c r="G886" s="111">
        <v>41212</v>
      </c>
      <c r="H886" s="112">
        <v>391.13</v>
      </c>
      <c r="I886" s="114">
        <f t="shared" si="13"/>
        <v>2.0238766203823921E-3</v>
      </c>
    </row>
    <row r="887" spans="1:9" ht="16">
      <c r="A887" s="106">
        <v>41215</v>
      </c>
      <c r="B887" s="107">
        <v>4</v>
      </c>
      <c r="G887" s="111">
        <v>41213</v>
      </c>
      <c r="H887" s="112">
        <v>389.8</v>
      </c>
      <c r="I887" s="114">
        <f t="shared" si="13"/>
        <v>-3.4004039577633094E-3</v>
      </c>
    </row>
    <row r="888" spans="1:9" ht="16">
      <c r="A888" s="106">
        <v>41216</v>
      </c>
      <c r="B888" s="107">
        <v>4.01</v>
      </c>
      <c r="G888" s="111">
        <v>41214</v>
      </c>
      <c r="H888" s="112">
        <v>384.89</v>
      </c>
      <c r="I888" s="114">
        <f t="shared" si="13"/>
        <v>-1.2596203181118537E-2</v>
      </c>
    </row>
    <row r="889" spans="1:9" ht="16">
      <c r="A889" s="106">
        <v>41219</v>
      </c>
      <c r="B889" s="107">
        <v>3.99</v>
      </c>
      <c r="G889" s="111">
        <v>41215</v>
      </c>
      <c r="H889" s="112">
        <v>381.87</v>
      </c>
      <c r="I889" s="114">
        <f t="shared" si="13"/>
        <v>-7.8463976720620776E-3</v>
      </c>
    </row>
    <row r="890" spans="1:9" ht="16">
      <c r="A890" s="106">
        <v>41220</v>
      </c>
      <c r="B890" s="107">
        <v>3.97</v>
      </c>
      <c r="G890" s="111">
        <v>41216</v>
      </c>
      <c r="H890" s="112">
        <v>379.76</v>
      </c>
      <c r="I890" s="114">
        <f t="shared" si="13"/>
        <v>-5.5254405949669572E-3</v>
      </c>
    </row>
    <row r="891" spans="1:9" ht="16">
      <c r="A891" s="106">
        <v>41221</v>
      </c>
      <c r="B891" s="107">
        <v>4.0599999999999996</v>
      </c>
      <c r="G891" s="111">
        <v>41219</v>
      </c>
      <c r="H891" s="112">
        <v>386.01</v>
      </c>
      <c r="I891" s="114">
        <f t="shared" si="13"/>
        <v>1.6457762797556397E-2</v>
      </c>
    </row>
    <row r="892" spans="1:9" ht="16">
      <c r="A892" s="106">
        <v>41222</v>
      </c>
      <c r="B892" s="107">
        <v>4.1900000000000004</v>
      </c>
      <c r="G892" s="111">
        <v>41220</v>
      </c>
      <c r="H892" s="112">
        <v>388.78</v>
      </c>
      <c r="I892" s="114">
        <f t="shared" si="13"/>
        <v>7.1759798968937805E-3</v>
      </c>
    </row>
    <row r="893" spans="1:9" ht="16">
      <c r="A893" s="106">
        <v>41223</v>
      </c>
      <c r="B893" s="107">
        <v>4.2</v>
      </c>
      <c r="G893" s="111">
        <v>41221</v>
      </c>
      <c r="H893" s="112">
        <v>380.47</v>
      </c>
      <c r="I893" s="114">
        <f t="shared" si="13"/>
        <v>-2.1374556304336489E-2</v>
      </c>
    </row>
    <row r="894" spans="1:9" ht="16">
      <c r="A894" s="106">
        <v>41226</v>
      </c>
      <c r="B894" s="107">
        <v>4.47</v>
      </c>
      <c r="G894" s="111">
        <v>41222</v>
      </c>
      <c r="H894" s="112">
        <v>378.03</v>
      </c>
      <c r="I894" s="114">
        <f t="shared" si="13"/>
        <v>-6.4131206139775854E-3</v>
      </c>
    </row>
    <row r="895" spans="1:9" ht="16">
      <c r="A895" s="106">
        <v>41227</v>
      </c>
      <c r="B895" s="107">
        <v>4.3899999999999997</v>
      </c>
      <c r="G895" s="111">
        <v>41223</v>
      </c>
      <c r="H895" s="112">
        <v>367.23</v>
      </c>
      <c r="I895" s="114">
        <f t="shared" si="13"/>
        <v>-2.8569161177684155E-2</v>
      </c>
    </row>
    <row r="896" spans="1:9" ht="16">
      <c r="A896" s="106">
        <v>41228</v>
      </c>
      <c r="B896" s="107">
        <v>4.3899999999999997</v>
      </c>
      <c r="G896" s="111">
        <v>41226</v>
      </c>
      <c r="H896" s="112">
        <v>363.59</v>
      </c>
      <c r="I896" s="114">
        <f t="shared" si="13"/>
        <v>-9.9120442229666539E-3</v>
      </c>
    </row>
    <row r="897" spans="1:9" ht="16">
      <c r="A897" s="106">
        <v>41229</v>
      </c>
      <c r="B897" s="107">
        <v>4.37</v>
      </c>
      <c r="G897" s="111">
        <v>41227</v>
      </c>
      <c r="H897" s="112">
        <v>364.48</v>
      </c>
      <c r="I897" s="114">
        <f t="shared" si="13"/>
        <v>2.4478120960422789E-3</v>
      </c>
    </row>
    <row r="898" spans="1:9" ht="16">
      <c r="A898" s="106">
        <v>41230</v>
      </c>
      <c r="B898" s="107">
        <v>4.45</v>
      </c>
      <c r="G898" s="111">
        <v>41228</v>
      </c>
      <c r="H898" s="112">
        <v>366.6</v>
      </c>
      <c r="I898" s="114">
        <f t="shared" si="13"/>
        <v>5.8165057067602888E-3</v>
      </c>
    </row>
    <row r="899" spans="1:9" ht="16">
      <c r="A899" s="106">
        <v>41233</v>
      </c>
      <c r="B899" s="107">
        <v>4.45</v>
      </c>
      <c r="G899" s="111">
        <v>41229</v>
      </c>
      <c r="H899" s="112">
        <v>366.7</v>
      </c>
      <c r="I899" s="114">
        <f t="shared" si="13"/>
        <v>2.7277686852156258E-4</v>
      </c>
    </row>
    <row r="900" spans="1:9" ht="16">
      <c r="A900" s="106">
        <v>41234</v>
      </c>
      <c r="B900" s="107">
        <v>4.43</v>
      </c>
      <c r="G900" s="111">
        <v>41230</v>
      </c>
      <c r="H900" s="112">
        <v>365.77</v>
      </c>
      <c r="I900" s="114">
        <f t="shared" si="13"/>
        <v>-2.5361330788110648E-3</v>
      </c>
    </row>
    <row r="901" spans="1:9" ht="16">
      <c r="A901" s="106">
        <v>41235</v>
      </c>
      <c r="B901" s="107">
        <v>4.45</v>
      </c>
      <c r="G901" s="111">
        <v>41233</v>
      </c>
      <c r="H901" s="112">
        <v>367.11</v>
      </c>
      <c r="I901" s="114">
        <f t="shared" si="13"/>
        <v>3.6635043880035578E-3</v>
      </c>
    </row>
    <row r="902" spans="1:9" ht="16">
      <c r="A902" s="106">
        <v>41236</v>
      </c>
      <c r="B902" s="107">
        <v>4.45</v>
      </c>
      <c r="G902" s="111">
        <v>41234</v>
      </c>
      <c r="H902" s="112">
        <v>370.51</v>
      </c>
      <c r="I902" s="114">
        <f t="shared" si="13"/>
        <v>9.2615292419164774E-3</v>
      </c>
    </row>
    <row r="903" spans="1:9" ht="16">
      <c r="A903" s="106">
        <v>41237</v>
      </c>
      <c r="B903" s="107">
        <v>4.4800000000000004</v>
      </c>
      <c r="G903" s="111">
        <v>41235</v>
      </c>
      <c r="H903" s="112">
        <v>369.43</v>
      </c>
      <c r="I903" s="114">
        <f t="shared" si="13"/>
        <v>-2.9149010822919763E-3</v>
      </c>
    </row>
    <row r="904" spans="1:9" ht="16">
      <c r="A904" s="106">
        <v>41240</v>
      </c>
      <c r="B904" s="107">
        <v>4.47</v>
      </c>
      <c r="G904" s="111">
        <v>41236</v>
      </c>
      <c r="H904" s="112">
        <v>368.21</v>
      </c>
      <c r="I904" s="114">
        <f t="shared" si="13"/>
        <v>-3.302384754892751E-3</v>
      </c>
    </row>
    <row r="905" spans="1:9" ht="16">
      <c r="A905" s="106">
        <v>41241</v>
      </c>
      <c r="B905" s="107">
        <v>4.46</v>
      </c>
      <c r="G905" s="111">
        <v>41237</v>
      </c>
      <c r="H905" s="112">
        <v>369.94</v>
      </c>
      <c r="I905" s="114">
        <f t="shared" si="13"/>
        <v>4.6984058010375307E-3</v>
      </c>
    </row>
    <row r="906" spans="1:9" ht="16">
      <c r="A906" s="106">
        <v>41242</v>
      </c>
      <c r="B906" s="107">
        <v>4.3899999999999997</v>
      </c>
      <c r="G906" s="111">
        <v>41240</v>
      </c>
      <c r="H906" s="112">
        <v>372.74</v>
      </c>
      <c r="I906" s="114">
        <f t="shared" si="13"/>
        <v>7.5687949397200693E-3</v>
      </c>
    </row>
    <row r="907" spans="1:9" ht="16">
      <c r="A907" s="106">
        <v>41243</v>
      </c>
      <c r="B907" s="107">
        <v>4.4400000000000004</v>
      </c>
      <c r="G907" s="111">
        <v>41241</v>
      </c>
      <c r="H907" s="112">
        <v>370.83</v>
      </c>
      <c r="I907" s="114">
        <f t="shared" si="13"/>
        <v>-5.1242152706981736E-3</v>
      </c>
    </row>
    <row r="908" spans="1:9" ht="16">
      <c r="A908" s="106">
        <v>41244</v>
      </c>
      <c r="B908" s="107">
        <v>4.45</v>
      </c>
      <c r="G908" s="111">
        <v>41242</v>
      </c>
      <c r="H908" s="112">
        <v>372.58</v>
      </c>
      <c r="I908" s="114">
        <f t="shared" si="13"/>
        <v>4.7191435428632911E-3</v>
      </c>
    </row>
    <row r="909" spans="1:9" ht="16">
      <c r="A909" s="106">
        <v>41247</v>
      </c>
      <c r="B909" s="107">
        <v>4.42</v>
      </c>
      <c r="G909" s="111">
        <v>41243</v>
      </c>
      <c r="H909" s="112">
        <v>370.22</v>
      </c>
      <c r="I909" s="114">
        <f t="shared" si="13"/>
        <v>-6.3342101025282149E-3</v>
      </c>
    </row>
    <row r="910" spans="1:9" ht="16">
      <c r="A910" s="106">
        <v>41248</v>
      </c>
      <c r="B910" s="107">
        <v>4.37</v>
      </c>
      <c r="G910" s="111">
        <v>41244</v>
      </c>
      <c r="H910" s="112">
        <v>368.42</v>
      </c>
      <c r="I910" s="114">
        <f t="shared" si="13"/>
        <v>-4.8619739614284008E-3</v>
      </c>
    </row>
    <row r="911" spans="1:9" ht="16">
      <c r="A911" s="106">
        <v>41249</v>
      </c>
      <c r="B911" s="107">
        <v>4.34</v>
      </c>
      <c r="G911" s="111">
        <v>41247</v>
      </c>
      <c r="H911" s="112">
        <v>369.1</v>
      </c>
      <c r="I911" s="114">
        <f t="shared" ref="I911:I974" si="14">H911/H910-1</f>
        <v>1.8457195591987663E-3</v>
      </c>
    </row>
    <row r="912" spans="1:9" ht="16">
      <c r="A912" s="106">
        <v>41250</v>
      </c>
      <c r="B912" s="107">
        <v>4.34</v>
      </c>
      <c r="G912" s="111">
        <v>41248</v>
      </c>
      <c r="H912" s="112">
        <v>371.75</v>
      </c>
      <c r="I912" s="114">
        <f t="shared" si="14"/>
        <v>7.1796261175831599E-3</v>
      </c>
    </row>
    <row r="913" spans="1:9" ht="16">
      <c r="A913" s="106">
        <v>41251</v>
      </c>
      <c r="B913" s="107">
        <v>4.3499999999999996</v>
      </c>
      <c r="G913" s="111">
        <v>41249</v>
      </c>
      <c r="H913" s="112">
        <v>374.46</v>
      </c>
      <c r="I913" s="114">
        <f t="shared" si="14"/>
        <v>7.2898453261600604E-3</v>
      </c>
    </row>
    <row r="914" spans="1:9" ht="16">
      <c r="A914" s="106">
        <v>41254</v>
      </c>
      <c r="B914" s="107">
        <v>4.3899999999999997</v>
      </c>
      <c r="G914" s="111">
        <v>41250</v>
      </c>
      <c r="H914" s="112">
        <v>378.25</v>
      </c>
      <c r="I914" s="114">
        <f t="shared" si="14"/>
        <v>1.0121241254072544E-2</v>
      </c>
    </row>
    <row r="915" spans="1:9" ht="16">
      <c r="A915" s="106">
        <v>41255</v>
      </c>
      <c r="B915" s="107">
        <v>4.3499999999999996</v>
      </c>
      <c r="G915" s="111">
        <v>41251</v>
      </c>
      <c r="H915" s="112">
        <v>378.12</v>
      </c>
      <c r="I915" s="114">
        <f t="shared" si="14"/>
        <v>-3.4368803701256834E-4</v>
      </c>
    </row>
    <row r="916" spans="1:9" ht="16">
      <c r="A916" s="106">
        <v>41256</v>
      </c>
      <c r="B916" s="107">
        <v>4.34</v>
      </c>
      <c r="G916" s="111">
        <v>41254</v>
      </c>
      <c r="H916" s="112">
        <v>375.6</v>
      </c>
      <c r="I916" s="114">
        <f t="shared" si="14"/>
        <v>-6.6645509362106559E-3</v>
      </c>
    </row>
    <row r="917" spans="1:9" ht="16">
      <c r="A917" s="106">
        <v>41257</v>
      </c>
      <c r="B917" s="107">
        <v>4.45</v>
      </c>
      <c r="G917" s="111">
        <v>41255</v>
      </c>
      <c r="H917" s="112">
        <v>377.62</v>
      </c>
      <c r="I917" s="114">
        <f t="shared" si="14"/>
        <v>5.3780617678380604E-3</v>
      </c>
    </row>
    <row r="918" spans="1:9" ht="16">
      <c r="A918" s="106">
        <v>41258</v>
      </c>
      <c r="B918" s="107">
        <v>4.43</v>
      </c>
      <c r="G918" s="111">
        <v>41256</v>
      </c>
      <c r="H918" s="112">
        <v>375.58</v>
      </c>
      <c r="I918" s="114">
        <f t="shared" si="14"/>
        <v>-5.4022562364282045E-3</v>
      </c>
    </row>
    <row r="919" spans="1:9" ht="16">
      <c r="A919" s="106">
        <v>41261</v>
      </c>
      <c r="B919" s="107">
        <v>4.43</v>
      </c>
      <c r="G919" s="111">
        <v>41257</v>
      </c>
      <c r="H919" s="112">
        <v>369.74</v>
      </c>
      <c r="I919" s="114">
        <f t="shared" si="14"/>
        <v>-1.5549283774428768E-2</v>
      </c>
    </row>
    <row r="920" spans="1:9" ht="16">
      <c r="A920" s="106">
        <v>41262</v>
      </c>
      <c r="B920" s="107">
        <v>4.4000000000000004</v>
      </c>
      <c r="G920" s="111">
        <v>41258</v>
      </c>
      <c r="H920" s="112">
        <v>368.84</v>
      </c>
      <c r="I920" s="114">
        <f t="shared" si="14"/>
        <v>-2.4341429112350044E-3</v>
      </c>
    </row>
    <row r="921" spans="1:9" ht="16">
      <c r="A921" s="106">
        <v>41263</v>
      </c>
      <c r="B921" s="107">
        <v>4.37</v>
      </c>
      <c r="G921" s="111">
        <v>41261</v>
      </c>
      <c r="H921" s="112">
        <v>366.46</v>
      </c>
      <c r="I921" s="114">
        <f t="shared" si="14"/>
        <v>-6.4526624010411426E-3</v>
      </c>
    </row>
    <row r="922" spans="1:9" ht="16">
      <c r="A922" s="106">
        <v>41264</v>
      </c>
      <c r="B922" s="107">
        <v>4.3600000000000003</v>
      </c>
      <c r="G922" s="111">
        <v>41262</v>
      </c>
      <c r="H922" s="112">
        <v>366.34</v>
      </c>
      <c r="I922" s="114">
        <f t="shared" si="14"/>
        <v>-3.2745729411121083E-4</v>
      </c>
    </row>
    <row r="923" spans="1:9" ht="16">
      <c r="A923" s="106">
        <v>41265</v>
      </c>
      <c r="B923" s="107">
        <v>4.37</v>
      </c>
      <c r="G923" s="111">
        <v>41263</v>
      </c>
      <c r="H923" s="112">
        <v>366.84</v>
      </c>
      <c r="I923" s="114">
        <f t="shared" si="14"/>
        <v>1.3648523229785603E-3</v>
      </c>
    </row>
    <row r="924" spans="1:9" ht="16">
      <c r="A924" s="106">
        <v>41269</v>
      </c>
      <c r="B924" s="107">
        <v>4.37</v>
      </c>
      <c r="G924" s="111">
        <v>41264</v>
      </c>
      <c r="H924" s="112">
        <v>363.2</v>
      </c>
      <c r="I924" s="114">
        <f t="shared" si="14"/>
        <v>-9.9225820521208208E-3</v>
      </c>
    </row>
    <row r="925" spans="1:9" ht="16">
      <c r="A925" s="106">
        <v>41270</v>
      </c>
      <c r="B925" s="107">
        <v>4.3600000000000003</v>
      </c>
      <c r="G925" s="111">
        <v>41265</v>
      </c>
      <c r="H925" s="112">
        <v>363.32</v>
      </c>
      <c r="I925" s="114">
        <f t="shared" si="14"/>
        <v>3.3039647577104425E-4</v>
      </c>
    </row>
    <row r="926" spans="1:9" ht="16">
      <c r="A926" s="106">
        <v>41271</v>
      </c>
      <c r="B926" s="107">
        <v>4.34</v>
      </c>
      <c r="G926" s="111">
        <v>41268</v>
      </c>
      <c r="H926" s="112">
        <v>363.32</v>
      </c>
      <c r="I926" s="114">
        <f t="shared" si="14"/>
        <v>0</v>
      </c>
    </row>
    <row r="927" spans="1:9" ht="16">
      <c r="A927" s="106">
        <v>41272</v>
      </c>
      <c r="B927" s="107">
        <v>4.32</v>
      </c>
      <c r="G927" s="111">
        <v>41269</v>
      </c>
      <c r="H927" s="112">
        <v>364.5</v>
      </c>
      <c r="I927" s="114">
        <f t="shared" si="14"/>
        <v>3.2478256082792978E-3</v>
      </c>
    </row>
    <row r="928" spans="1:9" ht="16">
      <c r="A928" s="106">
        <v>41273</v>
      </c>
      <c r="B928" s="107">
        <v>4.33</v>
      </c>
      <c r="G928" s="111">
        <v>41270</v>
      </c>
      <c r="H928" s="112">
        <v>368.08</v>
      </c>
      <c r="I928" s="114">
        <f t="shared" si="14"/>
        <v>9.8216735253771059E-3</v>
      </c>
    </row>
    <row r="929" spans="1:9" ht="16">
      <c r="A929" s="106">
        <v>41276</v>
      </c>
      <c r="B929" s="107">
        <v>4.3099999999999996</v>
      </c>
      <c r="G929" s="111">
        <v>41271</v>
      </c>
      <c r="H929" s="112">
        <v>371.28</v>
      </c>
      <c r="I929" s="114">
        <f t="shared" si="14"/>
        <v>8.693762225603141E-3</v>
      </c>
    </row>
    <row r="930" spans="1:9" ht="16">
      <c r="A930" s="106">
        <v>41277</v>
      </c>
      <c r="B930" s="107">
        <v>4.28</v>
      </c>
      <c r="G930" s="111">
        <v>41272</v>
      </c>
      <c r="H930" s="112">
        <v>373.45</v>
      </c>
      <c r="I930" s="114">
        <f t="shared" si="14"/>
        <v>5.8446455505278827E-3</v>
      </c>
    </row>
    <row r="931" spans="1:9" ht="16">
      <c r="A931" s="106">
        <v>41278</v>
      </c>
      <c r="B931" s="107">
        <v>4.2300000000000004</v>
      </c>
      <c r="G931" s="111">
        <v>41275</v>
      </c>
      <c r="H931" s="112">
        <v>373.28</v>
      </c>
      <c r="I931" s="114">
        <f t="shared" si="14"/>
        <v>-4.5521488820465805E-4</v>
      </c>
    </row>
    <row r="932" spans="1:9" ht="16">
      <c r="A932" s="106">
        <v>41279</v>
      </c>
      <c r="B932" s="107">
        <v>4.21</v>
      </c>
      <c r="G932" s="111">
        <v>41276</v>
      </c>
      <c r="H932" s="112">
        <v>375.37</v>
      </c>
      <c r="I932" s="114">
        <f t="shared" si="14"/>
        <v>5.5990141448778452E-3</v>
      </c>
    </row>
    <row r="933" spans="1:9" ht="16">
      <c r="A933" s="106">
        <v>41282</v>
      </c>
      <c r="B933" s="107">
        <v>4.22</v>
      </c>
      <c r="G933" s="111">
        <v>41277</v>
      </c>
      <c r="H933" s="112">
        <v>377.01</v>
      </c>
      <c r="I933" s="114">
        <f t="shared" si="14"/>
        <v>4.36902256440308E-3</v>
      </c>
    </row>
    <row r="934" spans="1:9" ht="16">
      <c r="A934" s="106">
        <v>41283</v>
      </c>
      <c r="B934" s="107">
        <v>4.1900000000000004</v>
      </c>
      <c r="G934" s="111">
        <v>41278</v>
      </c>
      <c r="H934" s="112">
        <v>381.4</v>
      </c>
      <c r="I934" s="114">
        <f t="shared" si="14"/>
        <v>1.1644253468077626E-2</v>
      </c>
    </row>
    <row r="935" spans="1:9" ht="16">
      <c r="A935" s="106">
        <v>41284</v>
      </c>
      <c r="B935" s="107">
        <v>4.22</v>
      </c>
      <c r="G935" s="111">
        <v>41279</v>
      </c>
      <c r="H935" s="112">
        <v>381.05</v>
      </c>
      <c r="I935" s="114">
        <f t="shared" si="14"/>
        <v>-9.176717357104458E-4</v>
      </c>
    </row>
    <row r="936" spans="1:9" ht="16">
      <c r="A936" s="106">
        <v>41285</v>
      </c>
      <c r="B936" s="107">
        <v>4.17</v>
      </c>
      <c r="G936" s="111">
        <v>41282</v>
      </c>
      <c r="H936" s="112">
        <v>380.15</v>
      </c>
      <c r="I936" s="114">
        <f t="shared" si="14"/>
        <v>-2.3618947644666877E-3</v>
      </c>
    </row>
    <row r="937" spans="1:9" ht="16">
      <c r="A937" s="106">
        <v>41286</v>
      </c>
      <c r="B937" s="107">
        <v>4.17</v>
      </c>
      <c r="G937" s="111">
        <v>41283</v>
      </c>
      <c r="H937" s="112">
        <v>383.03</v>
      </c>
      <c r="I937" s="114">
        <f t="shared" si="14"/>
        <v>7.5759568591344806E-3</v>
      </c>
    </row>
    <row r="938" spans="1:9" ht="16">
      <c r="A938" s="106">
        <v>41289</v>
      </c>
      <c r="B938" s="107">
        <v>4.17</v>
      </c>
      <c r="G938" s="111">
        <v>41284</v>
      </c>
      <c r="H938" s="112">
        <v>382.7</v>
      </c>
      <c r="I938" s="114">
        <f t="shared" si="14"/>
        <v>-8.6155131451837175E-4</v>
      </c>
    </row>
    <row r="939" spans="1:9" ht="16">
      <c r="A939" s="106">
        <v>41290</v>
      </c>
      <c r="B939" s="107">
        <v>4.13</v>
      </c>
      <c r="G939" s="111">
        <v>41285</v>
      </c>
      <c r="H939" s="112">
        <v>386.59</v>
      </c>
      <c r="I939" s="114">
        <f t="shared" si="14"/>
        <v>1.0164619806636965E-2</v>
      </c>
    </row>
    <row r="940" spans="1:9" ht="16">
      <c r="A940" s="106">
        <v>41291</v>
      </c>
      <c r="B940" s="107">
        <v>4.1399999999999997</v>
      </c>
      <c r="G940" s="111">
        <v>41286</v>
      </c>
      <c r="H940" s="112">
        <v>386.37</v>
      </c>
      <c r="I940" s="114">
        <f t="shared" si="14"/>
        <v>-5.6907835174202503E-4</v>
      </c>
    </row>
    <row r="941" spans="1:9" ht="16">
      <c r="A941" s="106">
        <v>41292</v>
      </c>
      <c r="B941" s="107">
        <v>4.2</v>
      </c>
      <c r="G941" s="111">
        <v>41289</v>
      </c>
      <c r="H941" s="112">
        <v>383.97</v>
      </c>
      <c r="I941" s="114">
        <f t="shared" si="14"/>
        <v>-6.2116623961486761E-3</v>
      </c>
    </row>
    <row r="942" spans="1:9" ht="16">
      <c r="A942" s="106">
        <v>41293</v>
      </c>
      <c r="B942" s="107">
        <v>4.21</v>
      </c>
      <c r="G942" s="111">
        <v>41290</v>
      </c>
      <c r="H942" s="112">
        <v>386.03</v>
      </c>
      <c r="I942" s="114">
        <f t="shared" si="14"/>
        <v>5.3650024741513924E-3</v>
      </c>
    </row>
    <row r="943" spans="1:9" ht="16">
      <c r="A943" s="106">
        <v>41296</v>
      </c>
      <c r="B943" s="107">
        <v>4.17</v>
      </c>
      <c r="G943" s="111">
        <v>41291</v>
      </c>
      <c r="H943" s="112">
        <v>387.21</v>
      </c>
      <c r="I943" s="114">
        <f t="shared" si="14"/>
        <v>3.0567572468460646E-3</v>
      </c>
    </row>
    <row r="944" spans="1:9" ht="16">
      <c r="A944" s="106">
        <v>41297</v>
      </c>
      <c r="B944" s="107">
        <v>4.1500000000000004</v>
      </c>
      <c r="G944" s="111">
        <v>41292</v>
      </c>
      <c r="H944" s="112">
        <v>385.97</v>
      </c>
      <c r="I944" s="114">
        <f t="shared" si="14"/>
        <v>-3.2023966323182496E-3</v>
      </c>
    </row>
    <row r="945" spans="1:9" ht="16">
      <c r="A945" s="106">
        <v>41298</v>
      </c>
      <c r="B945" s="107">
        <v>4.18</v>
      </c>
      <c r="G945" s="111">
        <v>41293</v>
      </c>
      <c r="H945" s="112">
        <v>385.37</v>
      </c>
      <c r="I945" s="114">
        <f t="shared" si="14"/>
        <v>-1.5545249630800617E-3</v>
      </c>
    </row>
    <row r="946" spans="1:9" ht="16">
      <c r="A946" s="106">
        <v>41299</v>
      </c>
      <c r="B946" s="107">
        <v>4.18</v>
      </c>
      <c r="G946" s="111">
        <v>41296</v>
      </c>
      <c r="H946" s="112">
        <v>389.21</v>
      </c>
      <c r="I946" s="114">
        <f t="shared" si="14"/>
        <v>9.9644497495912088E-3</v>
      </c>
    </row>
    <row r="947" spans="1:9" ht="16">
      <c r="A947" s="106">
        <v>41300</v>
      </c>
      <c r="B947" s="107">
        <v>4.16</v>
      </c>
      <c r="G947" s="111">
        <v>41297</v>
      </c>
      <c r="H947" s="112">
        <v>392.42</v>
      </c>
      <c r="I947" s="114">
        <f t="shared" si="14"/>
        <v>8.2474756558157392E-3</v>
      </c>
    </row>
    <row r="948" spans="1:9" ht="16">
      <c r="A948" s="106">
        <v>41303</v>
      </c>
      <c r="B948" s="107">
        <v>4.1500000000000004</v>
      </c>
      <c r="G948" s="111">
        <v>41298</v>
      </c>
      <c r="H948" s="112">
        <v>393.76</v>
      </c>
      <c r="I948" s="114">
        <f t="shared" si="14"/>
        <v>3.4147087304419177E-3</v>
      </c>
    </row>
    <row r="949" spans="1:9" ht="16">
      <c r="A949" s="106">
        <v>41304</v>
      </c>
      <c r="B949" s="107">
        <v>4.17</v>
      </c>
      <c r="G949" s="111">
        <v>41299</v>
      </c>
      <c r="H949" s="112">
        <v>394.85</v>
      </c>
      <c r="I949" s="114">
        <f t="shared" si="14"/>
        <v>2.7681836651769487E-3</v>
      </c>
    </row>
    <row r="950" spans="1:9" ht="16">
      <c r="A950" s="106">
        <v>41305</v>
      </c>
      <c r="B950" s="107">
        <v>4.16</v>
      </c>
      <c r="G950" s="111">
        <v>41300</v>
      </c>
      <c r="H950" s="112">
        <v>394.74</v>
      </c>
      <c r="I950" s="114">
        <f t="shared" si="14"/>
        <v>-2.7858680511594347E-4</v>
      </c>
    </row>
    <row r="951" spans="1:9" ht="16">
      <c r="A951" s="106">
        <v>41306</v>
      </c>
      <c r="B951" s="107">
        <v>4.1399999999999997</v>
      </c>
      <c r="G951" s="111">
        <v>41303</v>
      </c>
      <c r="H951" s="112">
        <v>393.46</v>
      </c>
      <c r="I951" s="114">
        <f t="shared" si="14"/>
        <v>-3.242640725540924E-3</v>
      </c>
    </row>
    <row r="952" spans="1:9" ht="16">
      <c r="A952" s="106">
        <v>41307</v>
      </c>
      <c r="B952" s="107">
        <v>4.13</v>
      </c>
      <c r="G952" s="111">
        <v>41304</v>
      </c>
      <c r="H952" s="112">
        <v>392.62</v>
      </c>
      <c r="I952" s="114">
        <f t="shared" si="14"/>
        <v>-2.1349057083311918E-3</v>
      </c>
    </row>
    <row r="953" spans="1:9" ht="16">
      <c r="A953" s="106">
        <v>41310</v>
      </c>
      <c r="B953" s="107">
        <v>4.0999999999999996</v>
      </c>
      <c r="G953" s="111">
        <v>41305</v>
      </c>
      <c r="H953" s="112">
        <v>394.23</v>
      </c>
      <c r="I953" s="114">
        <f t="shared" si="14"/>
        <v>4.1006571239365908E-3</v>
      </c>
    </row>
    <row r="954" spans="1:9" ht="16">
      <c r="A954" s="106">
        <v>41311</v>
      </c>
      <c r="B954" s="107">
        <v>4.09</v>
      </c>
      <c r="G954" s="111">
        <v>41306</v>
      </c>
      <c r="H954" s="112">
        <v>395.33</v>
      </c>
      <c r="I954" s="114">
        <f t="shared" si="14"/>
        <v>2.7902493468279221E-3</v>
      </c>
    </row>
    <row r="955" spans="1:9" ht="16">
      <c r="A955" s="106">
        <v>41312</v>
      </c>
      <c r="B955" s="107">
        <v>4.08</v>
      </c>
      <c r="G955" s="111">
        <v>41307</v>
      </c>
      <c r="H955" s="112">
        <v>397.28</v>
      </c>
      <c r="I955" s="114">
        <f t="shared" si="14"/>
        <v>4.9325879644852577E-3</v>
      </c>
    </row>
    <row r="956" spans="1:9" ht="16">
      <c r="A956" s="106">
        <v>41313</v>
      </c>
      <c r="B956" s="107">
        <v>4.07</v>
      </c>
      <c r="G956" s="111">
        <v>41310</v>
      </c>
      <c r="H956" s="112">
        <v>398.59</v>
      </c>
      <c r="I956" s="114">
        <f t="shared" si="14"/>
        <v>3.2974224728150592E-3</v>
      </c>
    </row>
    <row r="957" spans="1:9" ht="16">
      <c r="A957" s="106">
        <v>41314</v>
      </c>
      <c r="B957" s="107">
        <v>4.07</v>
      </c>
      <c r="G957" s="111">
        <v>41311</v>
      </c>
      <c r="H957" s="112">
        <v>397.78</v>
      </c>
      <c r="I957" s="114">
        <f t="shared" si="14"/>
        <v>-2.0321633759000646E-3</v>
      </c>
    </row>
    <row r="958" spans="1:9" ht="16">
      <c r="A958" s="106">
        <v>41317</v>
      </c>
      <c r="B958" s="107">
        <v>4.07</v>
      </c>
      <c r="G958" s="111">
        <v>41312</v>
      </c>
      <c r="H958" s="112">
        <v>399.34</v>
      </c>
      <c r="I958" s="114">
        <f t="shared" si="14"/>
        <v>3.9217658001911015E-3</v>
      </c>
    </row>
    <row r="959" spans="1:9" ht="16">
      <c r="A959" s="106">
        <v>41318</v>
      </c>
      <c r="B959" s="107">
        <v>4.0599999999999996</v>
      </c>
      <c r="G959" s="111">
        <v>41313</v>
      </c>
      <c r="H959" s="112">
        <v>401.32</v>
      </c>
      <c r="I959" s="114">
        <f t="shared" si="14"/>
        <v>4.9581809986478653E-3</v>
      </c>
    </row>
    <row r="960" spans="1:9" ht="16">
      <c r="A960" s="106">
        <v>41319</v>
      </c>
      <c r="B960" s="107">
        <v>4.08</v>
      </c>
      <c r="G960" s="111">
        <v>41314</v>
      </c>
      <c r="H960" s="112">
        <v>403.47</v>
      </c>
      <c r="I960" s="114">
        <f t="shared" si="14"/>
        <v>5.3573208412240891E-3</v>
      </c>
    </row>
    <row r="961" spans="1:9" ht="16">
      <c r="A961" s="106">
        <v>41320</v>
      </c>
      <c r="B961" s="107">
        <v>4.07</v>
      </c>
      <c r="G961" s="111">
        <v>41317</v>
      </c>
      <c r="H961" s="112">
        <v>406.13</v>
      </c>
      <c r="I961" s="114">
        <f t="shared" si="14"/>
        <v>6.5928073958410049E-3</v>
      </c>
    </row>
    <row r="962" spans="1:9" ht="16">
      <c r="A962" s="106">
        <v>41321</v>
      </c>
      <c r="B962" s="107">
        <v>4.0599999999999996</v>
      </c>
      <c r="G962" s="111">
        <v>41318</v>
      </c>
      <c r="H962" s="112">
        <v>405.14</v>
      </c>
      <c r="I962" s="114">
        <f t="shared" si="14"/>
        <v>-2.4376431191983627E-3</v>
      </c>
    </row>
    <row r="963" spans="1:9" ht="16">
      <c r="A963" s="106">
        <v>41324</v>
      </c>
      <c r="B963" s="107">
        <v>4.0599999999999996</v>
      </c>
      <c r="G963" s="111">
        <v>41319</v>
      </c>
      <c r="H963" s="112">
        <v>408.59</v>
      </c>
      <c r="I963" s="114">
        <f t="shared" si="14"/>
        <v>8.5155748630103556E-3</v>
      </c>
    </row>
    <row r="964" spans="1:9" ht="16">
      <c r="A964" s="106">
        <v>41325</v>
      </c>
      <c r="B964" s="107">
        <v>4.04</v>
      </c>
      <c r="G964" s="111">
        <v>41320</v>
      </c>
      <c r="H964" s="112">
        <v>410.31</v>
      </c>
      <c r="I964" s="114">
        <f t="shared" si="14"/>
        <v>4.2095988643873206E-3</v>
      </c>
    </row>
    <row r="965" spans="1:9" ht="16">
      <c r="A965" s="106">
        <v>41326</v>
      </c>
      <c r="B965" s="107">
        <v>4.0199999999999996</v>
      </c>
      <c r="G965" s="111">
        <v>41321</v>
      </c>
      <c r="H965" s="112">
        <v>407.75</v>
      </c>
      <c r="I965" s="114">
        <f t="shared" si="14"/>
        <v>-6.2391850064585919E-3</v>
      </c>
    </row>
    <row r="966" spans="1:9" ht="16">
      <c r="A966" s="106">
        <v>41327</v>
      </c>
      <c r="B966" s="107">
        <v>3.99</v>
      </c>
      <c r="G966" s="111">
        <v>41324</v>
      </c>
      <c r="H966" s="112">
        <v>409.83</v>
      </c>
      <c r="I966" s="114">
        <f t="shared" si="14"/>
        <v>5.1011649294909756E-3</v>
      </c>
    </row>
    <row r="967" spans="1:9" ht="16">
      <c r="A967" s="106">
        <v>41328</v>
      </c>
      <c r="B967" s="107">
        <v>3.98</v>
      </c>
      <c r="G967" s="111">
        <v>41325</v>
      </c>
      <c r="H967" s="112">
        <v>410.22</v>
      </c>
      <c r="I967" s="114">
        <f t="shared" si="14"/>
        <v>9.5161408388855229E-4</v>
      </c>
    </row>
    <row r="968" spans="1:9" ht="16">
      <c r="A968" s="106">
        <v>41331</v>
      </c>
      <c r="B968" s="107">
        <v>3.98</v>
      </c>
      <c r="G968" s="111">
        <v>41326</v>
      </c>
      <c r="H968" s="112">
        <v>412.36</v>
      </c>
      <c r="I968" s="114">
        <f t="shared" si="14"/>
        <v>5.2167129832771941E-3</v>
      </c>
    </row>
    <row r="969" spans="1:9" ht="16">
      <c r="A969" s="106">
        <v>41332</v>
      </c>
      <c r="B969" s="107">
        <v>4.01</v>
      </c>
      <c r="G969" s="111">
        <v>41327</v>
      </c>
      <c r="H969" s="112">
        <v>412.82</v>
      </c>
      <c r="I969" s="114">
        <f t="shared" si="14"/>
        <v>1.1155301193130907E-3</v>
      </c>
    </row>
    <row r="970" spans="1:9" ht="16">
      <c r="A970" s="106">
        <v>41333</v>
      </c>
      <c r="B970" s="107">
        <v>4.0599999999999996</v>
      </c>
      <c r="G970" s="111">
        <v>41328</v>
      </c>
      <c r="H970" s="112">
        <v>409.17</v>
      </c>
      <c r="I970" s="114">
        <f t="shared" si="14"/>
        <v>-8.8416258902184186E-3</v>
      </c>
    </row>
    <row r="971" spans="1:9" ht="16">
      <c r="A971" s="106">
        <v>41334</v>
      </c>
      <c r="B971" s="107">
        <v>4.09</v>
      </c>
      <c r="G971" s="111">
        <v>41331</v>
      </c>
      <c r="H971" s="112">
        <v>408.27</v>
      </c>
      <c r="I971" s="114">
        <f t="shared" si="14"/>
        <v>-2.1995747488819939E-3</v>
      </c>
    </row>
    <row r="972" spans="1:9" ht="16">
      <c r="A972" s="106">
        <v>41335</v>
      </c>
      <c r="B972" s="107">
        <v>4.09</v>
      </c>
      <c r="G972" s="111">
        <v>41332</v>
      </c>
      <c r="H972" s="112">
        <v>406.21</v>
      </c>
      <c r="I972" s="114">
        <f t="shared" si="14"/>
        <v>-5.0456805545350258E-3</v>
      </c>
    </row>
    <row r="973" spans="1:9" ht="16">
      <c r="A973" s="106">
        <v>41338</v>
      </c>
      <c r="B973" s="107">
        <v>4.08</v>
      </c>
      <c r="G973" s="111">
        <v>41333</v>
      </c>
      <c r="H973" s="112">
        <v>407.31</v>
      </c>
      <c r="I973" s="114">
        <f t="shared" si="14"/>
        <v>2.7079589374954249E-3</v>
      </c>
    </row>
    <row r="974" spans="1:9" ht="16">
      <c r="A974" s="106">
        <v>41339</v>
      </c>
      <c r="B974" s="107">
        <v>4.09</v>
      </c>
      <c r="G974" s="111">
        <v>41334</v>
      </c>
      <c r="H974" s="112">
        <v>406.01</v>
      </c>
      <c r="I974" s="114">
        <f t="shared" si="14"/>
        <v>-3.1916721907147005E-3</v>
      </c>
    </row>
    <row r="975" spans="1:9" ht="16">
      <c r="A975" s="106">
        <v>41340</v>
      </c>
      <c r="B975" s="107">
        <v>4.1399999999999997</v>
      </c>
      <c r="G975" s="111">
        <v>41335</v>
      </c>
      <c r="H975" s="112">
        <v>405.05</v>
      </c>
      <c r="I975" s="114">
        <f t="shared" ref="I975:I1038" si="15">H975/H974-1</f>
        <v>-2.3644737814338956E-3</v>
      </c>
    </row>
    <row r="976" spans="1:9" ht="16">
      <c r="A976" s="106">
        <v>41341</v>
      </c>
      <c r="B976" s="107">
        <v>4.21</v>
      </c>
      <c r="G976" s="111">
        <v>41338</v>
      </c>
      <c r="H976" s="112">
        <v>406.68</v>
      </c>
      <c r="I976" s="114">
        <f t="shared" si="15"/>
        <v>4.0241945438834748E-3</v>
      </c>
    </row>
    <row r="977" spans="1:9" ht="16">
      <c r="A977" s="106">
        <v>41342</v>
      </c>
      <c r="B977" s="107">
        <v>4.2</v>
      </c>
      <c r="G977" s="111">
        <v>41339</v>
      </c>
      <c r="H977" s="112">
        <v>406.88</v>
      </c>
      <c r="I977" s="114">
        <f t="shared" si="15"/>
        <v>4.917871545195851E-4</v>
      </c>
    </row>
    <row r="978" spans="1:9" ht="16">
      <c r="A978" s="106">
        <v>41345</v>
      </c>
      <c r="B978" s="107">
        <v>4.2</v>
      </c>
      <c r="G978" s="111">
        <v>41340</v>
      </c>
      <c r="H978" s="112">
        <v>405.82</v>
      </c>
      <c r="I978" s="114">
        <f t="shared" si="15"/>
        <v>-2.6051907196225077E-3</v>
      </c>
    </row>
    <row r="979" spans="1:9" ht="16">
      <c r="A979" s="106">
        <v>41346</v>
      </c>
      <c r="B979" s="107">
        <v>4.2300000000000004</v>
      </c>
      <c r="G979" s="111">
        <v>41341</v>
      </c>
      <c r="H979" s="112">
        <v>401.15</v>
      </c>
      <c r="I979" s="114">
        <f t="shared" si="15"/>
        <v>-1.1507564930264724E-2</v>
      </c>
    </row>
    <row r="980" spans="1:9" ht="16">
      <c r="A980" s="106">
        <v>41347</v>
      </c>
      <c r="B980" s="107">
        <v>4.2</v>
      </c>
      <c r="G980" s="111">
        <v>41342</v>
      </c>
      <c r="H980" s="112">
        <v>402.24</v>
      </c>
      <c r="I980" s="114">
        <f t="shared" si="15"/>
        <v>2.7171880842578044E-3</v>
      </c>
    </row>
    <row r="981" spans="1:9" ht="16">
      <c r="A981" s="106">
        <v>41348</v>
      </c>
      <c r="B981" s="107">
        <v>4.1399999999999997</v>
      </c>
      <c r="G981" s="111">
        <v>41345</v>
      </c>
      <c r="H981" s="112">
        <v>406.5</v>
      </c>
      <c r="I981" s="114">
        <f t="shared" si="15"/>
        <v>1.0590692124105017E-2</v>
      </c>
    </row>
    <row r="982" spans="1:9" ht="16">
      <c r="A982" s="106">
        <v>41349</v>
      </c>
      <c r="B982" s="107">
        <v>4.13</v>
      </c>
      <c r="G982" s="111">
        <v>41346</v>
      </c>
      <c r="H982" s="112">
        <v>407.14</v>
      </c>
      <c r="I982" s="114">
        <f t="shared" si="15"/>
        <v>1.5744157441575091E-3</v>
      </c>
    </row>
    <row r="983" spans="1:9" ht="16">
      <c r="A983" s="106">
        <v>41352</v>
      </c>
      <c r="B983" s="107">
        <v>4.12</v>
      </c>
      <c r="G983" s="111">
        <v>41347</v>
      </c>
      <c r="H983" s="112">
        <v>408.79</v>
      </c>
      <c r="I983" s="114">
        <f t="shared" si="15"/>
        <v>4.0526600186667761E-3</v>
      </c>
    </row>
    <row r="984" spans="1:9" ht="16">
      <c r="A984" s="106">
        <v>41353</v>
      </c>
      <c r="B984" s="107">
        <v>4.0999999999999996</v>
      </c>
      <c r="G984" s="111">
        <v>41348</v>
      </c>
      <c r="H984" s="112">
        <v>417.01</v>
      </c>
      <c r="I984" s="114">
        <f t="shared" si="15"/>
        <v>2.0108123975635328E-2</v>
      </c>
    </row>
    <row r="985" spans="1:9" ht="16">
      <c r="A985" s="106">
        <v>41354</v>
      </c>
      <c r="B985" s="107">
        <v>4.08</v>
      </c>
      <c r="G985" s="111">
        <v>41349</v>
      </c>
      <c r="H985" s="112">
        <v>417.65</v>
      </c>
      <c r="I985" s="114">
        <f t="shared" si="15"/>
        <v>1.5347353780483797E-3</v>
      </c>
    </row>
    <row r="986" spans="1:9" ht="16">
      <c r="A986" s="106">
        <v>41355</v>
      </c>
      <c r="B986" s="107">
        <v>4.12</v>
      </c>
      <c r="G986" s="111">
        <v>41352</v>
      </c>
      <c r="H986" s="112">
        <v>420.24</v>
      </c>
      <c r="I986" s="114">
        <f t="shared" si="15"/>
        <v>6.2013647791212545E-3</v>
      </c>
    </row>
    <row r="987" spans="1:9" ht="16">
      <c r="A987" s="106">
        <v>41356</v>
      </c>
      <c r="B987" s="107">
        <v>4.1100000000000003</v>
      </c>
      <c r="G987" s="111">
        <v>41353</v>
      </c>
      <c r="H987" s="112">
        <v>419.66</v>
      </c>
      <c r="I987" s="114">
        <f t="shared" si="15"/>
        <v>-1.3801637159718272E-3</v>
      </c>
    </row>
    <row r="988" spans="1:9" ht="16">
      <c r="A988" s="106">
        <v>41359</v>
      </c>
      <c r="B988" s="107">
        <v>4.08</v>
      </c>
      <c r="G988" s="111">
        <v>41354</v>
      </c>
      <c r="H988" s="112">
        <v>417.3</v>
      </c>
      <c r="I988" s="114">
        <f t="shared" si="15"/>
        <v>-5.6236000571892042E-3</v>
      </c>
    </row>
    <row r="989" spans="1:9" ht="16">
      <c r="A989" s="106">
        <v>41360</v>
      </c>
      <c r="B989" s="107">
        <v>4.08</v>
      </c>
      <c r="G989" s="111">
        <v>41355</v>
      </c>
      <c r="H989" s="112">
        <v>418.06</v>
      </c>
      <c r="I989" s="114">
        <f t="shared" si="15"/>
        <v>1.8212317277737089E-3</v>
      </c>
    </row>
    <row r="990" spans="1:9" ht="16">
      <c r="A990" s="106">
        <v>41361</v>
      </c>
      <c r="B990" s="107">
        <v>4.08</v>
      </c>
      <c r="G990" s="111">
        <v>41356</v>
      </c>
      <c r="H990" s="112">
        <v>418.91</v>
      </c>
      <c r="I990" s="114">
        <f t="shared" si="15"/>
        <v>2.0332009759365111E-3</v>
      </c>
    </row>
    <row r="991" spans="1:9" ht="16">
      <c r="A991" s="106">
        <v>41362</v>
      </c>
      <c r="B991" s="107">
        <v>4.07</v>
      </c>
      <c r="G991" s="111">
        <v>41359</v>
      </c>
      <c r="H991" s="112">
        <v>416.9</v>
      </c>
      <c r="I991" s="114">
        <f t="shared" si="15"/>
        <v>-4.7981666706453652E-3</v>
      </c>
    </row>
    <row r="992" spans="1:9" ht="16">
      <c r="A992" s="106">
        <v>41363</v>
      </c>
      <c r="B992" s="107">
        <v>4.12</v>
      </c>
      <c r="G992" s="111">
        <v>41360</v>
      </c>
      <c r="H992" s="112">
        <v>418.9</v>
      </c>
      <c r="I992" s="114">
        <f t="shared" si="15"/>
        <v>4.7973135044374615E-3</v>
      </c>
    </row>
    <row r="993" spans="1:9" ht="16">
      <c r="A993" s="106">
        <v>41366</v>
      </c>
      <c r="B993" s="107">
        <v>4.0999999999999996</v>
      </c>
      <c r="G993" s="111">
        <v>41361</v>
      </c>
      <c r="H993" s="112">
        <v>419.66</v>
      </c>
      <c r="I993" s="114">
        <f t="shared" si="15"/>
        <v>1.8142754834089558E-3</v>
      </c>
    </row>
    <row r="994" spans="1:9" ht="16">
      <c r="A994" s="106">
        <v>41367</v>
      </c>
      <c r="B994" s="107">
        <v>4.08</v>
      </c>
      <c r="G994" s="111">
        <v>41362</v>
      </c>
      <c r="H994" s="112">
        <v>419.17</v>
      </c>
      <c r="I994" s="114">
        <f t="shared" si="15"/>
        <v>-1.167611876280783E-3</v>
      </c>
    </row>
    <row r="995" spans="1:9" ht="16">
      <c r="A995" s="106">
        <v>41368</v>
      </c>
      <c r="B995" s="107">
        <v>4.08</v>
      </c>
      <c r="G995" s="111">
        <v>41363</v>
      </c>
      <c r="H995" s="112">
        <v>414.91</v>
      </c>
      <c r="I995" s="114">
        <f t="shared" si="15"/>
        <v>-1.0162941050170571E-2</v>
      </c>
    </row>
    <row r="996" spans="1:9" ht="16">
      <c r="A996" s="106">
        <v>41369</v>
      </c>
      <c r="B996" s="107">
        <v>4.07</v>
      </c>
      <c r="G996" s="111">
        <v>41366</v>
      </c>
      <c r="H996" s="112">
        <v>417.74</v>
      </c>
      <c r="I996" s="114">
        <f t="shared" si="15"/>
        <v>6.8207563085969092E-3</v>
      </c>
    </row>
    <row r="997" spans="1:9" ht="16">
      <c r="A997" s="106">
        <v>41370</v>
      </c>
      <c r="B997" s="107">
        <v>4.07</v>
      </c>
      <c r="G997" s="111">
        <v>41367</v>
      </c>
      <c r="H997" s="112">
        <v>418.34</v>
      </c>
      <c r="I997" s="114">
        <f t="shared" si="15"/>
        <v>1.4363000909656254E-3</v>
      </c>
    </row>
    <row r="998" spans="1:9" ht="16">
      <c r="A998" s="106">
        <v>41373</v>
      </c>
      <c r="B998" s="107">
        <v>4.08</v>
      </c>
      <c r="G998" s="111">
        <v>41368</v>
      </c>
      <c r="H998" s="112">
        <v>420.56</v>
      </c>
      <c r="I998" s="114">
        <f t="shared" si="15"/>
        <v>5.3066883396282183E-3</v>
      </c>
    </row>
    <row r="999" spans="1:9" ht="16">
      <c r="A999" s="106">
        <v>41374</v>
      </c>
      <c r="B999" s="107">
        <v>4.0599999999999996</v>
      </c>
      <c r="G999" s="111">
        <v>41369</v>
      </c>
      <c r="H999" s="112">
        <v>418.78</v>
      </c>
      <c r="I999" s="114">
        <f t="shared" si="15"/>
        <v>-4.2324519688036188E-3</v>
      </c>
    </row>
    <row r="1000" spans="1:9" ht="16">
      <c r="A1000" s="106">
        <v>41375</v>
      </c>
      <c r="B1000" s="107">
        <v>4.05</v>
      </c>
      <c r="G1000" s="111">
        <v>41370</v>
      </c>
      <c r="H1000" s="112">
        <v>418.22</v>
      </c>
      <c r="I1000" s="114">
        <f t="shared" si="15"/>
        <v>-1.3372176321695406E-3</v>
      </c>
    </row>
    <row r="1001" spans="1:9" ht="16">
      <c r="A1001" s="106">
        <v>41376</v>
      </c>
      <c r="B1001" s="107">
        <v>4.0199999999999996</v>
      </c>
      <c r="G1001" s="111">
        <v>41373</v>
      </c>
      <c r="H1001" s="112">
        <v>417.34</v>
      </c>
      <c r="I1001" s="114">
        <f t="shared" si="15"/>
        <v>-2.104155707522537E-3</v>
      </c>
    </row>
    <row r="1002" spans="1:9" ht="16">
      <c r="A1002" s="106">
        <v>41380</v>
      </c>
      <c r="B1002" s="107">
        <v>4</v>
      </c>
      <c r="G1002" s="111">
        <v>41374</v>
      </c>
      <c r="H1002" s="112">
        <v>416.43</v>
      </c>
      <c r="I1002" s="114">
        <f t="shared" si="15"/>
        <v>-2.180476350218008E-3</v>
      </c>
    </row>
    <row r="1003" spans="1:9" ht="16">
      <c r="A1003" s="106">
        <v>41381</v>
      </c>
      <c r="B1003" s="107">
        <v>4</v>
      </c>
      <c r="G1003" s="111">
        <v>41375</v>
      </c>
      <c r="H1003" s="112">
        <v>417.61</v>
      </c>
      <c r="I1003" s="114">
        <f t="shared" si="15"/>
        <v>2.833609490190403E-3</v>
      </c>
    </row>
    <row r="1004" spans="1:9" ht="16">
      <c r="A1004" s="106">
        <v>41382</v>
      </c>
      <c r="B1004" s="107">
        <v>4.01</v>
      </c>
      <c r="G1004" s="111">
        <v>41376</v>
      </c>
      <c r="H1004" s="112">
        <v>418.63</v>
      </c>
      <c r="I1004" s="114">
        <f t="shared" si="15"/>
        <v>2.4424702473599957E-3</v>
      </c>
    </row>
    <row r="1005" spans="1:9" ht="16">
      <c r="A1005" s="106">
        <v>41383</v>
      </c>
      <c r="B1005" s="107">
        <v>4.0199999999999996</v>
      </c>
      <c r="G1005" s="111">
        <v>41377</v>
      </c>
      <c r="H1005" s="112">
        <v>417.68</v>
      </c>
      <c r="I1005" s="114">
        <f t="shared" si="15"/>
        <v>-2.2693070252968184E-3</v>
      </c>
    </row>
    <row r="1006" spans="1:9" ht="16">
      <c r="A1006" s="106">
        <v>41384</v>
      </c>
      <c r="B1006" s="107">
        <v>4</v>
      </c>
      <c r="G1006" s="111">
        <v>41380</v>
      </c>
      <c r="H1006" s="112">
        <v>419.06</v>
      </c>
      <c r="I1006" s="114">
        <f t="shared" si="15"/>
        <v>3.3039647577093323E-3</v>
      </c>
    </row>
    <row r="1007" spans="1:9" ht="16">
      <c r="A1007" s="106">
        <v>41387</v>
      </c>
      <c r="B1007" s="107">
        <v>4.01</v>
      </c>
      <c r="G1007" s="111">
        <v>41381</v>
      </c>
      <c r="H1007" s="112">
        <v>416.88</v>
      </c>
      <c r="I1007" s="114">
        <f t="shared" si="15"/>
        <v>-5.2021190283014773E-3</v>
      </c>
    </row>
    <row r="1008" spans="1:9" ht="16">
      <c r="A1008" s="106">
        <v>41388</v>
      </c>
      <c r="B1008" s="107">
        <v>4.01</v>
      </c>
      <c r="G1008" s="111">
        <v>41382</v>
      </c>
      <c r="H1008" s="112">
        <v>415</v>
      </c>
      <c r="I1008" s="114">
        <f t="shared" si="15"/>
        <v>-4.5096910381884348E-3</v>
      </c>
    </row>
    <row r="1009" spans="1:9" ht="16">
      <c r="A1009" s="106">
        <v>41389</v>
      </c>
      <c r="B1009" s="107">
        <v>4.0199999999999996</v>
      </c>
      <c r="G1009" s="111">
        <v>41383</v>
      </c>
      <c r="H1009" s="112">
        <v>417.18</v>
      </c>
      <c r="I1009" s="114">
        <f t="shared" si="15"/>
        <v>5.25301204819284E-3</v>
      </c>
    </row>
    <row r="1010" spans="1:9" ht="16">
      <c r="A1010" s="106">
        <v>41390</v>
      </c>
      <c r="B1010" s="107">
        <v>4.01</v>
      </c>
      <c r="G1010" s="111">
        <v>41384</v>
      </c>
      <c r="H1010" s="112">
        <v>417.93</v>
      </c>
      <c r="I1010" s="114">
        <f t="shared" si="15"/>
        <v>1.7977851287214186E-3</v>
      </c>
    </row>
    <row r="1011" spans="1:9" ht="16">
      <c r="A1011" s="106">
        <v>41391</v>
      </c>
      <c r="B1011" s="107">
        <v>4</v>
      </c>
      <c r="G1011" s="111">
        <v>41387</v>
      </c>
      <c r="H1011" s="112">
        <v>421.66</v>
      </c>
      <c r="I1011" s="114">
        <f t="shared" si="15"/>
        <v>8.9249395831838552E-3</v>
      </c>
    </row>
    <row r="1012" spans="1:9" ht="16">
      <c r="A1012" s="106">
        <v>41393</v>
      </c>
      <c r="B1012" s="107">
        <v>4</v>
      </c>
      <c r="G1012" s="111">
        <v>41388</v>
      </c>
      <c r="H1012" s="112">
        <v>425.89</v>
      </c>
      <c r="I1012" s="114">
        <f t="shared" si="15"/>
        <v>1.003177915856357E-2</v>
      </c>
    </row>
    <row r="1013" spans="1:9" ht="16">
      <c r="A1013" s="106">
        <v>41394</v>
      </c>
      <c r="B1013" s="107">
        <v>4.01</v>
      </c>
      <c r="G1013" s="111">
        <v>41389</v>
      </c>
      <c r="H1013" s="112">
        <v>425.59</v>
      </c>
      <c r="I1013" s="114">
        <f t="shared" si="15"/>
        <v>-7.0440724130649279E-4</v>
      </c>
    </row>
    <row r="1014" spans="1:9" ht="16">
      <c r="A1014" s="106">
        <v>41395</v>
      </c>
      <c r="B1014" s="107">
        <v>4</v>
      </c>
      <c r="G1014" s="111">
        <v>41390</v>
      </c>
      <c r="H1014" s="112">
        <v>424.47</v>
      </c>
      <c r="I1014" s="114">
        <f t="shared" si="15"/>
        <v>-2.6316407810332842E-3</v>
      </c>
    </row>
    <row r="1015" spans="1:9" ht="16">
      <c r="A1015" s="106">
        <v>41396</v>
      </c>
      <c r="B1015" s="107">
        <v>3.99</v>
      </c>
      <c r="G1015" s="111">
        <v>41391</v>
      </c>
      <c r="H1015" s="112">
        <v>424.31</v>
      </c>
      <c r="I1015" s="114">
        <f t="shared" si="15"/>
        <v>-3.7694065540561095E-4</v>
      </c>
    </row>
    <row r="1016" spans="1:9" ht="16">
      <c r="A1016" s="106">
        <v>41397</v>
      </c>
      <c r="B1016" s="107">
        <v>4.01</v>
      </c>
      <c r="G1016" s="111">
        <v>41394</v>
      </c>
      <c r="H1016" s="112">
        <v>425.12</v>
      </c>
      <c r="I1016" s="114">
        <f t="shared" si="15"/>
        <v>1.9089816407815707E-3</v>
      </c>
    </row>
    <row r="1017" spans="1:9" ht="16">
      <c r="A1017" s="106">
        <v>41398</v>
      </c>
      <c r="B1017" s="107">
        <v>4.03</v>
      </c>
      <c r="G1017" s="111">
        <v>41395</v>
      </c>
      <c r="H1017" s="112">
        <v>428.02</v>
      </c>
      <c r="I1017" s="114">
        <f t="shared" si="15"/>
        <v>6.821603312005875E-3</v>
      </c>
    </row>
    <row r="1018" spans="1:9" ht="16">
      <c r="A1018" s="106">
        <v>41401</v>
      </c>
      <c r="B1018" s="107">
        <v>4.0199999999999996</v>
      </c>
      <c r="G1018" s="111">
        <v>41396</v>
      </c>
      <c r="H1018" s="112">
        <v>426.83</v>
      </c>
      <c r="I1018" s="114">
        <f t="shared" si="15"/>
        <v>-2.7802439138358004E-3</v>
      </c>
    </row>
    <row r="1019" spans="1:9" ht="16">
      <c r="A1019" s="106">
        <v>41402</v>
      </c>
      <c r="B1019" s="107">
        <v>4.03</v>
      </c>
      <c r="G1019" s="111">
        <v>41397</v>
      </c>
      <c r="H1019" s="112">
        <v>423.82</v>
      </c>
      <c r="I1019" s="114">
        <f t="shared" si="15"/>
        <v>-7.0519879108777994E-3</v>
      </c>
    </row>
    <row r="1020" spans="1:9" ht="16">
      <c r="A1020" s="106">
        <v>41403</v>
      </c>
      <c r="B1020" s="107">
        <v>4.0199999999999996</v>
      </c>
      <c r="G1020" s="111">
        <v>41398</v>
      </c>
      <c r="H1020" s="112">
        <v>422.72</v>
      </c>
      <c r="I1020" s="114">
        <f t="shared" si="15"/>
        <v>-2.5954414609975496E-3</v>
      </c>
    </row>
    <row r="1021" spans="1:9" ht="16">
      <c r="A1021" s="106">
        <v>41404</v>
      </c>
      <c r="B1021" s="107">
        <v>4.01</v>
      </c>
      <c r="G1021" s="111">
        <v>41401</v>
      </c>
      <c r="H1021" s="112">
        <v>424</v>
      </c>
      <c r="I1021" s="114">
        <f t="shared" si="15"/>
        <v>3.0280090840271168E-3</v>
      </c>
    </row>
    <row r="1022" spans="1:9" ht="16">
      <c r="A1022" s="106">
        <v>41405</v>
      </c>
      <c r="B1022" s="107">
        <v>3.98</v>
      </c>
      <c r="G1022" s="111">
        <v>41402</v>
      </c>
      <c r="H1022" s="112">
        <v>426.12</v>
      </c>
      <c r="I1022" s="114">
        <f t="shared" si="15"/>
        <v>5.0000000000001155E-3</v>
      </c>
    </row>
    <row r="1023" spans="1:9" ht="16">
      <c r="A1023" s="106">
        <v>41408</v>
      </c>
      <c r="B1023" s="107">
        <v>3.94</v>
      </c>
      <c r="G1023" s="111">
        <v>41403</v>
      </c>
      <c r="H1023" s="112">
        <v>429.34</v>
      </c>
      <c r="I1023" s="114">
        <f t="shared" si="15"/>
        <v>7.5565568384492465E-3</v>
      </c>
    </row>
    <row r="1024" spans="1:9" ht="16">
      <c r="A1024" s="106">
        <v>41409</v>
      </c>
      <c r="B1024" s="107">
        <v>3.93</v>
      </c>
      <c r="G1024" s="111">
        <v>41404</v>
      </c>
      <c r="H1024" s="112">
        <v>430.4</v>
      </c>
      <c r="I1024" s="114">
        <f t="shared" si="15"/>
        <v>2.4689057623328292E-3</v>
      </c>
    </row>
    <row r="1025" spans="1:9" ht="16">
      <c r="A1025" s="106">
        <v>41410</v>
      </c>
      <c r="B1025" s="107">
        <v>3.91</v>
      </c>
      <c r="G1025" s="111">
        <v>41405</v>
      </c>
      <c r="H1025" s="112">
        <v>431.54</v>
      </c>
      <c r="I1025" s="114">
        <f t="shared" si="15"/>
        <v>2.6486988847584936E-3</v>
      </c>
    </row>
    <row r="1026" spans="1:9" ht="16">
      <c r="A1026" s="106">
        <v>41411</v>
      </c>
      <c r="B1026" s="107">
        <v>3.97</v>
      </c>
      <c r="G1026" s="111">
        <v>41408</v>
      </c>
      <c r="H1026" s="112">
        <v>435.13</v>
      </c>
      <c r="I1026" s="114">
        <f t="shared" si="15"/>
        <v>8.3190434258699764E-3</v>
      </c>
    </row>
    <row r="1027" spans="1:9" ht="16">
      <c r="A1027" s="106">
        <v>41412</v>
      </c>
      <c r="B1027" s="107">
        <v>3.95</v>
      </c>
      <c r="G1027" s="111">
        <v>41409</v>
      </c>
      <c r="H1027" s="112">
        <v>436.74</v>
      </c>
      <c r="I1027" s="114">
        <f t="shared" si="15"/>
        <v>3.7000436651115631E-3</v>
      </c>
    </row>
    <row r="1028" spans="1:9" ht="16">
      <c r="A1028" s="106">
        <v>41415</v>
      </c>
      <c r="B1028" s="107">
        <v>3.95</v>
      </c>
      <c r="G1028" s="111">
        <v>41410</v>
      </c>
      <c r="H1028" s="112">
        <v>433.91</v>
      </c>
      <c r="I1028" s="114">
        <f t="shared" si="15"/>
        <v>-6.4798278151760869E-3</v>
      </c>
    </row>
    <row r="1029" spans="1:9" ht="16">
      <c r="A1029" s="106">
        <v>41416</v>
      </c>
      <c r="B1029" s="107">
        <v>3.95</v>
      </c>
      <c r="G1029" s="111">
        <v>41411</v>
      </c>
      <c r="H1029" s="112">
        <v>424.45</v>
      </c>
      <c r="I1029" s="114">
        <f t="shared" si="15"/>
        <v>-2.1801756124542049E-2</v>
      </c>
    </row>
    <row r="1030" spans="1:9" ht="16">
      <c r="A1030" s="106">
        <v>41417</v>
      </c>
      <c r="B1030" s="107">
        <v>3.94</v>
      </c>
      <c r="G1030" s="111">
        <v>41412</v>
      </c>
      <c r="H1030" s="112">
        <v>428.29</v>
      </c>
      <c r="I1030" s="114">
        <f t="shared" si="15"/>
        <v>9.0470020025916753E-3</v>
      </c>
    </row>
    <row r="1031" spans="1:9" ht="16">
      <c r="A1031" s="106">
        <v>41418</v>
      </c>
      <c r="B1031" s="107">
        <v>3.92</v>
      </c>
      <c r="G1031" s="111">
        <v>41415</v>
      </c>
      <c r="H1031" s="112">
        <v>430.49</v>
      </c>
      <c r="I1031" s="114">
        <f t="shared" si="15"/>
        <v>5.1367064372271898E-3</v>
      </c>
    </row>
    <row r="1032" spans="1:9" ht="16">
      <c r="A1032" s="106">
        <v>41419</v>
      </c>
      <c r="B1032" s="107">
        <v>3.91</v>
      </c>
      <c r="G1032" s="111">
        <v>41416</v>
      </c>
      <c r="H1032" s="112">
        <v>430.66</v>
      </c>
      <c r="I1032" s="114">
        <f t="shared" si="15"/>
        <v>3.9489883620991151E-4</v>
      </c>
    </row>
    <row r="1033" spans="1:9" ht="16">
      <c r="A1033" s="106">
        <v>41422</v>
      </c>
      <c r="B1033" s="107">
        <v>3.91</v>
      </c>
      <c r="G1033" s="111">
        <v>41417</v>
      </c>
      <c r="H1033" s="112">
        <v>430.96</v>
      </c>
      <c r="I1033" s="114">
        <f t="shared" si="15"/>
        <v>6.9660521060677105E-4</v>
      </c>
    </row>
    <row r="1034" spans="1:9" ht="16">
      <c r="A1034" s="106">
        <v>41423</v>
      </c>
      <c r="B1034" s="107">
        <v>3.9</v>
      </c>
      <c r="G1034" s="111">
        <v>41418</v>
      </c>
      <c r="H1034" s="112">
        <v>434.24</v>
      </c>
      <c r="I1034" s="114">
        <f t="shared" si="15"/>
        <v>7.6109151661407637E-3</v>
      </c>
    </row>
    <row r="1035" spans="1:9" ht="16">
      <c r="A1035" s="106">
        <v>41424</v>
      </c>
      <c r="B1035" s="107">
        <v>3.95</v>
      </c>
      <c r="G1035" s="111">
        <v>41419</v>
      </c>
      <c r="H1035" s="112">
        <v>435.53</v>
      </c>
      <c r="I1035" s="114">
        <f t="shared" si="15"/>
        <v>2.9707074428886315E-3</v>
      </c>
    </row>
    <row r="1036" spans="1:9" ht="16">
      <c r="A1036" s="106">
        <v>41425</v>
      </c>
      <c r="B1036" s="107">
        <v>3.94</v>
      </c>
      <c r="G1036" s="111">
        <v>41422</v>
      </c>
      <c r="H1036" s="112">
        <v>434.72</v>
      </c>
      <c r="I1036" s="114">
        <f t="shared" si="15"/>
        <v>-1.8598029986451881E-3</v>
      </c>
    </row>
    <row r="1037" spans="1:9" ht="16">
      <c r="A1037" s="106">
        <v>41426</v>
      </c>
      <c r="B1037" s="107">
        <v>3.92</v>
      </c>
      <c r="G1037" s="111">
        <v>41423</v>
      </c>
      <c r="H1037" s="112">
        <v>433.99</v>
      </c>
      <c r="I1037" s="114">
        <f t="shared" si="15"/>
        <v>-1.6792418108207974E-3</v>
      </c>
    </row>
    <row r="1038" spans="1:9" ht="16">
      <c r="A1038" s="106">
        <v>41429</v>
      </c>
      <c r="B1038" s="107">
        <v>3.91</v>
      </c>
      <c r="G1038" s="111">
        <v>41424</v>
      </c>
      <c r="H1038" s="112">
        <v>431.41</v>
      </c>
      <c r="I1038" s="114">
        <f t="shared" si="15"/>
        <v>-5.9448374386505964E-3</v>
      </c>
    </row>
    <row r="1039" spans="1:9" ht="16">
      <c r="A1039" s="106">
        <v>41430</v>
      </c>
      <c r="B1039" s="107">
        <v>3.9</v>
      </c>
      <c r="G1039" s="111">
        <v>41425</v>
      </c>
      <c r="H1039" s="112">
        <v>433.04</v>
      </c>
      <c r="I1039" s="114">
        <f t="shared" ref="I1039:I1102" si="16">H1039/H1038-1</f>
        <v>3.7783083377760374E-3</v>
      </c>
    </row>
    <row r="1040" spans="1:9" ht="16">
      <c r="A1040" s="106">
        <v>41431</v>
      </c>
      <c r="B1040" s="107">
        <v>3.92</v>
      </c>
      <c r="G1040" s="111">
        <v>41426</v>
      </c>
      <c r="H1040" s="112">
        <v>435.39</v>
      </c>
      <c r="I1040" s="114">
        <f t="shared" si="16"/>
        <v>5.4267504156659818E-3</v>
      </c>
    </row>
    <row r="1041" spans="1:9" ht="16">
      <c r="A1041" s="106">
        <v>41432</v>
      </c>
      <c r="B1041" s="107">
        <v>3.94</v>
      </c>
      <c r="G1041" s="111">
        <v>41429</v>
      </c>
      <c r="H1041" s="112">
        <v>436.4</v>
      </c>
      <c r="I1041" s="114">
        <f t="shared" si="16"/>
        <v>2.3197592962631575E-3</v>
      </c>
    </row>
    <row r="1042" spans="1:9" ht="16">
      <c r="A1042" s="106">
        <v>41433</v>
      </c>
      <c r="B1042" s="107">
        <v>3.95</v>
      </c>
      <c r="G1042" s="111">
        <v>41430</v>
      </c>
      <c r="H1042" s="112">
        <v>435.7</v>
      </c>
      <c r="I1042" s="114">
        <f t="shared" si="16"/>
        <v>-1.6040329972502043E-3</v>
      </c>
    </row>
    <row r="1043" spans="1:9" ht="16">
      <c r="A1043" s="106">
        <v>41436</v>
      </c>
      <c r="B1043" s="107">
        <v>3.96</v>
      </c>
      <c r="G1043" s="111">
        <v>41431</v>
      </c>
      <c r="H1043" s="112">
        <v>436.52</v>
      </c>
      <c r="I1043" s="114">
        <f t="shared" si="16"/>
        <v>1.8820289189809269E-3</v>
      </c>
    </row>
    <row r="1044" spans="1:9" ht="16">
      <c r="A1044" s="106">
        <v>41437</v>
      </c>
      <c r="B1044" s="107">
        <v>3.96</v>
      </c>
      <c r="G1044" s="111">
        <v>41432</v>
      </c>
      <c r="H1044" s="112">
        <v>437.85</v>
      </c>
      <c r="I1044" s="114">
        <f t="shared" si="16"/>
        <v>3.0468248877486559E-3</v>
      </c>
    </row>
    <row r="1045" spans="1:9" ht="16">
      <c r="A1045" s="106">
        <v>41438</v>
      </c>
      <c r="B1045" s="107">
        <v>3.94</v>
      </c>
      <c r="G1045" s="111">
        <v>41433</v>
      </c>
      <c r="H1045" s="112">
        <v>436.89</v>
      </c>
      <c r="I1045" s="114">
        <f t="shared" si="16"/>
        <v>-2.1925316889346291E-3</v>
      </c>
    </row>
    <row r="1046" spans="1:9" ht="16">
      <c r="A1046" s="106">
        <v>41439</v>
      </c>
      <c r="B1046" s="107">
        <v>3.95</v>
      </c>
      <c r="G1046" s="111">
        <v>41436</v>
      </c>
      <c r="H1046" s="112">
        <v>433.76</v>
      </c>
      <c r="I1046" s="114">
        <f t="shared" si="16"/>
        <v>-7.164274760237066E-3</v>
      </c>
    </row>
    <row r="1047" spans="1:9" ht="16">
      <c r="A1047" s="106">
        <v>41440</v>
      </c>
      <c r="B1047" s="107">
        <v>3.96</v>
      </c>
      <c r="G1047" s="111">
        <v>41437</v>
      </c>
      <c r="H1047" s="112">
        <v>434.2</v>
      </c>
      <c r="I1047" s="114">
        <f t="shared" si="16"/>
        <v>1.0143858354849655E-3</v>
      </c>
    </row>
    <row r="1048" spans="1:9" ht="16">
      <c r="A1048" s="106">
        <v>41443</v>
      </c>
      <c r="B1048" s="107">
        <v>3.96</v>
      </c>
      <c r="G1048" s="111">
        <v>41438</v>
      </c>
      <c r="H1048" s="112">
        <v>435.54</v>
      </c>
      <c r="I1048" s="114">
        <f t="shared" si="16"/>
        <v>3.0861354214648529E-3</v>
      </c>
    </row>
    <row r="1049" spans="1:9" ht="16">
      <c r="A1049" s="106">
        <v>41444</v>
      </c>
      <c r="B1049" s="107">
        <v>3.99</v>
      </c>
      <c r="G1049" s="111">
        <v>41439</v>
      </c>
      <c r="H1049" s="112">
        <v>431.26</v>
      </c>
      <c r="I1049" s="114">
        <f t="shared" si="16"/>
        <v>-9.8268815723011604E-3</v>
      </c>
    </row>
    <row r="1050" spans="1:9" ht="16">
      <c r="A1050" s="106">
        <v>41445</v>
      </c>
      <c r="B1050" s="107">
        <v>4.01</v>
      </c>
      <c r="G1050" s="111">
        <v>41440</v>
      </c>
      <c r="H1050" s="112">
        <v>431.71</v>
      </c>
      <c r="I1050" s="114">
        <f t="shared" si="16"/>
        <v>1.0434540648331936E-3</v>
      </c>
    </row>
    <row r="1051" spans="1:9" ht="16">
      <c r="A1051" s="106">
        <v>41446</v>
      </c>
      <c r="B1051" s="107">
        <v>4.01</v>
      </c>
      <c r="G1051" s="111">
        <v>41443</v>
      </c>
      <c r="H1051" s="112">
        <v>435.5</v>
      </c>
      <c r="I1051" s="114">
        <f t="shared" si="16"/>
        <v>8.7790414861828037E-3</v>
      </c>
    </row>
    <row r="1052" spans="1:9" ht="16">
      <c r="A1052" s="106">
        <v>41447</v>
      </c>
      <c r="B1052" s="107">
        <v>4</v>
      </c>
      <c r="G1052" s="111">
        <v>41444</v>
      </c>
      <c r="H1052" s="112">
        <v>433.12</v>
      </c>
      <c r="I1052" s="114">
        <f t="shared" si="16"/>
        <v>-5.4649827784155613E-3</v>
      </c>
    </row>
    <row r="1053" spans="1:9" ht="16">
      <c r="A1053" s="106">
        <v>41450</v>
      </c>
      <c r="B1053" s="107">
        <v>3.98</v>
      </c>
      <c r="G1053" s="111">
        <v>41445</v>
      </c>
      <c r="H1053" s="112">
        <v>433.47</v>
      </c>
      <c r="I1053" s="114">
        <f t="shared" si="16"/>
        <v>8.0809013668270424E-4</v>
      </c>
    </row>
    <row r="1054" spans="1:9" ht="16">
      <c r="A1054" s="106">
        <v>41451</v>
      </c>
      <c r="B1054" s="107">
        <v>3.99</v>
      </c>
      <c r="G1054" s="111">
        <v>41446</v>
      </c>
      <c r="H1054" s="112">
        <v>434.17</v>
      </c>
      <c r="I1054" s="114">
        <f t="shared" si="16"/>
        <v>1.6148753085565293E-3</v>
      </c>
    </row>
    <row r="1055" spans="1:9" ht="16">
      <c r="A1055" s="106">
        <v>41452</v>
      </c>
      <c r="B1055" s="107">
        <v>4.01</v>
      </c>
      <c r="G1055" s="111">
        <v>41447</v>
      </c>
      <c r="H1055" s="112">
        <v>435.09</v>
      </c>
      <c r="I1055" s="114">
        <f t="shared" si="16"/>
        <v>2.118985650781946E-3</v>
      </c>
    </row>
    <row r="1056" spans="1:9" ht="16">
      <c r="A1056" s="106">
        <v>41453</v>
      </c>
      <c r="B1056" s="107">
        <v>4.03</v>
      </c>
      <c r="G1056" s="111">
        <v>41450</v>
      </c>
      <c r="H1056" s="112">
        <v>438.64</v>
      </c>
      <c r="I1056" s="114">
        <f t="shared" si="16"/>
        <v>8.159231423383595E-3</v>
      </c>
    </row>
    <row r="1057" spans="1:9" ht="16">
      <c r="A1057" s="106">
        <v>41454</v>
      </c>
      <c r="B1057" s="107">
        <v>4.05</v>
      </c>
      <c r="G1057" s="111">
        <v>41451</v>
      </c>
      <c r="H1057" s="112">
        <v>437.26</v>
      </c>
      <c r="I1057" s="114">
        <f t="shared" si="16"/>
        <v>-3.1460879080794646E-3</v>
      </c>
    </row>
    <row r="1058" spans="1:9" ht="16">
      <c r="A1058" s="106">
        <v>41457</v>
      </c>
      <c r="B1058" s="107">
        <v>4.07</v>
      </c>
      <c r="G1058" s="111">
        <v>41452</v>
      </c>
      <c r="H1058" s="112">
        <v>436</v>
      </c>
      <c r="I1058" s="114">
        <f t="shared" si="16"/>
        <v>-2.8815807528701498E-3</v>
      </c>
    </row>
    <row r="1059" spans="1:9" ht="16">
      <c r="A1059" s="106">
        <v>41458</v>
      </c>
      <c r="B1059" s="107">
        <v>4.0599999999999996</v>
      </c>
      <c r="G1059" s="111">
        <v>41453</v>
      </c>
      <c r="H1059" s="112">
        <v>436.51</v>
      </c>
      <c r="I1059" s="114">
        <f t="shared" si="16"/>
        <v>1.1697247706421443E-3</v>
      </c>
    </row>
    <row r="1060" spans="1:9" ht="16">
      <c r="A1060" s="106">
        <v>41459</v>
      </c>
      <c r="B1060" s="107">
        <v>4.09</v>
      </c>
      <c r="G1060" s="111">
        <v>41454</v>
      </c>
      <c r="H1060" s="112">
        <v>435.79</v>
      </c>
      <c r="I1060" s="114">
        <f t="shared" si="16"/>
        <v>-1.6494467480698827E-3</v>
      </c>
    </row>
    <row r="1061" spans="1:9" ht="16">
      <c r="A1061" s="106">
        <v>41460</v>
      </c>
      <c r="B1061" s="107">
        <v>4.1100000000000003</v>
      </c>
      <c r="G1061" s="111">
        <v>41457</v>
      </c>
      <c r="H1061" s="112">
        <v>437.9</v>
      </c>
      <c r="I1061" s="114">
        <f t="shared" si="16"/>
        <v>4.8417815920511753E-3</v>
      </c>
    </row>
    <row r="1062" spans="1:9" ht="16">
      <c r="A1062" s="106">
        <v>41461</v>
      </c>
      <c r="B1062" s="107">
        <v>4.13</v>
      </c>
      <c r="G1062" s="111">
        <v>41458</v>
      </c>
      <c r="H1062" s="112">
        <v>435.43</v>
      </c>
      <c r="I1062" s="114">
        <f t="shared" si="16"/>
        <v>-5.6405572048412456E-3</v>
      </c>
    </row>
    <row r="1063" spans="1:9" ht="16">
      <c r="A1063" s="106">
        <v>41464</v>
      </c>
      <c r="B1063" s="107">
        <v>4.1100000000000003</v>
      </c>
      <c r="G1063" s="111">
        <v>41459</v>
      </c>
      <c r="H1063" s="112">
        <v>436.56</v>
      </c>
      <c r="I1063" s="114">
        <f t="shared" si="16"/>
        <v>2.5951358427300786E-3</v>
      </c>
    </row>
    <row r="1064" spans="1:9" ht="16">
      <c r="A1064" s="106">
        <v>41465</v>
      </c>
      <c r="B1064" s="107">
        <v>4.0999999999999996</v>
      </c>
      <c r="G1064" s="111">
        <v>41460</v>
      </c>
      <c r="H1064" s="112">
        <v>435.92</v>
      </c>
      <c r="I1064" s="114">
        <f t="shared" si="16"/>
        <v>-1.4660069635330508E-3</v>
      </c>
    </row>
    <row r="1065" spans="1:9" ht="16">
      <c r="A1065" s="106">
        <v>41466</v>
      </c>
      <c r="B1065" s="107">
        <v>4.0599999999999996</v>
      </c>
      <c r="G1065" s="111">
        <v>41461</v>
      </c>
      <c r="H1065" s="112">
        <v>434.74</v>
      </c>
      <c r="I1065" s="114">
        <f t="shared" si="16"/>
        <v>-2.7069187006790729E-3</v>
      </c>
    </row>
    <row r="1066" spans="1:9" ht="16">
      <c r="A1066" s="106">
        <v>41467</v>
      </c>
      <c r="B1066" s="107">
        <v>4.05</v>
      </c>
      <c r="G1066" s="111">
        <v>41464</v>
      </c>
      <c r="H1066" s="112">
        <v>437.41</v>
      </c>
      <c r="I1066" s="114">
        <f t="shared" si="16"/>
        <v>6.141601876983982E-3</v>
      </c>
    </row>
    <row r="1067" spans="1:9" ht="16">
      <c r="A1067" s="106">
        <v>41468</v>
      </c>
      <c r="B1067" s="107">
        <v>4.04</v>
      </c>
      <c r="G1067" s="111">
        <v>41465</v>
      </c>
      <c r="H1067" s="112">
        <v>440.76</v>
      </c>
      <c r="I1067" s="114">
        <f t="shared" si="16"/>
        <v>7.6587183649206025E-3</v>
      </c>
    </row>
    <row r="1068" spans="1:9" ht="16">
      <c r="A1068" s="106">
        <v>41471</v>
      </c>
      <c r="B1068" s="107">
        <v>4.0199999999999996</v>
      </c>
      <c r="G1068" s="111">
        <v>41466</v>
      </c>
      <c r="H1068" s="112">
        <v>446.07</v>
      </c>
      <c r="I1068" s="114">
        <f t="shared" si="16"/>
        <v>1.2047372719847571E-2</v>
      </c>
    </row>
    <row r="1069" spans="1:9" ht="16">
      <c r="A1069" s="106">
        <v>41472</v>
      </c>
      <c r="B1069" s="107">
        <v>4</v>
      </c>
      <c r="G1069" s="111">
        <v>41467</v>
      </c>
      <c r="H1069" s="112">
        <v>450.21</v>
      </c>
      <c r="I1069" s="114">
        <f t="shared" si="16"/>
        <v>9.2810545430088709E-3</v>
      </c>
    </row>
    <row r="1070" spans="1:9" ht="16">
      <c r="A1070" s="106">
        <v>41473</v>
      </c>
      <c r="B1070" s="107">
        <v>3.99</v>
      </c>
      <c r="G1070" s="111">
        <v>41468</v>
      </c>
      <c r="H1070" s="112">
        <v>452.92</v>
      </c>
      <c r="I1070" s="114">
        <f t="shared" si="16"/>
        <v>6.0194131627464564E-3</v>
      </c>
    </row>
    <row r="1071" spans="1:9" ht="16">
      <c r="A1071" s="106">
        <v>41474</v>
      </c>
      <c r="B1071" s="107">
        <v>3.98</v>
      </c>
      <c r="G1071" s="111">
        <v>41471</v>
      </c>
      <c r="H1071" s="112">
        <v>454.42</v>
      </c>
      <c r="I1071" s="114">
        <f t="shared" si="16"/>
        <v>3.3118431511083291E-3</v>
      </c>
    </row>
    <row r="1072" spans="1:9" ht="16">
      <c r="A1072" s="106">
        <v>41475</v>
      </c>
      <c r="B1072" s="107">
        <v>3.96</v>
      </c>
      <c r="G1072" s="111">
        <v>41472</v>
      </c>
      <c r="H1072" s="112">
        <v>455.02</v>
      </c>
      <c r="I1072" s="114">
        <f t="shared" si="16"/>
        <v>1.3203644205799225E-3</v>
      </c>
    </row>
    <row r="1073" spans="1:9" ht="16">
      <c r="A1073" s="106">
        <v>41478</v>
      </c>
      <c r="B1073" s="107">
        <v>3.97</v>
      </c>
      <c r="G1073" s="111">
        <v>41473</v>
      </c>
      <c r="H1073" s="112">
        <v>458.31</v>
      </c>
      <c r="I1073" s="114">
        <f t="shared" si="16"/>
        <v>7.2304514087293548E-3</v>
      </c>
    </row>
    <row r="1074" spans="1:9" ht="16">
      <c r="A1074" s="106">
        <v>41479</v>
      </c>
      <c r="B1074" s="107">
        <v>3.98</v>
      </c>
      <c r="G1074" s="111">
        <v>41474</v>
      </c>
      <c r="H1074" s="112">
        <v>457.87</v>
      </c>
      <c r="I1074" s="114">
        <f t="shared" si="16"/>
        <v>-9.6004887521550231E-4</v>
      </c>
    </row>
    <row r="1075" spans="1:9" ht="16">
      <c r="A1075" s="106">
        <v>41480</v>
      </c>
      <c r="B1075" s="107">
        <v>3.97</v>
      </c>
      <c r="G1075" s="111">
        <v>41475</v>
      </c>
      <c r="H1075" s="112">
        <v>457.47</v>
      </c>
      <c r="I1075" s="114">
        <f t="shared" si="16"/>
        <v>-8.736104134360323E-4</v>
      </c>
    </row>
    <row r="1076" spans="1:9" ht="16">
      <c r="A1076" s="106">
        <v>41481</v>
      </c>
      <c r="B1076" s="107">
        <v>3.96</v>
      </c>
      <c r="G1076" s="111">
        <v>41478</v>
      </c>
      <c r="H1076" s="112">
        <v>459.05</v>
      </c>
      <c r="I1076" s="114">
        <f t="shared" si="16"/>
        <v>3.4537783898398455E-3</v>
      </c>
    </row>
    <row r="1077" spans="1:9" ht="16">
      <c r="A1077" s="106">
        <v>41482</v>
      </c>
      <c r="B1077" s="107">
        <v>3.97</v>
      </c>
      <c r="G1077" s="111">
        <v>41479</v>
      </c>
      <c r="H1077" s="112">
        <v>458.6</v>
      </c>
      <c r="I1077" s="114">
        <f t="shared" si="16"/>
        <v>-9.8028537196381826E-4</v>
      </c>
    </row>
    <row r="1078" spans="1:9" ht="16">
      <c r="A1078" s="106">
        <v>41485</v>
      </c>
      <c r="B1078" s="107">
        <v>4</v>
      </c>
      <c r="G1078" s="111">
        <v>41480</v>
      </c>
      <c r="H1078" s="112">
        <v>459.53</v>
      </c>
      <c r="I1078" s="114">
        <f t="shared" si="16"/>
        <v>2.0279110335803541E-3</v>
      </c>
    </row>
    <row r="1079" spans="1:9" ht="16">
      <c r="A1079" s="106">
        <v>41486</v>
      </c>
      <c r="B1079" s="107">
        <v>4</v>
      </c>
      <c r="G1079" s="111">
        <v>41481</v>
      </c>
      <c r="H1079" s="112">
        <v>462</v>
      </c>
      <c r="I1079" s="114">
        <f t="shared" si="16"/>
        <v>5.3750571235828826E-3</v>
      </c>
    </row>
    <row r="1080" spans="1:9" ht="16">
      <c r="A1080" s="106">
        <v>41487</v>
      </c>
      <c r="B1080" s="107">
        <v>3.99</v>
      </c>
      <c r="G1080" s="111">
        <v>41482</v>
      </c>
      <c r="H1080" s="112">
        <v>461.41</v>
      </c>
      <c r="I1080" s="114">
        <f t="shared" si="16"/>
        <v>-1.2770562770562099E-3</v>
      </c>
    </row>
    <row r="1081" spans="1:9" ht="16">
      <c r="A1081" s="106">
        <v>41488</v>
      </c>
      <c r="B1081" s="107">
        <v>3.96</v>
      </c>
      <c r="G1081" s="111">
        <v>41485</v>
      </c>
      <c r="H1081" s="112">
        <v>462.66</v>
      </c>
      <c r="I1081" s="114">
        <f t="shared" si="16"/>
        <v>2.7090873626491874E-3</v>
      </c>
    </row>
    <row r="1082" spans="1:9" ht="16">
      <c r="A1082" s="106">
        <v>41489</v>
      </c>
      <c r="B1082" s="107">
        <v>3.96</v>
      </c>
      <c r="G1082" s="111">
        <v>41486</v>
      </c>
      <c r="H1082" s="112">
        <v>463.92</v>
      </c>
      <c r="I1082" s="114">
        <f t="shared" si="16"/>
        <v>2.7233821812995274E-3</v>
      </c>
    </row>
    <row r="1083" spans="1:9" ht="16">
      <c r="A1083" s="106">
        <v>41492</v>
      </c>
      <c r="B1083" s="107">
        <v>3.96</v>
      </c>
      <c r="G1083" s="111">
        <v>41487</v>
      </c>
      <c r="H1083" s="112">
        <v>464.43</v>
      </c>
      <c r="I1083" s="114">
        <f t="shared" si="16"/>
        <v>1.0993274702535416E-3</v>
      </c>
    </row>
    <row r="1084" spans="1:9" ht="16">
      <c r="A1084" s="106">
        <v>41493</v>
      </c>
      <c r="B1084" s="107">
        <v>3.96</v>
      </c>
      <c r="G1084" s="111">
        <v>41488</v>
      </c>
      <c r="H1084" s="112">
        <v>463.53</v>
      </c>
      <c r="I1084" s="114">
        <f t="shared" si="16"/>
        <v>-1.9378593114141029E-3</v>
      </c>
    </row>
    <row r="1085" spans="1:9" ht="16">
      <c r="A1085" s="106">
        <v>41494</v>
      </c>
      <c r="B1085" s="107">
        <v>3.96</v>
      </c>
      <c r="G1085" s="111">
        <v>41489</v>
      </c>
      <c r="H1085" s="112">
        <v>464.78</v>
      </c>
      <c r="I1085" s="114">
        <f t="shared" si="16"/>
        <v>2.6966970854098715E-3</v>
      </c>
    </row>
    <row r="1086" spans="1:9" ht="16">
      <c r="A1086" s="106">
        <v>41495</v>
      </c>
      <c r="B1086" s="107">
        <v>3.97</v>
      </c>
      <c r="G1086" s="111">
        <v>41492</v>
      </c>
      <c r="H1086" s="112">
        <v>468.52</v>
      </c>
      <c r="I1086" s="114">
        <f t="shared" si="16"/>
        <v>8.0468178493051656E-3</v>
      </c>
    </row>
    <row r="1087" spans="1:9" ht="16">
      <c r="A1087" s="106">
        <v>41496</v>
      </c>
      <c r="B1087" s="107">
        <v>3.97</v>
      </c>
      <c r="G1087" s="111">
        <v>41493</v>
      </c>
      <c r="H1087" s="112">
        <v>469.67</v>
      </c>
      <c r="I1087" s="114">
        <f t="shared" si="16"/>
        <v>2.4545376931615071E-3</v>
      </c>
    </row>
    <row r="1088" spans="1:9" ht="16">
      <c r="A1088" s="106">
        <v>41499</v>
      </c>
      <c r="B1088" s="107">
        <v>3.95</v>
      </c>
      <c r="G1088" s="111">
        <v>41494</v>
      </c>
      <c r="H1088" s="112">
        <v>466.68</v>
      </c>
      <c r="I1088" s="114">
        <f t="shared" si="16"/>
        <v>-6.3661719931015215E-3</v>
      </c>
    </row>
    <row r="1089" spans="1:9" ht="16">
      <c r="A1089" s="106">
        <v>41500</v>
      </c>
      <c r="B1089" s="107">
        <v>3.96</v>
      </c>
      <c r="G1089" s="111">
        <v>41495</v>
      </c>
      <c r="H1089" s="112">
        <v>460.79</v>
      </c>
      <c r="I1089" s="114">
        <f t="shared" si="16"/>
        <v>-1.2621067969486588E-2</v>
      </c>
    </row>
    <row r="1090" spans="1:9" ht="16">
      <c r="A1090" s="106">
        <v>41501</v>
      </c>
      <c r="B1090" s="107">
        <v>3.97</v>
      </c>
      <c r="G1090" s="111">
        <v>41496</v>
      </c>
      <c r="H1090" s="112">
        <v>456.06</v>
      </c>
      <c r="I1090" s="114">
        <f t="shared" si="16"/>
        <v>-1.0264979708761057E-2</v>
      </c>
    </row>
    <row r="1091" spans="1:9" ht="16">
      <c r="A1091" s="106">
        <v>41502</v>
      </c>
      <c r="B1091" s="107">
        <v>3.93</v>
      </c>
      <c r="G1091" s="111">
        <v>41499</v>
      </c>
      <c r="H1091" s="112">
        <v>460.25</v>
      </c>
      <c r="I1091" s="114">
        <f t="shared" si="16"/>
        <v>9.1873876244352726E-3</v>
      </c>
    </row>
    <row r="1092" spans="1:9" ht="16">
      <c r="A1092" s="106">
        <v>41503</v>
      </c>
      <c r="B1092" s="107">
        <v>3.92</v>
      </c>
      <c r="G1092" s="111">
        <v>41500</v>
      </c>
      <c r="H1092" s="112">
        <v>459.81</v>
      </c>
      <c r="I1092" s="114">
        <f t="shared" si="16"/>
        <v>-9.5600217273217325E-4</v>
      </c>
    </row>
    <row r="1093" spans="1:9" ht="16">
      <c r="A1093" s="106">
        <v>41506</v>
      </c>
      <c r="B1093" s="107">
        <v>3.9</v>
      </c>
      <c r="G1093" s="111">
        <v>41501</v>
      </c>
      <c r="H1093" s="112">
        <v>463.22</v>
      </c>
      <c r="I1093" s="114">
        <f t="shared" si="16"/>
        <v>7.4161066527478336E-3</v>
      </c>
    </row>
    <row r="1094" spans="1:9" ht="16">
      <c r="A1094" s="106">
        <v>41507</v>
      </c>
      <c r="B1094" s="107">
        <v>3.91</v>
      </c>
      <c r="G1094" s="111">
        <v>41502</v>
      </c>
      <c r="H1094" s="112">
        <v>463.97</v>
      </c>
      <c r="I1094" s="114">
        <f t="shared" si="16"/>
        <v>1.619101075083007E-3</v>
      </c>
    </row>
    <row r="1095" spans="1:9" ht="16">
      <c r="A1095" s="106">
        <v>41508</v>
      </c>
      <c r="B1095" s="107">
        <v>3.91</v>
      </c>
      <c r="G1095" s="111">
        <v>41503</v>
      </c>
      <c r="H1095" s="112">
        <v>462.52</v>
      </c>
      <c r="I1095" s="114">
        <f t="shared" si="16"/>
        <v>-3.1252020604781716E-3</v>
      </c>
    </row>
    <row r="1096" spans="1:9" ht="16">
      <c r="A1096" s="106">
        <v>41509</v>
      </c>
      <c r="B1096" s="107">
        <v>3.88</v>
      </c>
      <c r="G1096" s="111">
        <v>41506</v>
      </c>
      <c r="H1096" s="112">
        <v>464.35</v>
      </c>
      <c r="I1096" s="114">
        <f t="shared" si="16"/>
        <v>3.9565856611607497E-3</v>
      </c>
    </row>
    <row r="1097" spans="1:9" ht="16">
      <c r="A1097" s="106">
        <v>41510</v>
      </c>
      <c r="B1097" s="107">
        <v>3.87</v>
      </c>
      <c r="G1097" s="111">
        <v>41507</v>
      </c>
      <c r="H1097" s="112">
        <v>467.79</v>
      </c>
      <c r="I1097" s="114">
        <f t="shared" si="16"/>
        <v>7.4082050177668446E-3</v>
      </c>
    </row>
    <row r="1098" spans="1:9" ht="16">
      <c r="A1098" s="106">
        <v>41513</v>
      </c>
      <c r="B1098" s="107">
        <v>3.86</v>
      </c>
      <c r="G1098" s="111">
        <v>41508</v>
      </c>
      <c r="H1098" s="112">
        <v>469.13</v>
      </c>
      <c r="I1098" s="114">
        <f t="shared" si="16"/>
        <v>2.8645332307231097E-3</v>
      </c>
    </row>
    <row r="1099" spans="1:9" ht="16">
      <c r="A1099" s="106">
        <v>41514</v>
      </c>
      <c r="B1099" s="107">
        <v>3.84</v>
      </c>
      <c r="G1099" s="111">
        <v>41509</v>
      </c>
      <c r="H1099" s="112">
        <v>472</v>
      </c>
      <c r="I1099" s="114">
        <f t="shared" si="16"/>
        <v>6.1177072453264536E-3</v>
      </c>
    </row>
    <row r="1100" spans="1:9" ht="16">
      <c r="A1100" s="106">
        <v>41515</v>
      </c>
      <c r="B1100" s="107">
        <v>3.84</v>
      </c>
      <c r="G1100" s="111">
        <v>41510</v>
      </c>
      <c r="H1100" s="112">
        <v>473.65</v>
      </c>
      <c r="I1100" s="114">
        <f t="shared" si="16"/>
        <v>3.4957627118643586E-3</v>
      </c>
    </row>
    <row r="1101" spans="1:9" ht="16">
      <c r="A1101" s="106">
        <v>41516</v>
      </c>
      <c r="B1101" s="107">
        <v>3.85</v>
      </c>
      <c r="G1101" s="111">
        <v>41513</v>
      </c>
      <c r="H1101" s="112">
        <v>473.89</v>
      </c>
      <c r="I1101" s="114">
        <f t="shared" si="16"/>
        <v>5.0670326190216386E-4</v>
      </c>
    </row>
    <row r="1102" spans="1:9" ht="16">
      <c r="A1102" s="106">
        <v>41517</v>
      </c>
      <c r="B1102" s="107">
        <v>3.84</v>
      </c>
      <c r="G1102" s="111">
        <v>41514</v>
      </c>
      <c r="H1102" s="112">
        <v>472.44</v>
      </c>
      <c r="I1102" s="114">
        <f t="shared" si="16"/>
        <v>-3.0597818059042714E-3</v>
      </c>
    </row>
    <row r="1103" spans="1:9" ht="16">
      <c r="A1103" s="106">
        <v>41520</v>
      </c>
      <c r="B1103" s="107">
        <v>3.83</v>
      </c>
      <c r="G1103" s="111">
        <v>41515</v>
      </c>
      <c r="H1103" s="112">
        <v>475.56</v>
      </c>
      <c r="I1103" s="114">
        <f t="shared" ref="I1103:I1166" si="17">H1103/H1102-1</f>
        <v>6.6040132080265046E-3</v>
      </c>
    </row>
    <row r="1104" spans="1:9" ht="16">
      <c r="A1104" s="106">
        <v>41521</v>
      </c>
      <c r="B1104" s="107">
        <v>3.82</v>
      </c>
      <c r="G1104" s="111">
        <v>41516</v>
      </c>
      <c r="H1104" s="112">
        <v>476.73</v>
      </c>
      <c r="I1104" s="114">
        <f t="shared" si="17"/>
        <v>2.4602573807721573E-3</v>
      </c>
    </row>
    <row r="1105" spans="1:9" ht="16">
      <c r="A1105" s="106">
        <v>41522</v>
      </c>
      <c r="B1105" s="107">
        <v>3.82</v>
      </c>
      <c r="G1105" s="111">
        <v>41517</v>
      </c>
      <c r="H1105" s="112">
        <v>478.86</v>
      </c>
      <c r="I1105" s="114">
        <f t="shared" si="17"/>
        <v>4.467937826442725E-3</v>
      </c>
    </row>
    <row r="1106" spans="1:9" ht="16">
      <c r="A1106" s="106">
        <v>41523</v>
      </c>
      <c r="B1106" s="107">
        <v>3.79</v>
      </c>
      <c r="G1106" s="111">
        <v>41520</v>
      </c>
      <c r="H1106" s="112">
        <v>476.67</v>
      </c>
      <c r="I1106" s="114">
        <f t="shared" si="17"/>
        <v>-4.5733617341184862E-3</v>
      </c>
    </row>
    <row r="1107" spans="1:9" ht="16">
      <c r="A1107" s="106">
        <v>41524</v>
      </c>
      <c r="B1107" s="107">
        <v>3.77</v>
      </c>
      <c r="G1107" s="111">
        <v>41521</v>
      </c>
      <c r="H1107" s="112">
        <v>477.83</v>
      </c>
      <c r="I1107" s="114">
        <f t="shared" si="17"/>
        <v>2.4335494157383675E-3</v>
      </c>
    </row>
    <row r="1108" spans="1:9" ht="16">
      <c r="A1108" s="106">
        <v>41527</v>
      </c>
      <c r="B1108" s="107">
        <v>3.79</v>
      </c>
      <c r="G1108" s="111">
        <v>41522</v>
      </c>
      <c r="H1108" s="112">
        <v>477.64</v>
      </c>
      <c r="I1108" s="114">
        <f t="shared" si="17"/>
        <v>-3.9763095661637937E-4</v>
      </c>
    </row>
    <row r="1109" spans="1:9" ht="16">
      <c r="A1109" s="106">
        <v>41528</v>
      </c>
      <c r="B1109" s="107">
        <v>3.82</v>
      </c>
      <c r="G1109" s="111">
        <v>41523</v>
      </c>
      <c r="H1109" s="112">
        <v>479.93</v>
      </c>
      <c r="I1109" s="114">
        <f t="shared" si="17"/>
        <v>4.7944058286575331E-3</v>
      </c>
    </row>
    <row r="1110" spans="1:9" ht="16">
      <c r="A1110" s="106">
        <v>41529</v>
      </c>
      <c r="B1110" s="107">
        <v>3.82</v>
      </c>
      <c r="G1110" s="111">
        <v>41524</v>
      </c>
      <c r="H1110" s="112">
        <v>480.24</v>
      </c>
      <c r="I1110" s="114">
        <f t="shared" si="17"/>
        <v>6.4592753109837808E-4</v>
      </c>
    </row>
    <row r="1111" spans="1:9" ht="16">
      <c r="A1111" s="106">
        <v>41530</v>
      </c>
      <c r="B1111" s="107">
        <v>3.83</v>
      </c>
      <c r="G1111" s="111">
        <v>41527</v>
      </c>
      <c r="H1111" s="112">
        <v>483.84</v>
      </c>
      <c r="I1111" s="114">
        <f t="shared" si="17"/>
        <v>7.496251874062887E-3</v>
      </c>
    </row>
    <row r="1112" spans="1:9" ht="16">
      <c r="A1112" s="106">
        <v>41531</v>
      </c>
      <c r="B1112" s="107">
        <v>3.83</v>
      </c>
      <c r="G1112" s="111">
        <v>41528</v>
      </c>
      <c r="H1112" s="112">
        <v>484.92</v>
      </c>
      <c r="I1112" s="114">
        <f t="shared" si="17"/>
        <v>2.2321428571430157E-3</v>
      </c>
    </row>
    <row r="1113" spans="1:9" ht="16">
      <c r="A1113" s="106">
        <v>41534</v>
      </c>
      <c r="B1113" s="107">
        <v>3.82</v>
      </c>
      <c r="G1113" s="111">
        <v>41529</v>
      </c>
      <c r="H1113" s="112">
        <v>483.84</v>
      </c>
      <c r="I1113" s="114">
        <f t="shared" si="17"/>
        <v>-2.2271714922049712E-3</v>
      </c>
    </row>
    <row r="1114" spans="1:9" ht="16">
      <c r="A1114" s="106">
        <v>41535</v>
      </c>
      <c r="B1114" s="107">
        <v>3.83</v>
      </c>
      <c r="G1114" s="111">
        <v>41530</v>
      </c>
      <c r="H1114" s="112">
        <v>483.85</v>
      </c>
      <c r="I1114" s="114">
        <f t="shared" si="17"/>
        <v>2.0667989418132748E-5</v>
      </c>
    </row>
    <row r="1115" spans="1:9" ht="16">
      <c r="A1115" s="106">
        <v>41536</v>
      </c>
      <c r="B1115" s="107">
        <v>3.84</v>
      </c>
      <c r="G1115" s="111">
        <v>41531</v>
      </c>
      <c r="H1115" s="112">
        <v>484.75</v>
      </c>
      <c r="I1115" s="114">
        <f t="shared" si="17"/>
        <v>1.860080603492742E-3</v>
      </c>
    </row>
    <row r="1116" spans="1:9" ht="16">
      <c r="A1116" s="106">
        <v>41537</v>
      </c>
      <c r="B1116" s="107">
        <v>3.86</v>
      </c>
      <c r="G1116" s="111">
        <v>41534</v>
      </c>
      <c r="H1116" s="112">
        <v>487.69</v>
      </c>
      <c r="I1116" s="114">
        <f t="shared" si="17"/>
        <v>6.0649819494584811E-3</v>
      </c>
    </row>
    <row r="1117" spans="1:9" ht="16">
      <c r="A1117" s="106">
        <v>41538</v>
      </c>
      <c r="B1117" s="107">
        <v>3.85</v>
      </c>
      <c r="G1117" s="111">
        <v>41535</v>
      </c>
      <c r="H1117" s="112">
        <v>486.37</v>
      </c>
      <c r="I1117" s="114">
        <f t="shared" si="17"/>
        <v>-2.706637413110724E-3</v>
      </c>
    </row>
    <row r="1118" spans="1:9" ht="16">
      <c r="A1118" s="106">
        <v>41541</v>
      </c>
      <c r="B1118" s="107">
        <v>3.84</v>
      </c>
      <c r="G1118" s="111">
        <v>41536</v>
      </c>
      <c r="H1118" s="112">
        <v>487.3</v>
      </c>
      <c r="I1118" s="114">
        <f t="shared" si="17"/>
        <v>1.9121245142585952E-3</v>
      </c>
    </row>
    <row r="1119" spans="1:9" ht="16">
      <c r="A1119" s="106">
        <v>41542</v>
      </c>
      <c r="B1119" s="107">
        <v>3.84</v>
      </c>
      <c r="G1119" s="111">
        <v>41537</v>
      </c>
      <c r="H1119" s="112">
        <v>485.76</v>
      </c>
      <c r="I1119" s="114">
        <f t="shared" si="17"/>
        <v>-3.1602708803611934E-3</v>
      </c>
    </row>
    <row r="1120" spans="1:9" ht="16">
      <c r="A1120" s="106">
        <v>41543</v>
      </c>
      <c r="B1120" s="107">
        <v>3.89</v>
      </c>
      <c r="G1120" s="111">
        <v>41538</v>
      </c>
      <c r="H1120" s="112">
        <v>483.2</v>
      </c>
      <c r="I1120" s="114">
        <f t="shared" si="17"/>
        <v>-5.2700922266140093E-3</v>
      </c>
    </row>
    <row r="1121" spans="1:9" ht="16">
      <c r="A1121" s="106">
        <v>41544</v>
      </c>
      <c r="B1121" s="107">
        <v>3.88</v>
      </c>
      <c r="G1121" s="111">
        <v>41541</v>
      </c>
      <c r="H1121" s="112">
        <v>475.12</v>
      </c>
      <c r="I1121" s="114">
        <f t="shared" si="17"/>
        <v>-1.6721854304635686E-2</v>
      </c>
    </row>
    <row r="1122" spans="1:9" ht="16">
      <c r="A1122" s="106">
        <v>41545</v>
      </c>
      <c r="B1122" s="107">
        <v>3.86</v>
      </c>
      <c r="G1122" s="111">
        <v>41542</v>
      </c>
      <c r="H1122" s="112">
        <v>472.56</v>
      </c>
      <c r="I1122" s="114">
        <f t="shared" si="17"/>
        <v>-5.388112476848006E-3</v>
      </c>
    </row>
    <row r="1123" spans="1:9" ht="16">
      <c r="A1123" s="106">
        <v>41546</v>
      </c>
      <c r="B1123" s="107">
        <v>3.89</v>
      </c>
      <c r="G1123" s="111">
        <v>41543</v>
      </c>
      <c r="H1123" s="112">
        <v>471.85</v>
      </c>
      <c r="I1123" s="114">
        <f t="shared" si="17"/>
        <v>-1.5024547147451939E-3</v>
      </c>
    </row>
    <row r="1124" spans="1:9" ht="16">
      <c r="A1124" s="106">
        <v>41548</v>
      </c>
      <c r="B1124" s="107">
        <v>3.91</v>
      </c>
      <c r="G1124" s="111">
        <v>41544</v>
      </c>
      <c r="H1124" s="112">
        <v>469.96</v>
      </c>
      <c r="I1124" s="114">
        <f t="shared" si="17"/>
        <v>-4.0055102257073871E-3</v>
      </c>
    </row>
    <row r="1125" spans="1:9" ht="16">
      <c r="A1125" s="106">
        <v>41549</v>
      </c>
      <c r="B1125" s="107">
        <v>3.9</v>
      </c>
      <c r="G1125" s="111">
        <v>41545</v>
      </c>
      <c r="H1125" s="112">
        <v>474.1</v>
      </c>
      <c r="I1125" s="114">
        <f t="shared" si="17"/>
        <v>8.8092603625842258E-3</v>
      </c>
    </row>
    <row r="1126" spans="1:9" ht="16">
      <c r="A1126" s="106">
        <v>41550</v>
      </c>
      <c r="B1126" s="107">
        <v>3.88</v>
      </c>
      <c r="G1126" s="111">
        <v>41548</v>
      </c>
      <c r="H1126" s="112">
        <v>474.79</v>
      </c>
      <c r="I1126" s="114">
        <f t="shared" si="17"/>
        <v>1.4553891584054846E-3</v>
      </c>
    </row>
    <row r="1127" spans="1:9" ht="16">
      <c r="A1127" s="106">
        <v>41551</v>
      </c>
      <c r="B1127" s="107">
        <v>3.88</v>
      </c>
      <c r="G1127" s="111">
        <v>41549</v>
      </c>
      <c r="H1127" s="112">
        <v>481.17</v>
      </c>
      <c r="I1127" s="114">
        <f t="shared" si="17"/>
        <v>1.3437519745571613E-2</v>
      </c>
    </row>
    <row r="1128" spans="1:9" ht="16">
      <c r="A1128" s="106">
        <v>41552</v>
      </c>
      <c r="B1128" s="107">
        <v>3.9</v>
      </c>
      <c r="G1128" s="111">
        <v>41550</v>
      </c>
      <c r="H1128" s="112">
        <v>483.75</v>
      </c>
      <c r="I1128" s="114">
        <f t="shared" si="17"/>
        <v>5.3619302949061698E-3</v>
      </c>
    </row>
    <row r="1129" spans="1:9" ht="16">
      <c r="A1129" s="106">
        <v>41555</v>
      </c>
      <c r="B1129" s="107">
        <v>3.9</v>
      </c>
      <c r="G1129" s="111">
        <v>41551</v>
      </c>
      <c r="H1129" s="112">
        <v>484.41</v>
      </c>
      <c r="I1129" s="114">
        <f t="shared" si="17"/>
        <v>1.3643410852712812E-3</v>
      </c>
    </row>
    <row r="1130" spans="1:9" ht="16">
      <c r="A1130" s="106">
        <v>41556</v>
      </c>
      <c r="B1130" s="107">
        <v>3.89</v>
      </c>
      <c r="G1130" s="111">
        <v>41552</v>
      </c>
      <c r="H1130" s="112">
        <v>484.52</v>
      </c>
      <c r="I1130" s="114">
        <f t="shared" si="17"/>
        <v>2.2708036580576518E-4</v>
      </c>
    </row>
    <row r="1131" spans="1:9" ht="16">
      <c r="A1131" s="106">
        <v>41557</v>
      </c>
      <c r="B1131" s="107">
        <v>3.88</v>
      </c>
      <c r="G1131" s="111">
        <v>41555</v>
      </c>
      <c r="H1131" s="112">
        <v>483.22</v>
      </c>
      <c r="I1131" s="114">
        <f t="shared" si="17"/>
        <v>-2.6830677784197565E-3</v>
      </c>
    </row>
    <row r="1132" spans="1:9" ht="16">
      <c r="A1132" s="106">
        <v>41558</v>
      </c>
      <c r="B1132" s="107">
        <v>3.86</v>
      </c>
      <c r="G1132" s="111">
        <v>41556</v>
      </c>
      <c r="H1132" s="112">
        <v>486.9</v>
      </c>
      <c r="I1132" s="114">
        <f t="shared" si="17"/>
        <v>7.6155788253795542E-3</v>
      </c>
    </row>
    <row r="1133" spans="1:9" ht="16">
      <c r="A1133" s="106">
        <v>41559</v>
      </c>
      <c r="B1133" s="107">
        <v>3.86</v>
      </c>
      <c r="G1133" s="111">
        <v>41557</v>
      </c>
      <c r="H1133" s="112">
        <v>487.66</v>
      </c>
      <c r="I1133" s="114">
        <f t="shared" si="17"/>
        <v>1.5608954610804027E-3</v>
      </c>
    </row>
    <row r="1134" spans="1:9" ht="16">
      <c r="A1134" s="106">
        <v>41562</v>
      </c>
      <c r="B1134" s="107">
        <v>3.86</v>
      </c>
      <c r="G1134" s="111">
        <v>41558</v>
      </c>
      <c r="H1134" s="112">
        <v>489.43</v>
      </c>
      <c r="I1134" s="114">
        <f t="shared" si="17"/>
        <v>3.6295779846613474E-3</v>
      </c>
    </row>
    <row r="1135" spans="1:9" ht="16">
      <c r="A1135" s="106">
        <v>41563</v>
      </c>
      <c r="B1135" s="107">
        <v>3.86</v>
      </c>
      <c r="G1135" s="111">
        <v>41559</v>
      </c>
      <c r="H1135" s="112">
        <v>491.61</v>
      </c>
      <c r="I1135" s="114">
        <f t="shared" si="17"/>
        <v>4.4541609627526402E-3</v>
      </c>
    </row>
    <row r="1136" spans="1:9" ht="16">
      <c r="A1136" s="106">
        <v>41564</v>
      </c>
      <c r="B1136" s="107">
        <v>3.85</v>
      </c>
      <c r="G1136" s="111">
        <v>41562</v>
      </c>
      <c r="H1136" s="112">
        <v>494.13</v>
      </c>
      <c r="I1136" s="114">
        <f t="shared" si="17"/>
        <v>5.1260145237077559E-3</v>
      </c>
    </row>
    <row r="1137" spans="1:9" ht="16">
      <c r="A1137" s="106">
        <v>41565</v>
      </c>
      <c r="B1137" s="107">
        <v>3.84</v>
      </c>
      <c r="G1137" s="111">
        <v>41563</v>
      </c>
      <c r="H1137" s="112">
        <v>490.96</v>
      </c>
      <c r="I1137" s="114">
        <f t="shared" si="17"/>
        <v>-6.4153158075810346E-3</v>
      </c>
    </row>
    <row r="1138" spans="1:9" ht="16">
      <c r="A1138" s="106">
        <v>41566</v>
      </c>
      <c r="B1138" s="107">
        <v>3.88</v>
      </c>
      <c r="G1138" s="111">
        <v>41564</v>
      </c>
      <c r="H1138" s="112">
        <v>491.42</v>
      </c>
      <c r="I1138" s="114">
        <f t="shared" si="17"/>
        <v>9.3693987290222047E-4</v>
      </c>
    </row>
    <row r="1139" spans="1:9" ht="16">
      <c r="A1139" s="106">
        <v>41569</v>
      </c>
      <c r="B1139" s="107">
        <v>3.89</v>
      </c>
      <c r="G1139" s="111">
        <v>41565</v>
      </c>
      <c r="H1139" s="112">
        <v>487.63</v>
      </c>
      <c r="I1139" s="114">
        <f t="shared" si="17"/>
        <v>-7.7123438199503402E-3</v>
      </c>
    </row>
    <row r="1140" spans="1:9" ht="16">
      <c r="A1140" s="106">
        <v>41570</v>
      </c>
      <c r="B1140" s="107">
        <v>3.89</v>
      </c>
      <c r="G1140" s="111">
        <v>41566</v>
      </c>
      <c r="H1140" s="112">
        <v>488.44</v>
      </c>
      <c r="I1140" s="114">
        <f t="shared" si="17"/>
        <v>1.6610955027376306E-3</v>
      </c>
    </row>
    <row r="1141" spans="1:9" ht="16">
      <c r="A1141" s="106">
        <v>41571</v>
      </c>
      <c r="B1141" s="107">
        <v>3.91</v>
      </c>
      <c r="G1141" s="111">
        <v>41569</v>
      </c>
      <c r="H1141" s="112">
        <v>486.55</v>
      </c>
      <c r="I1141" s="114">
        <f t="shared" si="17"/>
        <v>-3.8694619605273983E-3</v>
      </c>
    </row>
    <row r="1142" spans="1:9" ht="16">
      <c r="A1142" s="106">
        <v>41572</v>
      </c>
      <c r="B1142" s="107">
        <v>3.9</v>
      </c>
      <c r="G1142" s="111">
        <v>41570</v>
      </c>
      <c r="H1142" s="112">
        <v>485.4</v>
      </c>
      <c r="I1142" s="114">
        <f t="shared" si="17"/>
        <v>-2.3635803103484454E-3</v>
      </c>
    </row>
    <row r="1143" spans="1:9" ht="16">
      <c r="A1143" s="106">
        <v>41573</v>
      </c>
      <c r="B1143" s="107">
        <v>3.9</v>
      </c>
      <c r="G1143" s="111">
        <v>41571</v>
      </c>
      <c r="H1143" s="112">
        <v>485.94</v>
      </c>
      <c r="I1143" s="114">
        <f t="shared" si="17"/>
        <v>1.1124845488257318E-3</v>
      </c>
    </row>
    <row r="1144" spans="1:9" ht="16">
      <c r="A1144" s="106">
        <v>41576</v>
      </c>
      <c r="B1144" s="107">
        <v>3.87</v>
      </c>
      <c r="G1144" s="111">
        <v>41572</v>
      </c>
      <c r="H1144" s="112">
        <v>483.84</v>
      </c>
      <c r="I1144" s="114">
        <f t="shared" si="17"/>
        <v>-4.321521175453813E-3</v>
      </c>
    </row>
    <row r="1145" spans="1:9" ht="16">
      <c r="A1145" s="106">
        <v>41577</v>
      </c>
      <c r="B1145" s="107">
        <v>3.93</v>
      </c>
      <c r="G1145" s="111">
        <v>41573</v>
      </c>
      <c r="H1145" s="112">
        <v>483.93</v>
      </c>
      <c r="I1145" s="114">
        <f t="shared" si="17"/>
        <v>1.8601190476186247E-4</v>
      </c>
    </row>
    <row r="1146" spans="1:9" ht="16">
      <c r="A1146" s="106">
        <v>41578</v>
      </c>
      <c r="B1146" s="107">
        <v>3.94</v>
      </c>
      <c r="G1146" s="111">
        <v>41576</v>
      </c>
      <c r="H1146" s="112">
        <v>485.74</v>
      </c>
      <c r="I1146" s="114">
        <f t="shared" si="17"/>
        <v>3.7402103610026938E-3</v>
      </c>
    </row>
    <row r="1147" spans="1:9" ht="16">
      <c r="A1147" s="106">
        <v>41579</v>
      </c>
      <c r="B1147" s="107">
        <v>3.93</v>
      </c>
      <c r="G1147" s="111">
        <v>41577</v>
      </c>
      <c r="H1147" s="112">
        <v>486.44</v>
      </c>
      <c r="I1147" s="114">
        <f t="shared" si="17"/>
        <v>1.4411001770493481E-3</v>
      </c>
    </row>
    <row r="1148" spans="1:9" ht="16">
      <c r="A1148" s="106">
        <v>41580</v>
      </c>
      <c r="B1148" s="107">
        <v>3.97</v>
      </c>
      <c r="G1148" s="111">
        <v>41578</v>
      </c>
      <c r="H1148" s="112">
        <v>489.34</v>
      </c>
      <c r="I1148" s="114">
        <f t="shared" si="17"/>
        <v>5.9616807828302143E-3</v>
      </c>
    </row>
    <row r="1149" spans="1:9" ht="16">
      <c r="A1149" s="106">
        <v>41583</v>
      </c>
      <c r="B1149" s="107">
        <v>3.96</v>
      </c>
      <c r="G1149" s="111">
        <v>41579</v>
      </c>
      <c r="H1149" s="112">
        <v>488.9</v>
      </c>
      <c r="I1149" s="114">
        <f t="shared" si="17"/>
        <v>-8.9917031103114997E-4</v>
      </c>
    </row>
    <row r="1150" spans="1:9" ht="16">
      <c r="A1150" s="106">
        <v>41584</v>
      </c>
      <c r="B1150" s="107">
        <v>3.98</v>
      </c>
      <c r="G1150" s="111">
        <v>41580</v>
      </c>
      <c r="H1150" s="112">
        <v>487.95</v>
      </c>
      <c r="I1150" s="114">
        <f t="shared" si="17"/>
        <v>-1.9431376559623237E-3</v>
      </c>
    </row>
    <row r="1151" spans="1:9" ht="16">
      <c r="A1151" s="106">
        <v>41585</v>
      </c>
      <c r="B1151" s="107">
        <v>3.99</v>
      </c>
      <c r="G1151" s="111">
        <v>41583</v>
      </c>
      <c r="H1151" s="112">
        <v>490.46</v>
      </c>
      <c r="I1151" s="114">
        <f t="shared" si="17"/>
        <v>5.1439696690234182E-3</v>
      </c>
    </row>
    <row r="1152" spans="1:9" ht="16">
      <c r="A1152" s="106">
        <v>41586</v>
      </c>
      <c r="B1152" s="107">
        <v>4</v>
      </c>
      <c r="G1152" s="111">
        <v>41584</v>
      </c>
      <c r="H1152" s="112">
        <v>491.41</v>
      </c>
      <c r="I1152" s="114">
        <f t="shared" si="17"/>
        <v>1.9369571422747089E-3</v>
      </c>
    </row>
    <row r="1153" spans="1:9" ht="16">
      <c r="A1153" s="106">
        <v>41587</v>
      </c>
      <c r="B1153" s="107">
        <v>4.03</v>
      </c>
      <c r="G1153" s="111">
        <v>41585</v>
      </c>
      <c r="H1153" s="112">
        <v>491.64</v>
      </c>
      <c r="I1153" s="114">
        <f t="shared" si="17"/>
        <v>4.680409434076882E-4</v>
      </c>
    </row>
    <row r="1154" spans="1:9" ht="16">
      <c r="A1154" s="106">
        <v>41590</v>
      </c>
      <c r="B1154" s="107">
        <v>4.03</v>
      </c>
      <c r="G1154" s="111">
        <v>41586</v>
      </c>
      <c r="H1154" s="112">
        <v>491.33</v>
      </c>
      <c r="I1154" s="114">
        <f t="shared" si="17"/>
        <v>-6.305426735009334E-4</v>
      </c>
    </row>
    <row r="1155" spans="1:9" ht="16">
      <c r="A1155" s="106">
        <v>41591</v>
      </c>
      <c r="B1155" s="107">
        <v>4.03</v>
      </c>
      <c r="G1155" s="111">
        <v>41587</v>
      </c>
      <c r="H1155" s="112">
        <v>489.2</v>
      </c>
      <c r="I1155" s="114">
        <f t="shared" si="17"/>
        <v>-4.3351718804062189E-3</v>
      </c>
    </row>
    <row r="1156" spans="1:9" ht="16">
      <c r="A1156" s="106">
        <v>41592</v>
      </c>
      <c r="B1156" s="107">
        <v>4</v>
      </c>
      <c r="G1156" s="111">
        <v>41590</v>
      </c>
      <c r="H1156" s="112">
        <v>487</v>
      </c>
      <c r="I1156" s="114">
        <f t="shared" si="17"/>
        <v>-4.4971381847914715E-3</v>
      </c>
    </row>
    <row r="1157" spans="1:9" ht="16">
      <c r="A1157" s="106">
        <v>41593</v>
      </c>
      <c r="B1157" s="107">
        <v>3.97</v>
      </c>
      <c r="G1157" s="111">
        <v>41591</v>
      </c>
      <c r="H1157" s="112">
        <v>484.7</v>
      </c>
      <c r="I1157" s="114">
        <f t="shared" si="17"/>
        <v>-4.7227926078029503E-3</v>
      </c>
    </row>
    <row r="1158" spans="1:9" ht="16">
      <c r="A1158" s="106">
        <v>41594</v>
      </c>
      <c r="B1158" s="107">
        <v>3.97</v>
      </c>
      <c r="G1158" s="111">
        <v>41592</v>
      </c>
      <c r="H1158" s="112">
        <v>481.1</v>
      </c>
      <c r="I1158" s="114">
        <f t="shared" si="17"/>
        <v>-7.4272746028470893E-3</v>
      </c>
    </row>
    <row r="1159" spans="1:9" ht="16">
      <c r="A1159" s="106">
        <v>41597</v>
      </c>
      <c r="B1159" s="107">
        <v>3.96</v>
      </c>
      <c r="G1159" s="111">
        <v>41593</v>
      </c>
      <c r="H1159" s="112">
        <v>486.27</v>
      </c>
      <c r="I1159" s="114">
        <f t="shared" si="17"/>
        <v>1.074620660985226E-2</v>
      </c>
    </row>
    <row r="1160" spans="1:9" ht="16">
      <c r="A1160" s="106">
        <v>41598</v>
      </c>
      <c r="B1160" s="107">
        <v>3.98</v>
      </c>
      <c r="G1160" s="111">
        <v>41594</v>
      </c>
      <c r="H1160" s="112">
        <v>491.14</v>
      </c>
      <c r="I1160" s="114">
        <f t="shared" si="17"/>
        <v>1.0015012236000542E-2</v>
      </c>
    </row>
    <row r="1161" spans="1:9" ht="16">
      <c r="A1161" s="106">
        <v>41599</v>
      </c>
      <c r="B1161" s="107">
        <v>3.96</v>
      </c>
      <c r="G1161" s="111">
        <v>41597</v>
      </c>
      <c r="H1161" s="112">
        <v>491.47</v>
      </c>
      <c r="I1161" s="114">
        <f t="shared" si="17"/>
        <v>6.7190617746470949E-4</v>
      </c>
    </row>
    <row r="1162" spans="1:9" ht="16">
      <c r="A1162" s="106">
        <v>41600</v>
      </c>
      <c r="B1162" s="107">
        <v>3.96</v>
      </c>
      <c r="G1162" s="111">
        <v>41598</v>
      </c>
      <c r="H1162" s="112">
        <v>497.64</v>
      </c>
      <c r="I1162" s="114">
        <f t="shared" si="17"/>
        <v>1.2554174212057623E-2</v>
      </c>
    </row>
    <row r="1163" spans="1:9" ht="16">
      <c r="A1163" s="106">
        <v>41601</v>
      </c>
      <c r="B1163" s="107">
        <v>3.96</v>
      </c>
      <c r="G1163" s="111">
        <v>41599</v>
      </c>
      <c r="H1163" s="112">
        <v>499.59</v>
      </c>
      <c r="I1163" s="114">
        <f t="shared" si="17"/>
        <v>3.9184952978055243E-3</v>
      </c>
    </row>
    <row r="1164" spans="1:9" ht="16">
      <c r="A1164" s="106">
        <v>41604</v>
      </c>
      <c r="B1164" s="107">
        <v>3.93</v>
      </c>
      <c r="G1164" s="111">
        <v>41600</v>
      </c>
      <c r="H1164" s="112">
        <v>498</v>
      </c>
      <c r="I1164" s="114">
        <f t="shared" si="17"/>
        <v>-3.1826097399867415E-3</v>
      </c>
    </row>
    <row r="1165" spans="1:9" ht="16">
      <c r="A1165" s="106">
        <v>41605</v>
      </c>
      <c r="B1165" s="107">
        <v>3.92</v>
      </c>
      <c r="G1165" s="111">
        <v>41601</v>
      </c>
      <c r="H1165" s="112">
        <v>498.93</v>
      </c>
      <c r="I1165" s="114">
        <f t="shared" si="17"/>
        <v>1.8674698795180245E-3</v>
      </c>
    </row>
    <row r="1166" spans="1:9" ht="16">
      <c r="A1166" s="106">
        <v>41606</v>
      </c>
      <c r="B1166" s="107">
        <v>3.96</v>
      </c>
      <c r="G1166" s="111">
        <v>41604</v>
      </c>
      <c r="H1166" s="112">
        <v>496.63</v>
      </c>
      <c r="I1166" s="114">
        <f t="shared" si="17"/>
        <v>-4.6098651113383182E-3</v>
      </c>
    </row>
    <row r="1167" spans="1:9" ht="16">
      <c r="A1167" s="106">
        <v>41607</v>
      </c>
      <c r="B1167" s="107">
        <v>3.91</v>
      </c>
      <c r="G1167" s="111">
        <v>41605</v>
      </c>
      <c r="H1167" s="112">
        <v>496.92</v>
      </c>
      <c r="I1167" s="114">
        <f t="shared" ref="I1167:I1230" si="18">H1167/H1166-1</f>
        <v>5.839357267987122E-4</v>
      </c>
    </row>
    <row r="1168" spans="1:9" ht="16">
      <c r="A1168" s="106">
        <v>41608</v>
      </c>
      <c r="B1168" s="107">
        <v>3.9</v>
      </c>
      <c r="G1168" s="111">
        <v>41606</v>
      </c>
      <c r="H1168" s="112">
        <v>494.41</v>
      </c>
      <c r="I1168" s="114">
        <f t="shared" si="18"/>
        <v>-5.0511148675842499E-3</v>
      </c>
    </row>
    <row r="1169" spans="1:9" ht="16">
      <c r="A1169" s="106">
        <v>41611</v>
      </c>
      <c r="B1169" s="107">
        <v>3.91</v>
      </c>
      <c r="G1169" s="111">
        <v>41607</v>
      </c>
      <c r="H1169" s="112">
        <v>487.76</v>
      </c>
      <c r="I1169" s="114">
        <f t="shared" si="18"/>
        <v>-1.3450375194676512E-2</v>
      </c>
    </row>
    <row r="1170" spans="1:9" ht="16">
      <c r="A1170" s="106">
        <v>41612</v>
      </c>
      <c r="B1170" s="107">
        <v>3.9</v>
      </c>
      <c r="G1170" s="111">
        <v>41608</v>
      </c>
      <c r="H1170" s="112">
        <v>485.19</v>
      </c>
      <c r="I1170" s="114">
        <f t="shared" si="18"/>
        <v>-5.2689847465966499E-3</v>
      </c>
    </row>
    <row r="1171" spans="1:9" ht="16">
      <c r="A1171" s="106">
        <v>41613</v>
      </c>
      <c r="B1171" s="107">
        <v>3.89</v>
      </c>
      <c r="G1171" s="111">
        <v>41611</v>
      </c>
      <c r="H1171" s="112">
        <v>487</v>
      </c>
      <c r="I1171" s="114">
        <f t="shared" si="18"/>
        <v>3.7304973309424394E-3</v>
      </c>
    </row>
    <row r="1172" spans="1:9" ht="16">
      <c r="A1172" s="106">
        <v>41614</v>
      </c>
      <c r="B1172" s="107">
        <v>3.91</v>
      </c>
      <c r="G1172" s="111">
        <v>41612</v>
      </c>
      <c r="H1172" s="112">
        <v>484.81</v>
      </c>
      <c r="I1172" s="114">
        <f t="shared" si="18"/>
        <v>-4.4969199178644947E-3</v>
      </c>
    </row>
    <row r="1173" spans="1:9" ht="16">
      <c r="A1173" s="106">
        <v>41615</v>
      </c>
      <c r="B1173" s="107">
        <v>3.92</v>
      </c>
      <c r="G1173" s="111">
        <v>41613</v>
      </c>
      <c r="H1173" s="112">
        <v>478.52</v>
      </c>
      <c r="I1173" s="114">
        <f t="shared" si="18"/>
        <v>-1.2974154823539141E-2</v>
      </c>
    </row>
    <row r="1174" spans="1:9" ht="16">
      <c r="A1174" s="106">
        <v>41618</v>
      </c>
      <c r="B1174" s="107">
        <v>3.92</v>
      </c>
      <c r="G1174" s="111">
        <v>41614</v>
      </c>
      <c r="H1174" s="112">
        <v>478.18</v>
      </c>
      <c r="I1174" s="114">
        <f t="shared" si="18"/>
        <v>-7.1052411602434695E-4</v>
      </c>
    </row>
    <row r="1175" spans="1:9" ht="16">
      <c r="A1175" s="106">
        <v>41619</v>
      </c>
      <c r="B1175" s="107">
        <v>3.94</v>
      </c>
      <c r="G1175" s="111">
        <v>41615</v>
      </c>
      <c r="H1175" s="112">
        <v>482.7</v>
      </c>
      <c r="I1175" s="114">
        <f t="shared" si="18"/>
        <v>9.4525074239826257E-3</v>
      </c>
    </row>
    <row r="1176" spans="1:9" ht="16">
      <c r="A1176" s="106">
        <v>41620</v>
      </c>
      <c r="B1176" s="107">
        <v>3.93</v>
      </c>
      <c r="G1176" s="111">
        <v>41618</v>
      </c>
      <c r="H1176" s="112">
        <v>486.95</v>
      </c>
      <c r="I1176" s="114">
        <f t="shared" si="18"/>
        <v>8.804640563496946E-3</v>
      </c>
    </row>
    <row r="1177" spans="1:9" ht="16">
      <c r="A1177" s="106">
        <v>41621</v>
      </c>
      <c r="B1177" s="107">
        <v>3.92</v>
      </c>
      <c r="G1177" s="111">
        <v>41619</v>
      </c>
      <c r="H1177" s="112">
        <v>483.45</v>
      </c>
      <c r="I1177" s="114">
        <f t="shared" si="18"/>
        <v>-7.1875962624499135E-3</v>
      </c>
    </row>
    <row r="1178" spans="1:9" ht="16">
      <c r="A1178" s="106">
        <v>41622</v>
      </c>
      <c r="B1178" s="107">
        <v>3.92</v>
      </c>
      <c r="G1178" s="111">
        <v>41620</v>
      </c>
      <c r="H1178" s="112">
        <v>486.05</v>
      </c>
      <c r="I1178" s="114">
        <f t="shared" si="18"/>
        <v>5.3780122039508438E-3</v>
      </c>
    </row>
    <row r="1179" spans="1:9" ht="16">
      <c r="A1179" s="106">
        <v>41625</v>
      </c>
      <c r="B1179" s="107">
        <v>3.93</v>
      </c>
      <c r="G1179" s="111">
        <v>41621</v>
      </c>
      <c r="H1179" s="112">
        <v>487.45</v>
      </c>
      <c r="I1179" s="114">
        <f t="shared" si="18"/>
        <v>2.8803621026642912E-3</v>
      </c>
    </row>
    <row r="1180" spans="1:9" ht="16">
      <c r="A1180" s="106">
        <v>41626</v>
      </c>
      <c r="B1180" s="107">
        <v>3.94</v>
      </c>
      <c r="G1180" s="111">
        <v>41622</v>
      </c>
      <c r="H1180" s="112">
        <v>486.7</v>
      </c>
      <c r="I1180" s="114">
        <f t="shared" si="18"/>
        <v>-1.5386193455738661E-3</v>
      </c>
    </row>
    <row r="1181" spans="1:9" ht="16">
      <c r="A1181" s="106">
        <v>41627</v>
      </c>
      <c r="B1181" s="107">
        <v>3.96</v>
      </c>
      <c r="G1181" s="111">
        <v>41625</v>
      </c>
      <c r="H1181" s="112">
        <v>492.33</v>
      </c>
      <c r="I1181" s="114">
        <f t="shared" si="18"/>
        <v>1.1567700842407991E-2</v>
      </c>
    </row>
    <row r="1182" spans="1:9" ht="16">
      <c r="A1182" s="106">
        <v>41628</v>
      </c>
      <c r="B1182" s="107">
        <v>3.97</v>
      </c>
      <c r="G1182" s="111">
        <v>41626</v>
      </c>
      <c r="H1182" s="112">
        <v>492.88</v>
      </c>
      <c r="I1182" s="114">
        <f t="shared" si="18"/>
        <v>1.1171368797351366E-3</v>
      </c>
    </row>
    <row r="1183" spans="1:9" ht="16">
      <c r="A1183" s="106">
        <v>41629</v>
      </c>
      <c r="B1183" s="107">
        <v>3.97</v>
      </c>
      <c r="G1183" s="111">
        <v>41627</v>
      </c>
      <c r="H1183" s="112">
        <v>493.65</v>
      </c>
      <c r="I1183" s="114">
        <f t="shared" si="18"/>
        <v>1.562246388573163E-3</v>
      </c>
    </row>
    <row r="1184" spans="1:9" ht="16">
      <c r="A1184" s="106">
        <v>41633</v>
      </c>
      <c r="B1184" s="107">
        <v>3.97</v>
      </c>
      <c r="G1184" s="111">
        <v>41628</v>
      </c>
      <c r="H1184" s="112">
        <v>496.4</v>
      </c>
      <c r="I1184" s="114">
        <f t="shared" si="18"/>
        <v>5.5707485060265682E-3</v>
      </c>
    </row>
    <row r="1185" spans="1:9" ht="16">
      <c r="A1185" s="106">
        <v>41634</v>
      </c>
      <c r="B1185" s="107">
        <v>3.96</v>
      </c>
      <c r="G1185" s="111">
        <v>41629</v>
      </c>
      <c r="H1185" s="112">
        <v>498.96</v>
      </c>
      <c r="I1185" s="114">
        <f>H1185/H1184-1</f>
        <v>5.1571313456890699E-3</v>
      </c>
    </row>
    <row r="1186" spans="1:9" ht="16">
      <c r="A1186" s="106">
        <v>41635</v>
      </c>
      <c r="B1186" s="107">
        <v>3.95</v>
      </c>
      <c r="G1186" s="111">
        <v>41632</v>
      </c>
      <c r="H1186" s="112">
        <v>498.93</v>
      </c>
      <c r="I1186" s="114">
        <f t="shared" si="18"/>
        <v>-6.0125060124982532E-5</v>
      </c>
    </row>
    <row r="1187" spans="1:9" ht="16">
      <c r="A1187" s="106">
        <v>41636</v>
      </c>
      <c r="B1187" s="107">
        <v>3.95</v>
      </c>
      <c r="G1187" s="111">
        <v>41633</v>
      </c>
      <c r="H1187" s="112">
        <v>498.43</v>
      </c>
      <c r="I1187" s="114">
        <f t="shared" si="18"/>
        <v>-1.0021445894213832E-3</v>
      </c>
    </row>
    <row r="1188" spans="1:9" ht="16">
      <c r="A1188" s="106">
        <v>41638</v>
      </c>
      <c r="B1188" s="107">
        <v>3.75</v>
      </c>
      <c r="G1188" s="111">
        <v>41634</v>
      </c>
      <c r="H1188" s="112">
        <v>500.76</v>
      </c>
      <c r="I1188" s="114">
        <f t="shared" si="18"/>
        <v>4.6746784904601046E-3</v>
      </c>
    </row>
    <row r="1189" spans="1:9" ht="16">
      <c r="A1189" s="106">
        <v>41640</v>
      </c>
      <c r="B1189" s="107">
        <v>3.75</v>
      </c>
      <c r="G1189" s="111">
        <v>41635</v>
      </c>
      <c r="H1189" s="112">
        <v>503.87</v>
      </c>
      <c r="I1189" s="114">
        <f t="shared" si="18"/>
        <v>6.2105599488777585E-3</v>
      </c>
    </row>
    <row r="1190" spans="1:9" ht="16">
      <c r="A1190" s="106">
        <v>41641</v>
      </c>
      <c r="B1190" s="107">
        <v>3.74</v>
      </c>
      <c r="G1190" s="111">
        <v>41636</v>
      </c>
      <c r="H1190" s="112">
        <v>506.47</v>
      </c>
      <c r="I1190" s="114">
        <f t="shared" si="18"/>
        <v>5.1600611268780572E-3</v>
      </c>
    </row>
    <row r="1191" spans="1:9" ht="16">
      <c r="A1191" s="106">
        <v>41642</v>
      </c>
      <c r="B1191" s="107">
        <v>3.74</v>
      </c>
      <c r="G1191" s="111">
        <v>41639</v>
      </c>
      <c r="H1191" s="112">
        <v>506.16</v>
      </c>
      <c r="I1191" s="114">
        <f t="shared" si="18"/>
        <v>-6.1207968882659447E-4</v>
      </c>
    </row>
    <row r="1192" spans="1:9" ht="16">
      <c r="A1192" s="106">
        <v>41643</v>
      </c>
      <c r="B1192" s="107">
        <v>3.74</v>
      </c>
      <c r="G1192" s="111">
        <v>41640</v>
      </c>
      <c r="H1192" s="112">
        <v>514.64</v>
      </c>
      <c r="I1192" s="114">
        <f t="shared" si="18"/>
        <v>1.675359570096413E-2</v>
      </c>
    </row>
    <row r="1193" spans="1:9" ht="16">
      <c r="A1193" s="106">
        <v>41646</v>
      </c>
      <c r="B1193" s="107">
        <v>3.74</v>
      </c>
      <c r="G1193" s="111">
        <v>41641</v>
      </c>
      <c r="H1193" s="112">
        <v>517.6</v>
      </c>
      <c r="I1193" s="114">
        <f t="shared" si="18"/>
        <v>5.751593346805528E-3</v>
      </c>
    </row>
    <row r="1194" spans="1:9" ht="16">
      <c r="A1194" s="106">
        <v>41647</v>
      </c>
      <c r="B1194" s="107">
        <v>3.76</v>
      </c>
      <c r="G1194" s="111">
        <v>41642</v>
      </c>
      <c r="H1194" s="112">
        <v>522.30999999999995</v>
      </c>
      <c r="I1194" s="114">
        <f t="shared" si="18"/>
        <v>9.0996908809890531E-3</v>
      </c>
    </row>
    <row r="1195" spans="1:9" ht="16">
      <c r="A1195" s="106">
        <v>41648</v>
      </c>
      <c r="B1195" s="107">
        <v>3.78</v>
      </c>
      <c r="G1195" s="111">
        <v>41643</v>
      </c>
      <c r="H1195" s="112">
        <v>525.30999999999995</v>
      </c>
      <c r="I1195" s="114">
        <f t="shared" si="18"/>
        <v>5.7437154180468575E-3</v>
      </c>
    </row>
    <row r="1196" spans="1:9" ht="16">
      <c r="A1196" s="106">
        <v>41649</v>
      </c>
      <c r="B1196" s="107">
        <v>3.77</v>
      </c>
      <c r="G1196" s="111">
        <v>41646</v>
      </c>
      <c r="H1196" s="112">
        <v>527.64</v>
      </c>
      <c r="I1196" s="114">
        <f t="shared" si="18"/>
        <v>4.4354761950087251E-3</v>
      </c>
    </row>
    <row r="1197" spans="1:9" ht="16">
      <c r="A1197" s="106">
        <v>41650</v>
      </c>
      <c r="B1197" s="107">
        <v>3.78</v>
      </c>
      <c r="G1197" s="111">
        <v>41647</v>
      </c>
      <c r="H1197" s="112">
        <v>527.26</v>
      </c>
      <c r="I1197" s="114">
        <f t="shared" si="18"/>
        <v>-7.2018800697448704E-4</v>
      </c>
    </row>
    <row r="1198" spans="1:9" ht="16">
      <c r="A1198" s="106">
        <v>41653</v>
      </c>
      <c r="B1198" s="107">
        <v>3.78</v>
      </c>
      <c r="G1198" s="111">
        <v>41648</v>
      </c>
      <c r="H1198" s="112">
        <v>525.33000000000004</v>
      </c>
      <c r="I1198" s="114">
        <f t="shared" si="18"/>
        <v>-3.6604331828697934E-3</v>
      </c>
    </row>
    <row r="1199" spans="1:9" ht="16">
      <c r="A1199" s="106">
        <v>41654</v>
      </c>
      <c r="B1199" s="107">
        <v>3.77</v>
      </c>
      <c r="G1199" s="111">
        <v>41649</v>
      </c>
      <c r="H1199" s="112">
        <v>525.67999999999995</v>
      </c>
      <c r="I1199" s="114">
        <f t="shared" si="18"/>
        <v>6.6624788228342169E-4</v>
      </c>
    </row>
    <row r="1200" spans="1:9" ht="16">
      <c r="A1200" s="106">
        <v>41655</v>
      </c>
      <c r="B1200" s="107">
        <v>3.78</v>
      </c>
      <c r="G1200" s="111">
        <v>41650</v>
      </c>
      <c r="H1200" s="112">
        <v>529.61</v>
      </c>
      <c r="I1200" s="114">
        <f t="shared" si="18"/>
        <v>7.4760310455030954E-3</v>
      </c>
    </row>
    <row r="1201" spans="1:9" ht="16">
      <c r="A1201" s="106">
        <v>41656</v>
      </c>
      <c r="B1201" s="107">
        <v>3.8</v>
      </c>
      <c r="G1201" s="111">
        <v>41653</v>
      </c>
      <c r="H1201" s="112">
        <v>530.32000000000005</v>
      </c>
      <c r="I1201" s="114">
        <f t="shared" si="18"/>
        <v>1.3406091274712484E-3</v>
      </c>
    </row>
    <row r="1202" spans="1:9" ht="16">
      <c r="A1202" s="106">
        <v>41657</v>
      </c>
      <c r="B1202" s="107">
        <v>3.82</v>
      </c>
      <c r="G1202" s="111">
        <v>41654</v>
      </c>
      <c r="H1202" s="112">
        <v>532.35</v>
      </c>
      <c r="I1202" s="114">
        <f t="shared" si="18"/>
        <v>3.8278775079196858E-3</v>
      </c>
    </row>
    <row r="1203" spans="1:9" ht="16">
      <c r="A1203" s="106">
        <v>41660</v>
      </c>
      <c r="B1203" s="107">
        <v>3.83</v>
      </c>
      <c r="G1203" s="111">
        <v>41655</v>
      </c>
      <c r="H1203" s="112">
        <v>535.55999999999995</v>
      </c>
      <c r="I1203" s="114">
        <f t="shared" si="18"/>
        <v>6.029867568329017E-3</v>
      </c>
    </row>
    <row r="1204" spans="1:9" ht="16">
      <c r="A1204" s="106">
        <v>41661</v>
      </c>
      <c r="B1204" s="107">
        <v>3.81</v>
      </c>
      <c r="G1204" s="111">
        <v>41656</v>
      </c>
      <c r="H1204" s="112">
        <v>537.66</v>
      </c>
      <c r="I1204" s="114">
        <f t="shared" si="18"/>
        <v>3.9211292852341373E-3</v>
      </c>
    </row>
    <row r="1205" spans="1:9" ht="16">
      <c r="A1205" s="106">
        <v>41662</v>
      </c>
      <c r="B1205" s="107">
        <v>3.81</v>
      </c>
      <c r="G1205" s="111">
        <v>41657</v>
      </c>
      <c r="H1205" s="112">
        <v>540.21</v>
      </c>
      <c r="I1205" s="114">
        <f t="shared" si="18"/>
        <v>4.7427742439460907E-3</v>
      </c>
    </row>
    <row r="1206" spans="1:9" ht="16">
      <c r="A1206" s="106">
        <v>41663</v>
      </c>
      <c r="B1206" s="107">
        <v>3.8</v>
      </c>
      <c r="G1206" s="111">
        <v>41660</v>
      </c>
      <c r="H1206" s="112">
        <v>544.44000000000005</v>
      </c>
      <c r="I1206" s="114">
        <f t="shared" si="18"/>
        <v>7.8302882212473168E-3</v>
      </c>
    </row>
    <row r="1207" spans="1:9" ht="16">
      <c r="A1207" s="106">
        <v>41664</v>
      </c>
      <c r="B1207" s="107">
        <v>3.81</v>
      </c>
      <c r="G1207" s="111">
        <v>41661</v>
      </c>
      <c r="H1207" s="112">
        <v>549.11</v>
      </c>
      <c r="I1207" s="114">
        <f t="shared" si="18"/>
        <v>8.577621041804262E-3</v>
      </c>
    </row>
    <row r="1208" spans="1:9" ht="16">
      <c r="A1208" s="106">
        <v>41667</v>
      </c>
      <c r="B1208" s="107">
        <v>3.85</v>
      </c>
      <c r="G1208" s="111">
        <v>41662</v>
      </c>
      <c r="H1208" s="112">
        <v>552.88</v>
      </c>
      <c r="I1208" s="114">
        <f t="shared" si="18"/>
        <v>6.8656553331754022E-3</v>
      </c>
    </row>
    <row r="1209" spans="1:9" ht="16">
      <c r="A1209" s="106">
        <v>41668</v>
      </c>
      <c r="B1209" s="107">
        <v>3.86</v>
      </c>
      <c r="G1209" s="111">
        <v>41663</v>
      </c>
      <c r="H1209" s="112">
        <v>553.58000000000004</v>
      </c>
      <c r="I1209" s="114">
        <f t="shared" si="18"/>
        <v>1.2660975256837403E-3</v>
      </c>
    </row>
    <row r="1210" spans="1:9" ht="16">
      <c r="A1210" s="106">
        <v>41669</v>
      </c>
      <c r="B1210" s="107">
        <v>3.88</v>
      </c>
      <c r="G1210" s="111">
        <v>41664</v>
      </c>
      <c r="H1210" s="112">
        <v>558.13</v>
      </c>
      <c r="I1210" s="114">
        <f t="shared" si="18"/>
        <v>8.2192275732504427E-3</v>
      </c>
    </row>
    <row r="1211" spans="1:9" ht="16">
      <c r="A1211" s="106">
        <v>41670</v>
      </c>
      <c r="B1211" s="107">
        <v>3.91</v>
      </c>
      <c r="G1211" s="111">
        <v>41667</v>
      </c>
      <c r="H1211" s="112">
        <v>554.91</v>
      </c>
      <c r="I1211" s="114">
        <f t="shared" si="18"/>
        <v>-5.769265224947695E-3</v>
      </c>
    </row>
    <row r="1212" spans="1:9" ht="16">
      <c r="A1212" s="106">
        <v>41671</v>
      </c>
      <c r="B1212" s="107">
        <v>3.94</v>
      </c>
      <c r="G1212" s="111">
        <v>41668</v>
      </c>
      <c r="H1212" s="112">
        <v>547.16999999999996</v>
      </c>
      <c r="I1212" s="114">
        <f t="shared" si="18"/>
        <v>-1.394820781748396E-2</v>
      </c>
    </row>
    <row r="1213" spans="1:9" ht="16">
      <c r="A1213" s="106">
        <v>41674</v>
      </c>
      <c r="B1213" s="107">
        <v>3.96</v>
      </c>
      <c r="G1213" s="111">
        <v>41669</v>
      </c>
      <c r="H1213" s="112">
        <v>549.96</v>
      </c>
      <c r="I1213" s="114">
        <f t="shared" si="18"/>
        <v>5.0989637589782255E-3</v>
      </c>
    </row>
    <row r="1214" spans="1:9" ht="16">
      <c r="A1214" s="106">
        <v>41675</v>
      </c>
      <c r="B1214" s="107">
        <v>3.95</v>
      </c>
      <c r="G1214" s="111">
        <v>41670</v>
      </c>
      <c r="H1214" s="112">
        <v>547.83000000000004</v>
      </c>
      <c r="I1214" s="114">
        <f t="shared" si="18"/>
        <v>-3.8730089461052053E-3</v>
      </c>
    </row>
    <row r="1215" spans="1:9" ht="16">
      <c r="A1215" s="106">
        <v>41676</v>
      </c>
      <c r="B1215" s="107">
        <v>3.95</v>
      </c>
      <c r="G1215" s="111">
        <v>41671</v>
      </c>
      <c r="H1215" s="112">
        <v>540.84</v>
      </c>
      <c r="I1215" s="114">
        <f t="shared" si="18"/>
        <v>-1.2759432670718995E-2</v>
      </c>
    </row>
    <row r="1216" spans="1:9" ht="16">
      <c r="A1216" s="106">
        <v>41677</v>
      </c>
      <c r="B1216" s="107">
        <v>4.01</v>
      </c>
      <c r="G1216" s="111">
        <v>41674</v>
      </c>
      <c r="H1216" s="112">
        <v>532.07000000000005</v>
      </c>
      <c r="I1216" s="114">
        <f t="shared" si="18"/>
        <v>-1.6215516603801494E-2</v>
      </c>
    </row>
    <row r="1217" spans="1:9" ht="16">
      <c r="A1217" s="106">
        <v>41678</v>
      </c>
      <c r="B1217" s="107">
        <v>4.07</v>
      </c>
      <c r="G1217" s="111">
        <v>41675</v>
      </c>
      <c r="H1217" s="112">
        <v>516.70000000000005</v>
      </c>
      <c r="I1217" s="114">
        <f t="shared" si="18"/>
        <v>-2.8887176499332812E-2</v>
      </c>
    </row>
    <row r="1218" spans="1:9" ht="16">
      <c r="A1218" s="106">
        <v>41681</v>
      </c>
      <c r="B1218" s="107">
        <v>4.05</v>
      </c>
      <c r="G1218" s="111">
        <v>41676</v>
      </c>
      <c r="H1218" s="112">
        <v>517.20000000000005</v>
      </c>
      <c r="I1218" s="114">
        <f t="shared" si="18"/>
        <v>9.6767950454812457E-4</v>
      </c>
    </row>
    <row r="1219" spans="1:9" ht="16">
      <c r="A1219" s="106">
        <v>41682</v>
      </c>
      <c r="B1219" s="107">
        <v>4.05</v>
      </c>
      <c r="G1219" s="111">
        <v>41677</v>
      </c>
      <c r="H1219" s="112">
        <v>512.37</v>
      </c>
      <c r="I1219" s="114">
        <f t="shared" si="18"/>
        <v>-9.3387470997680078E-3</v>
      </c>
    </row>
    <row r="1220" spans="1:9" ht="16">
      <c r="A1220" s="106">
        <v>41683</v>
      </c>
      <c r="B1220" s="107">
        <v>4.08</v>
      </c>
      <c r="G1220" s="111">
        <v>41678</v>
      </c>
      <c r="H1220" s="112">
        <v>504.47</v>
      </c>
      <c r="I1220" s="114">
        <f t="shared" si="18"/>
        <v>-1.5418545191951072E-2</v>
      </c>
    </row>
    <row r="1221" spans="1:9" ht="16">
      <c r="A1221" s="106">
        <v>41684</v>
      </c>
      <c r="B1221" s="107">
        <v>4.09</v>
      </c>
      <c r="G1221" s="111">
        <v>41681</v>
      </c>
      <c r="H1221" s="112">
        <v>508.42</v>
      </c>
      <c r="I1221" s="114">
        <f t="shared" si="18"/>
        <v>7.8299998017721251E-3</v>
      </c>
    </row>
    <row r="1222" spans="1:9" ht="16">
      <c r="A1222" s="106">
        <v>41685</v>
      </c>
      <c r="B1222" s="107">
        <v>4.0599999999999996</v>
      </c>
      <c r="G1222" s="111">
        <v>41682</v>
      </c>
      <c r="H1222" s="112">
        <v>512.65</v>
      </c>
      <c r="I1222" s="114">
        <f t="shared" si="18"/>
        <v>8.319893001848877E-3</v>
      </c>
    </row>
    <row r="1223" spans="1:9" ht="16">
      <c r="A1223" s="106">
        <v>41688</v>
      </c>
      <c r="B1223" s="107">
        <v>4.0599999999999996</v>
      </c>
      <c r="G1223" s="111">
        <v>41683</v>
      </c>
      <c r="H1223" s="112">
        <v>520.96</v>
      </c>
      <c r="I1223" s="114">
        <f t="shared" si="18"/>
        <v>1.6209889788354692E-2</v>
      </c>
    </row>
    <row r="1224" spans="1:9" ht="16">
      <c r="A1224" s="106">
        <v>41689</v>
      </c>
      <c r="B1224" s="107">
        <v>4.09</v>
      </c>
      <c r="G1224" s="111">
        <v>41684</v>
      </c>
      <c r="H1224" s="112">
        <v>529.07000000000005</v>
      </c>
      <c r="I1224" s="114">
        <f t="shared" si="18"/>
        <v>1.5567414004914015E-2</v>
      </c>
    </row>
    <row r="1225" spans="1:9" ht="16">
      <c r="A1225" s="106">
        <v>41690</v>
      </c>
      <c r="B1225" s="107">
        <v>4.09</v>
      </c>
      <c r="G1225" s="111">
        <v>41685</v>
      </c>
      <c r="H1225" s="112">
        <v>527.9</v>
      </c>
      <c r="I1225" s="114">
        <f t="shared" si="18"/>
        <v>-2.2114275993726507E-3</v>
      </c>
    </row>
    <row r="1226" spans="1:9" ht="16">
      <c r="A1226" s="106">
        <v>41691</v>
      </c>
      <c r="B1226" s="107">
        <v>4.0999999999999996</v>
      </c>
      <c r="G1226" s="111">
        <v>41688</v>
      </c>
      <c r="H1226" s="112">
        <v>527.22</v>
      </c>
      <c r="I1226" s="114">
        <f t="shared" si="18"/>
        <v>-1.2881227505208148E-3</v>
      </c>
    </row>
    <row r="1227" spans="1:9" ht="16">
      <c r="A1227" s="106">
        <v>41692</v>
      </c>
      <c r="B1227" s="107">
        <v>4.09</v>
      </c>
      <c r="G1227" s="111">
        <v>41689</v>
      </c>
      <c r="H1227" s="112">
        <v>525.41</v>
      </c>
      <c r="I1227" s="114">
        <f t="shared" si="18"/>
        <v>-3.4331019308828647E-3</v>
      </c>
    </row>
    <row r="1228" spans="1:9" ht="16">
      <c r="A1228" s="106">
        <v>41695</v>
      </c>
      <c r="B1228" s="107">
        <v>4.0599999999999996</v>
      </c>
      <c r="G1228" s="111">
        <v>41690</v>
      </c>
      <c r="H1228" s="112">
        <v>532.5</v>
      </c>
      <c r="I1228" s="114">
        <f t="shared" si="18"/>
        <v>1.3494223558744745E-2</v>
      </c>
    </row>
    <row r="1229" spans="1:9" ht="16">
      <c r="A1229" s="106">
        <v>41696</v>
      </c>
      <c r="B1229" s="107">
        <v>4.0599999999999996</v>
      </c>
      <c r="G1229" s="111">
        <v>41691</v>
      </c>
      <c r="H1229" s="112">
        <v>529.71</v>
      </c>
      <c r="I1229" s="114">
        <f t="shared" si="18"/>
        <v>-5.2394366197182629E-3</v>
      </c>
    </row>
    <row r="1230" spans="1:9" ht="16">
      <c r="A1230" s="106">
        <v>41697</v>
      </c>
      <c r="B1230" s="107">
        <v>4.1100000000000003</v>
      </c>
      <c r="G1230" s="111">
        <v>41692</v>
      </c>
      <c r="H1230" s="112">
        <v>535.87</v>
      </c>
      <c r="I1230" s="114">
        <f t="shared" si="18"/>
        <v>1.1629004549659205E-2</v>
      </c>
    </row>
    <row r="1231" spans="1:9" ht="16">
      <c r="A1231" s="106">
        <v>41698</v>
      </c>
      <c r="B1231" s="107">
        <v>4.1100000000000003</v>
      </c>
      <c r="G1231" s="111">
        <v>41695</v>
      </c>
      <c r="H1231" s="112">
        <v>537.79</v>
      </c>
      <c r="I1231" s="114">
        <f t="shared" ref="I1231:I1294" si="19">H1231/H1230-1</f>
        <v>3.582958553380422E-3</v>
      </c>
    </row>
    <row r="1232" spans="1:9" ht="16">
      <c r="A1232" s="106">
        <v>41699</v>
      </c>
      <c r="B1232" s="107">
        <v>4.1100000000000003</v>
      </c>
      <c r="G1232" s="111">
        <v>41696</v>
      </c>
      <c r="H1232" s="112">
        <v>533.20000000000005</v>
      </c>
      <c r="I1232" s="114">
        <f t="shared" si="19"/>
        <v>-8.534929991260376E-3</v>
      </c>
    </row>
    <row r="1233" spans="1:9" ht="16">
      <c r="A1233" s="106">
        <v>41702</v>
      </c>
      <c r="B1233" s="107">
        <v>4.0999999999999996</v>
      </c>
      <c r="G1233" s="111">
        <v>41697</v>
      </c>
      <c r="H1233" s="112">
        <v>527.28</v>
      </c>
      <c r="I1233" s="114">
        <f t="shared" si="19"/>
        <v>-1.1102775693923594E-2</v>
      </c>
    </row>
    <row r="1234" spans="1:9" ht="16">
      <c r="A1234" s="106">
        <v>41703</v>
      </c>
      <c r="B1234" s="107">
        <v>4.1100000000000003</v>
      </c>
      <c r="G1234" s="111">
        <v>41698</v>
      </c>
      <c r="H1234" s="112">
        <v>526.02</v>
      </c>
      <c r="I1234" s="114">
        <f t="shared" si="19"/>
        <v>-2.3896222121073674E-3</v>
      </c>
    </row>
    <row r="1235" spans="1:9" ht="16">
      <c r="A1235" s="106">
        <v>41704</v>
      </c>
      <c r="B1235" s="107">
        <v>4.12</v>
      </c>
      <c r="G1235" s="111">
        <v>41699</v>
      </c>
      <c r="H1235" s="112">
        <v>521.99</v>
      </c>
      <c r="I1235" s="114">
        <f t="shared" si="19"/>
        <v>-7.6613056537773172E-3</v>
      </c>
    </row>
    <row r="1236" spans="1:9" ht="16">
      <c r="A1236" s="106">
        <v>41705</v>
      </c>
      <c r="B1236" s="107">
        <v>4.12</v>
      </c>
      <c r="G1236" s="111">
        <v>41702</v>
      </c>
      <c r="H1236" s="112">
        <v>519.77</v>
      </c>
      <c r="I1236" s="114">
        <f t="shared" si="19"/>
        <v>-4.2529550374529324E-3</v>
      </c>
    </row>
    <row r="1237" spans="1:9" ht="16">
      <c r="A1237" s="106">
        <v>41706</v>
      </c>
      <c r="B1237" s="107">
        <v>4.13</v>
      </c>
      <c r="G1237" s="111">
        <v>41703</v>
      </c>
      <c r="H1237" s="112">
        <v>525.89</v>
      </c>
      <c r="I1237" s="114">
        <f t="shared" si="19"/>
        <v>1.1774438694037714E-2</v>
      </c>
    </row>
    <row r="1238" spans="1:9" ht="16">
      <c r="A1238" s="106">
        <v>41709</v>
      </c>
      <c r="B1238" s="107">
        <v>4.13</v>
      </c>
      <c r="G1238" s="111">
        <v>41704</v>
      </c>
      <c r="H1238" s="112">
        <v>522.91999999999996</v>
      </c>
      <c r="I1238" s="114">
        <f t="shared" si="19"/>
        <v>-5.6475688832265947E-3</v>
      </c>
    </row>
    <row r="1239" spans="1:9" ht="16">
      <c r="A1239" s="106">
        <v>41710</v>
      </c>
      <c r="B1239" s="107">
        <v>4.12</v>
      </c>
      <c r="G1239" s="111">
        <v>41705</v>
      </c>
      <c r="H1239" s="112">
        <v>524.74</v>
      </c>
      <c r="I1239" s="114">
        <f t="shared" si="19"/>
        <v>3.480455901476498E-3</v>
      </c>
    </row>
    <row r="1240" spans="1:9" ht="16">
      <c r="A1240" s="106">
        <v>41711</v>
      </c>
      <c r="B1240" s="107">
        <v>4.12</v>
      </c>
      <c r="G1240" s="111">
        <v>41706</v>
      </c>
      <c r="H1240" s="112">
        <v>529.38</v>
      </c>
      <c r="I1240" s="114">
        <f t="shared" si="19"/>
        <v>8.8424743682584683E-3</v>
      </c>
    </row>
    <row r="1241" spans="1:9" ht="16">
      <c r="A1241" s="106">
        <v>41712</v>
      </c>
      <c r="B1241" s="107">
        <v>4.13</v>
      </c>
      <c r="G1241" s="111">
        <v>41709</v>
      </c>
      <c r="H1241" s="112">
        <v>535.39</v>
      </c>
      <c r="I1241" s="114">
        <f t="shared" si="19"/>
        <v>1.1352903396425917E-2</v>
      </c>
    </row>
    <row r="1242" spans="1:9" ht="16">
      <c r="A1242" s="106">
        <v>41713</v>
      </c>
      <c r="B1242" s="107">
        <v>4.13</v>
      </c>
      <c r="G1242" s="111">
        <v>41710</v>
      </c>
      <c r="H1242" s="112">
        <v>535.57000000000005</v>
      </c>
      <c r="I1242" s="114">
        <f t="shared" si="19"/>
        <v>3.3620351519458858E-4</v>
      </c>
    </row>
    <row r="1243" spans="1:9" ht="16">
      <c r="A1243" s="106">
        <v>41716</v>
      </c>
      <c r="B1243" s="107">
        <v>4.16</v>
      </c>
      <c r="G1243" s="111">
        <v>41711</v>
      </c>
      <c r="H1243" s="112">
        <v>533.27</v>
      </c>
      <c r="I1243" s="114">
        <f t="shared" si="19"/>
        <v>-4.2944899826354854E-3</v>
      </c>
    </row>
    <row r="1244" spans="1:9" ht="16">
      <c r="A1244" s="106">
        <v>41717</v>
      </c>
      <c r="B1244" s="107">
        <v>4.18</v>
      </c>
      <c r="G1244" s="111">
        <v>41712</v>
      </c>
      <c r="H1244" s="112">
        <v>532.23</v>
      </c>
      <c r="I1244" s="114">
        <f t="shared" si="19"/>
        <v>-1.9502315900012945E-3</v>
      </c>
    </row>
    <row r="1245" spans="1:9" ht="16">
      <c r="A1245" s="106">
        <v>41718</v>
      </c>
      <c r="B1245" s="107">
        <v>4.2</v>
      </c>
      <c r="G1245" s="111">
        <v>41713</v>
      </c>
      <c r="H1245" s="112">
        <v>530.58000000000004</v>
      </c>
      <c r="I1245" s="114">
        <f t="shared" si="19"/>
        <v>-3.1001634631643293E-3</v>
      </c>
    </row>
    <row r="1246" spans="1:9" ht="16">
      <c r="A1246" s="106">
        <v>41719</v>
      </c>
      <c r="B1246" s="107">
        <v>4.18</v>
      </c>
      <c r="G1246" s="111">
        <v>41716</v>
      </c>
      <c r="H1246" s="112">
        <v>526.88</v>
      </c>
      <c r="I1246" s="114">
        <f t="shared" si="19"/>
        <v>-6.9735006973501434E-3</v>
      </c>
    </row>
    <row r="1247" spans="1:9" ht="16">
      <c r="A1247" s="106">
        <v>41720</v>
      </c>
      <c r="B1247" s="107">
        <v>4.1900000000000004</v>
      </c>
      <c r="G1247" s="111">
        <v>41717</v>
      </c>
      <c r="H1247" s="112">
        <v>528.83000000000004</v>
      </c>
      <c r="I1247" s="114">
        <f t="shared" si="19"/>
        <v>3.7010324931674443E-3</v>
      </c>
    </row>
    <row r="1248" spans="1:9" ht="16">
      <c r="A1248" s="106">
        <v>41723</v>
      </c>
      <c r="B1248" s="107">
        <v>4.2</v>
      </c>
      <c r="G1248" s="111">
        <v>41718</v>
      </c>
      <c r="H1248" s="112">
        <v>529.28</v>
      </c>
      <c r="I1248" s="114">
        <f t="shared" si="19"/>
        <v>8.5093508310785104E-4</v>
      </c>
    </row>
    <row r="1249" spans="1:9" ht="16">
      <c r="A1249" s="106">
        <v>41724</v>
      </c>
      <c r="B1249" s="107">
        <v>4.18</v>
      </c>
      <c r="G1249" s="111">
        <v>41719</v>
      </c>
      <c r="H1249" s="112">
        <v>523.11</v>
      </c>
      <c r="I1249" s="114">
        <f t="shared" si="19"/>
        <v>-1.1657345828294918E-2</v>
      </c>
    </row>
    <row r="1250" spans="1:9" ht="16">
      <c r="A1250" s="106">
        <v>41725</v>
      </c>
      <c r="B1250" s="107">
        <v>4.17</v>
      </c>
      <c r="G1250" s="111">
        <v>41720</v>
      </c>
      <c r="H1250" s="112">
        <v>514.80999999999995</v>
      </c>
      <c r="I1250" s="114">
        <f t="shared" si="19"/>
        <v>-1.586664372694091E-2</v>
      </c>
    </row>
    <row r="1251" spans="1:9" ht="16">
      <c r="A1251" s="106">
        <v>41726</v>
      </c>
      <c r="B1251" s="107">
        <v>4.16</v>
      </c>
      <c r="G1251" s="111">
        <v>41723</v>
      </c>
      <c r="H1251" s="112">
        <v>519.16999999999996</v>
      </c>
      <c r="I1251" s="114">
        <f t="shared" si="19"/>
        <v>8.4691439560227177E-3</v>
      </c>
    </row>
    <row r="1252" spans="1:9" ht="16">
      <c r="A1252" s="106">
        <v>41728</v>
      </c>
      <c r="B1252" s="107">
        <v>4.12</v>
      </c>
      <c r="G1252" s="111">
        <v>41724</v>
      </c>
      <c r="H1252" s="112">
        <v>519.91</v>
      </c>
      <c r="I1252" s="114">
        <f t="shared" si="19"/>
        <v>1.4253520041604961E-3</v>
      </c>
    </row>
    <row r="1253" spans="1:9" ht="16">
      <c r="A1253" s="106">
        <v>41730</v>
      </c>
      <c r="B1253" s="107">
        <v>4.13</v>
      </c>
      <c r="G1253" s="111">
        <v>41725</v>
      </c>
      <c r="H1253" s="112">
        <v>510.89</v>
      </c>
      <c r="I1253" s="114">
        <f t="shared" si="19"/>
        <v>-1.7349156584793524E-2</v>
      </c>
    </row>
    <row r="1254" spans="1:9" ht="16">
      <c r="A1254" s="106">
        <v>41731</v>
      </c>
      <c r="B1254" s="107">
        <v>4.12</v>
      </c>
      <c r="G1254" s="111">
        <v>41726</v>
      </c>
      <c r="H1254" s="112">
        <v>513.39</v>
      </c>
      <c r="I1254" s="114">
        <f t="shared" si="19"/>
        <v>4.893421284425159E-3</v>
      </c>
    </row>
    <row r="1255" spans="1:9" ht="16">
      <c r="A1255" s="106">
        <v>41732</v>
      </c>
      <c r="B1255" s="107">
        <v>4.12</v>
      </c>
      <c r="G1255" s="111">
        <v>41727</v>
      </c>
      <c r="H1255" s="112">
        <v>513.98</v>
      </c>
      <c r="I1255" s="114">
        <f t="shared" si="19"/>
        <v>1.1492237869845656E-3</v>
      </c>
    </row>
    <row r="1256" spans="1:9" ht="16">
      <c r="A1256" s="106">
        <v>41733</v>
      </c>
      <c r="B1256" s="107">
        <v>4.12</v>
      </c>
      <c r="G1256" s="111">
        <v>41730</v>
      </c>
      <c r="H1256" s="112">
        <v>513.36</v>
      </c>
      <c r="I1256" s="114">
        <f t="shared" si="19"/>
        <v>-1.2062726176116367E-3</v>
      </c>
    </row>
    <row r="1257" spans="1:9" ht="16">
      <c r="A1257" s="106">
        <v>41734</v>
      </c>
      <c r="B1257" s="107">
        <v>4.1100000000000003</v>
      </c>
      <c r="G1257" s="111">
        <v>41731</v>
      </c>
      <c r="H1257" s="112">
        <v>513.97</v>
      </c>
      <c r="I1257" s="114">
        <f t="shared" si="19"/>
        <v>1.1882499610409436E-3</v>
      </c>
    </row>
    <row r="1258" spans="1:9" ht="16">
      <c r="A1258" s="106">
        <v>41737</v>
      </c>
      <c r="B1258" s="107">
        <v>4.13</v>
      </c>
      <c r="G1258" s="111">
        <v>41732</v>
      </c>
      <c r="H1258" s="112">
        <v>508.55</v>
      </c>
      <c r="I1258" s="114">
        <f t="shared" si="19"/>
        <v>-1.0545362569799877E-2</v>
      </c>
    </row>
    <row r="1259" spans="1:9" ht="16">
      <c r="A1259" s="106">
        <v>41738</v>
      </c>
      <c r="B1259" s="107">
        <v>4.16</v>
      </c>
      <c r="G1259" s="111">
        <v>41733</v>
      </c>
      <c r="H1259" s="112">
        <v>512.85</v>
      </c>
      <c r="I1259" s="114">
        <f t="shared" si="19"/>
        <v>8.4554124471536429E-3</v>
      </c>
    </row>
    <row r="1260" spans="1:9" ht="16">
      <c r="A1260" s="106">
        <v>41739</v>
      </c>
      <c r="B1260" s="107">
        <v>4.16</v>
      </c>
      <c r="G1260" s="111">
        <v>41734</v>
      </c>
      <c r="H1260" s="112">
        <v>512.04999999999995</v>
      </c>
      <c r="I1260" s="114">
        <f t="shared" si="19"/>
        <v>-1.5599103051575636E-3</v>
      </c>
    </row>
    <row r="1261" spans="1:9" ht="16">
      <c r="A1261" s="106">
        <v>41740</v>
      </c>
      <c r="B1261" s="107">
        <v>4.16</v>
      </c>
      <c r="G1261" s="111">
        <v>41737</v>
      </c>
      <c r="H1261" s="112">
        <v>511.54</v>
      </c>
      <c r="I1261" s="114">
        <f t="shared" si="19"/>
        <v>-9.959964847181535E-4</v>
      </c>
    </row>
    <row r="1262" spans="1:9" ht="16">
      <c r="A1262" s="106">
        <v>41741</v>
      </c>
      <c r="B1262" s="107">
        <v>4.17</v>
      </c>
      <c r="G1262" s="111">
        <v>41738</v>
      </c>
      <c r="H1262" s="112">
        <v>517.01</v>
      </c>
      <c r="I1262" s="114">
        <f t="shared" si="19"/>
        <v>1.0693200922703872E-2</v>
      </c>
    </row>
    <row r="1263" spans="1:9" ht="16">
      <c r="A1263" s="106">
        <v>41744</v>
      </c>
      <c r="B1263" s="107">
        <v>4.1900000000000004</v>
      </c>
      <c r="G1263" s="111">
        <v>41739</v>
      </c>
      <c r="H1263" s="112">
        <v>517.46</v>
      </c>
      <c r="I1263" s="114">
        <f t="shared" si="19"/>
        <v>8.7038935417127483E-4</v>
      </c>
    </row>
    <row r="1264" spans="1:9" ht="16">
      <c r="A1264" s="106">
        <v>41745</v>
      </c>
      <c r="B1264" s="107">
        <v>4.1900000000000004</v>
      </c>
      <c r="G1264" s="111">
        <v>41740</v>
      </c>
      <c r="H1264" s="112">
        <v>518.28</v>
      </c>
      <c r="I1264" s="114">
        <f t="shared" si="19"/>
        <v>1.5846635488732108E-3</v>
      </c>
    </row>
    <row r="1265" spans="1:9" ht="16">
      <c r="A1265" s="106">
        <v>41746</v>
      </c>
      <c r="B1265" s="107">
        <v>4.1900000000000004</v>
      </c>
      <c r="G1265" s="111">
        <v>41741</v>
      </c>
      <c r="H1265" s="112">
        <v>515.12</v>
      </c>
      <c r="I1265" s="114">
        <f t="shared" si="19"/>
        <v>-6.0970903758585937E-3</v>
      </c>
    </row>
    <row r="1266" spans="1:9" ht="16">
      <c r="A1266" s="106">
        <v>41747</v>
      </c>
      <c r="B1266" s="107">
        <v>4.22</v>
      </c>
      <c r="G1266" s="111">
        <v>41744</v>
      </c>
      <c r="H1266" s="112">
        <v>511.98</v>
      </c>
      <c r="I1266" s="114">
        <f t="shared" si="19"/>
        <v>-6.0956670290417403E-3</v>
      </c>
    </row>
    <row r="1267" spans="1:9" ht="16">
      <c r="A1267" s="106">
        <v>41748</v>
      </c>
      <c r="B1267" s="107">
        <v>4.25</v>
      </c>
      <c r="G1267" s="111">
        <v>41745</v>
      </c>
      <c r="H1267" s="112">
        <v>512.11</v>
      </c>
      <c r="I1267" s="114">
        <f t="shared" si="19"/>
        <v>2.5391616860037658E-4</v>
      </c>
    </row>
    <row r="1268" spans="1:9" ht="16">
      <c r="A1268" s="106">
        <v>41751</v>
      </c>
      <c r="B1268" s="107">
        <v>4.28</v>
      </c>
      <c r="G1268" s="111">
        <v>41746</v>
      </c>
      <c r="H1268" s="112">
        <v>516.47</v>
      </c>
      <c r="I1268" s="114">
        <f t="shared" si="19"/>
        <v>8.513795864169893E-3</v>
      </c>
    </row>
    <row r="1269" spans="1:9" ht="16">
      <c r="A1269" s="106">
        <v>41752</v>
      </c>
      <c r="B1269" s="107">
        <v>4.28</v>
      </c>
      <c r="G1269" s="111">
        <v>41747</v>
      </c>
      <c r="H1269" s="112">
        <v>519.24</v>
      </c>
      <c r="I1269" s="114">
        <f t="shared" si="19"/>
        <v>5.363331848897257E-3</v>
      </c>
    </row>
    <row r="1270" spans="1:9" ht="16">
      <c r="A1270" s="106">
        <v>41753</v>
      </c>
      <c r="B1270" s="107">
        <v>4.32</v>
      </c>
      <c r="G1270" s="111">
        <v>41748</v>
      </c>
      <c r="H1270" s="112">
        <v>513.16999999999996</v>
      </c>
      <c r="I1270" s="114">
        <f t="shared" si="19"/>
        <v>-1.1690162545258564E-2</v>
      </c>
    </row>
    <row r="1271" spans="1:9" ht="16">
      <c r="A1271" s="106">
        <v>41754</v>
      </c>
      <c r="B1271" s="107">
        <v>4.3099999999999996</v>
      </c>
      <c r="G1271" s="111">
        <v>41751</v>
      </c>
      <c r="H1271" s="112">
        <v>508.4</v>
      </c>
      <c r="I1271" s="114">
        <f t="shared" si="19"/>
        <v>-9.2951653448174465E-3</v>
      </c>
    </row>
    <row r="1272" spans="1:9" ht="16">
      <c r="A1272" s="106">
        <v>41755</v>
      </c>
      <c r="B1272" s="107">
        <v>4.3099999999999996</v>
      </c>
      <c r="G1272" s="111">
        <v>41752</v>
      </c>
      <c r="H1272" s="112">
        <v>507.81</v>
      </c>
      <c r="I1272" s="114">
        <f t="shared" si="19"/>
        <v>-1.1605035405192199E-3</v>
      </c>
    </row>
    <row r="1273" spans="1:9" ht="16">
      <c r="A1273" s="106">
        <v>41758</v>
      </c>
      <c r="B1273" s="107">
        <v>4.3499999999999996</v>
      </c>
      <c r="G1273" s="111">
        <v>41753</v>
      </c>
      <c r="H1273" s="112">
        <v>501.59</v>
      </c>
      <c r="I1273" s="114">
        <f t="shared" si="19"/>
        <v>-1.2248675685788024E-2</v>
      </c>
    </row>
    <row r="1274" spans="1:9" ht="16">
      <c r="A1274" s="106">
        <v>41759</v>
      </c>
      <c r="B1274" s="107">
        <v>4.37</v>
      </c>
      <c r="G1274" s="111">
        <v>41754</v>
      </c>
      <c r="H1274" s="112">
        <v>502.27</v>
      </c>
      <c r="I1274" s="114">
        <f t="shared" si="19"/>
        <v>1.3556889092685154E-3</v>
      </c>
    </row>
    <row r="1275" spans="1:9" ht="16">
      <c r="A1275" s="106">
        <v>41760</v>
      </c>
      <c r="B1275" s="107">
        <v>4.4000000000000004</v>
      </c>
      <c r="G1275" s="111">
        <v>41755</v>
      </c>
      <c r="H1275" s="112">
        <v>506.86</v>
      </c>
      <c r="I1275" s="114">
        <f t="shared" si="19"/>
        <v>9.1385111593367263E-3</v>
      </c>
    </row>
    <row r="1276" spans="1:9" ht="16">
      <c r="A1276" s="106">
        <v>41761</v>
      </c>
      <c r="B1276" s="107">
        <v>4.43</v>
      </c>
      <c r="G1276" s="111">
        <v>41758</v>
      </c>
      <c r="H1276" s="112">
        <v>509.78</v>
      </c>
      <c r="I1276" s="114">
        <f t="shared" si="19"/>
        <v>5.7609596338239477E-3</v>
      </c>
    </row>
    <row r="1277" spans="1:9" ht="16">
      <c r="A1277" s="106">
        <v>41762</v>
      </c>
      <c r="B1277" s="107">
        <v>4.43</v>
      </c>
      <c r="G1277" s="111">
        <v>41759</v>
      </c>
      <c r="H1277" s="112">
        <v>508.84</v>
      </c>
      <c r="I1277" s="114">
        <f t="shared" si="19"/>
        <v>-1.8439326768410202E-3</v>
      </c>
    </row>
    <row r="1278" spans="1:9" ht="16">
      <c r="A1278" s="106">
        <v>41765</v>
      </c>
      <c r="B1278" s="107">
        <v>4.4400000000000004</v>
      </c>
      <c r="G1278" s="111">
        <v>41760</v>
      </c>
      <c r="H1278" s="112">
        <v>505.09</v>
      </c>
      <c r="I1278" s="114">
        <f t="shared" si="19"/>
        <v>-7.3697036396509485E-3</v>
      </c>
    </row>
    <row r="1279" spans="1:9" ht="16">
      <c r="A1279" s="106">
        <v>41766</v>
      </c>
      <c r="B1279" s="107">
        <v>4.4800000000000004</v>
      </c>
      <c r="G1279" s="111">
        <v>41761</v>
      </c>
      <c r="H1279" s="112">
        <v>499.21</v>
      </c>
      <c r="I1279" s="114">
        <f t="shared" si="19"/>
        <v>-1.1641489635510482E-2</v>
      </c>
    </row>
    <row r="1280" spans="1:9" ht="16">
      <c r="A1280" s="106">
        <v>41767</v>
      </c>
      <c r="B1280" s="107">
        <v>4.5199999999999996</v>
      </c>
      <c r="G1280" s="111">
        <v>41762</v>
      </c>
      <c r="H1280" s="112">
        <v>499.46</v>
      </c>
      <c r="I1280" s="114">
        <f t="shared" si="19"/>
        <v>5.0079125017532533E-4</v>
      </c>
    </row>
    <row r="1281" spans="1:9" ht="16">
      <c r="A1281" s="106">
        <v>41768</v>
      </c>
      <c r="B1281" s="107">
        <v>4.47</v>
      </c>
      <c r="G1281" s="111">
        <v>41765</v>
      </c>
      <c r="H1281" s="112">
        <v>500.87</v>
      </c>
      <c r="I1281" s="114">
        <f t="shared" si="19"/>
        <v>2.8230488928042696E-3</v>
      </c>
    </row>
    <row r="1282" spans="1:9" ht="16">
      <c r="A1282" s="106">
        <v>41769</v>
      </c>
      <c r="B1282" s="107">
        <v>4.46</v>
      </c>
      <c r="G1282" s="111">
        <v>41766</v>
      </c>
      <c r="H1282" s="112">
        <v>502.13</v>
      </c>
      <c r="I1282" s="114">
        <f t="shared" si="19"/>
        <v>2.5156228162996896E-3</v>
      </c>
    </row>
    <row r="1283" spans="1:9" ht="16">
      <c r="A1283" s="106">
        <v>41772</v>
      </c>
      <c r="B1283" s="107">
        <v>4.47</v>
      </c>
      <c r="G1283" s="111">
        <v>41767</v>
      </c>
      <c r="H1283" s="112">
        <v>503.24</v>
      </c>
      <c r="I1283" s="114">
        <f t="shared" si="19"/>
        <v>2.2105829167746727E-3</v>
      </c>
    </row>
    <row r="1284" spans="1:9" ht="16">
      <c r="A1284" s="106">
        <v>41773</v>
      </c>
      <c r="B1284" s="107">
        <v>4.5199999999999996</v>
      </c>
      <c r="G1284" s="111">
        <v>41768</v>
      </c>
      <c r="H1284" s="112">
        <v>507.69</v>
      </c>
      <c r="I1284" s="114">
        <f t="shared" si="19"/>
        <v>8.8426993084809169E-3</v>
      </c>
    </row>
    <row r="1285" spans="1:9" ht="16">
      <c r="A1285" s="106">
        <v>41774</v>
      </c>
      <c r="B1285" s="107">
        <v>4.53</v>
      </c>
      <c r="G1285" s="111">
        <v>41769</v>
      </c>
      <c r="H1285" s="112">
        <v>510.89</v>
      </c>
      <c r="I1285" s="114">
        <f t="shared" si="19"/>
        <v>6.3030589532981907E-3</v>
      </c>
    </row>
    <row r="1286" spans="1:9" ht="16">
      <c r="A1286" s="106">
        <v>41775</v>
      </c>
      <c r="B1286" s="107">
        <v>4.55</v>
      </c>
      <c r="G1286" s="111">
        <v>41772</v>
      </c>
      <c r="H1286" s="112">
        <v>513.11</v>
      </c>
      <c r="I1286" s="114">
        <f t="shared" si="19"/>
        <v>4.3453581005696851E-3</v>
      </c>
    </row>
    <row r="1287" spans="1:9" ht="16">
      <c r="A1287" s="106">
        <v>41776</v>
      </c>
      <c r="B1287" s="107">
        <v>4.5599999999999996</v>
      </c>
      <c r="G1287" s="111">
        <v>41773</v>
      </c>
      <c r="H1287" s="112">
        <v>505.74</v>
      </c>
      <c r="I1287" s="114">
        <f t="shared" si="19"/>
        <v>-1.4363391865292008E-2</v>
      </c>
    </row>
    <row r="1288" spans="1:9" ht="16">
      <c r="A1288" s="106">
        <v>41779</v>
      </c>
      <c r="B1288" s="107">
        <v>4.55</v>
      </c>
      <c r="G1288" s="111">
        <v>41774</v>
      </c>
      <c r="H1288" s="112">
        <v>507.86</v>
      </c>
      <c r="I1288" s="114">
        <f t="shared" si="19"/>
        <v>4.1918772491793543E-3</v>
      </c>
    </row>
    <row r="1289" spans="1:9" ht="16">
      <c r="A1289" s="106">
        <v>41780</v>
      </c>
      <c r="B1289" s="107">
        <v>4.5199999999999996</v>
      </c>
      <c r="G1289" s="111">
        <v>41775</v>
      </c>
      <c r="H1289" s="112">
        <v>503.91</v>
      </c>
      <c r="I1289" s="114">
        <f t="shared" si="19"/>
        <v>-7.7777340211868662E-3</v>
      </c>
    </row>
    <row r="1290" spans="1:9" ht="16">
      <c r="A1290" s="106">
        <v>41781</v>
      </c>
      <c r="B1290" s="107">
        <v>4.5</v>
      </c>
      <c r="G1290" s="111">
        <v>41776</v>
      </c>
      <c r="H1290" s="112">
        <v>500.32</v>
      </c>
      <c r="I1290" s="114">
        <f t="shared" si="19"/>
        <v>-7.1242880673136888E-3</v>
      </c>
    </row>
    <row r="1291" spans="1:9" ht="16">
      <c r="A1291" s="106">
        <v>41782</v>
      </c>
      <c r="B1291" s="107">
        <v>4.47</v>
      </c>
      <c r="G1291" s="111">
        <v>41779</v>
      </c>
      <c r="H1291" s="112">
        <v>500</v>
      </c>
      <c r="I1291" s="114">
        <f t="shared" si="19"/>
        <v>-6.3959066197627479E-4</v>
      </c>
    </row>
    <row r="1292" spans="1:9" ht="16">
      <c r="A1292" s="106">
        <v>41783</v>
      </c>
      <c r="B1292" s="107">
        <v>4.45</v>
      </c>
      <c r="G1292" s="111">
        <v>41780</v>
      </c>
      <c r="H1292" s="112">
        <v>502.85</v>
      </c>
      <c r="I1292" s="114">
        <f t="shared" si="19"/>
        <v>5.7000000000000384E-3</v>
      </c>
    </row>
    <row r="1293" spans="1:9" ht="16">
      <c r="A1293" s="106">
        <v>41786</v>
      </c>
      <c r="B1293" s="107">
        <v>4.4400000000000004</v>
      </c>
      <c r="G1293" s="111">
        <v>41781</v>
      </c>
      <c r="H1293" s="112">
        <v>497.38</v>
      </c>
      <c r="I1293" s="114">
        <f t="shared" si="19"/>
        <v>-1.0877995426071485E-2</v>
      </c>
    </row>
    <row r="1294" spans="1:9" ht="16">
      <c r="A1294" s="106">
        <v>41787</v>
      </c>
      <c r="B1294" s="107">
        <v>4.4000000000000004</v>
      </c>
      <c r="G1294" s="111">
        <v>41782</v>
      </c>
      <c r="H1294" s="112">
        <v>498.62</v>
      </c>
      <c r="I1294" s="114">
        <f t="shared" si="19"/>
        <v>2.4930636535445139E-3</v>
      </c>
    </row>
    <row r="1295" spans="1:9" ht="16">
      <c r="A1295" s="106">
        <v>41788</v>
      </c>
      <c r="B1295" s="107">
        <v>4.43</v>
      </c>
      <c r="G1295" s="111">
        <v>41783</v>
      </c>
      <c r="H1295" s="112">
        <v>499.49</v>
      </c>
      <c r="I1295" s="114">
        <f t="shared" ref="I1295:I1320" si="20">H1295/H1294-1</f>
        <v>1.7448156913080215E-3</v>
      </c>
    </row>
    <row r="1296" spans="1:9" ht="16">
      <c r="A1296" s="106">
        <v>41789</v>
      </c>
      <c r="B1296" s="107">
        <v>4.51</v>
      </c>
      <c r="G1296" s="111">
        <v>41786</v>
      </c>
      <c r="H1296" s="112">
        <v>499.86</v>
      </c>
      <c r="I1296" s="114">
        <f t="shared" si="20"/>
        <v>7.4075557068220554E-4</v>
      </c>
    </row>
    <row r="1297" spans="1:9" ht="16">
      <c r="A1297" s="106">
        <v>41790</v>
      </c>
      <c r="B1297" s="107">
        <v>4.54</v>
      </c>
      <c r="G1297" s="111">
        <v>41787</v>
      </c>
      <c r="H1297" s="112">
        <v>495.41</v>
      </c>
      <c r="I1297" s="114">
        <f t="shared" si="20"/>
        <v>-8.9024926979553998E-3</v>
      </c>
    </row>
    <row r="1298" spans="1:9" ht="16">
      <c r="A1298" s="106">
        <v>41793</v>
      </c>
      <c r="B1298" s="107">
        <v>4.5599999999999996</v>
      </c>
      <c r="G1298" s="111">
        <v>41788</v>
      </c>
      <c r="H1298" s="112">
        <v>491.8</v>
      </c>
      <c r="I1298" s="114">
        <f t="shared" si="20"/>
        <v>-7.2868936840193577E-3</v>
      </c>
    </row>
    <row r="1299" spans="1:9" ht="16">
      <c r="A1299" s="106">
        <v>41794</v>
      </c>
      <c r="B1299" s="107">
        <v>4.5599999999999996</v>
      </c>
      <c r="G1299" s="111">
        <v>41789</v>
      </c>
      <c r="H1299" s="112">
        <v>495.09</v>
      </c>
      <c r="I1299" s="114">
        <f t="shared" si="20"/>
        <v>6.6897112647417156E-3</v>
      </c>
    </row>
    <row r="1300" spans="1:9" ht="16">
      <c r="A1300" s="106">
        <v>41795</v>
      </c>
      <c r="B1300" s="107">
        <v>4.59</v>
      </c>
      <c r="G1300" s="111">
        <v>41790</v>
      </c>
      <c r="H1300" s="112">
        <v>498.75</v>
      </c>
      <c r="I1300" s="114">
        <f t="shared" si="20"/>
        <v>7.3925952857056831E-3</v>
      </c>
    </row>
    <row r="1301" spans="1:9" ht="16">
      <c r="A1301" s="106">
        <v>41796</v>
      </c>
      <c r="B1301" s="107">
        <v>4.62</v>
      </c>
      <c r="G1301" s="111">
        <v>41793</v>
      </c>
      <c r="H1301" s="112">
        <v>505.38</v>
      </c>
      <c r="I1301" s="114">
        <f t="shared" si="20"/>
        <v>1.329323308270669E-2</v>
      </c>
    </row>
    <row r="1302" spans="1:9" ht="16">
      <c r="A1302" s="106">
        <v>41797</v>
      </c>
      <c r="B1302" s="107">
        <v>4.6100000000000003</v>
      </c>
      <c r="G1302" s="111">
        <v>41794</v>
      </c>
      <c r="H1302" s="112">
        <v>503.51</v>
      </c>
      <c r="I1302" s="114">
        <f t="shared" si="20"/>
        <v>-3.7001859986545149E-3</v>
      </c>
    </row>
    <row r="1303" spans="1:9" ht="16">
      <c r="A1303" s="106">
        <v>41800</v>
      </c>
      <c r="B1303" s="107">
        <v>4.6399999999999997</v>
      </c>
      <c r="G1303" s="111">
        <v>41795</v>
      </c>
      <c r="H1303" s="112">
        <v>506.62</v>
      </c>
      <c r="I1303" s="114">
        <f t="shared" si="20"/>
        <v>6.1766399872893452E-3</v>
      </c>
    </row>
    <row r="1304" spans="1:9" ht="16">
      <c r="A1304" s="106">
        <v>41801</v>
      </c>
      <c r="B1304" s="107">
        <v>4.66</v>
      </c>
      <c r="G1304" s="111">
        <v>41796</v>
      </c>
      <c r="H1304" s="112">
        <v>506.08</v>
      </c>
      <c r="I1304" s="114">
        <f t="shared" si="20"/>
        <v>-1.0658876475465595E-3</v>
      </c>
    </row>
    <row r="1305" spans="1:9" ht="16">
      <c r="A1305" s="106">
        <v>41802</v>
      </c>
      <c r="B1305" s="107">
        <v>4.66</v>
      </c>
      <c r="G1305" s="111">
        <v>41797</v>
      </c>
      <c r="H1305" s="112">
        <v>500.8</v>
      </c>
      <c r="I1305" s="114">
        <f t="shared" si="20"/>
        <v>-1.0433133101485859E-2</v>
      </c>
    </row>
    <row r="1306" spans="1:9" ht="16">
      <c r="A1306" s="106">
        <v>41803</v>
      </c>
      <c r="B1306" s="107">
        <v>4.66</v>
      </c>
      <c r="G1306" s="111">
        <v>41800</v>
      </c>
      <c r="H1306" s="112">
        <v>502.49</v>
      </c>
      <c r="I1306" s="114">
        <f t="shared" si="20"/>
        <v>3.3746006389776539E-3</v>
      </c>
    </row>
    <row r="1307" spans="1:9" ht="16">
      <c r="A1307" s="106">
        <v>41804</v>
      </c>
      <c r="B1307" s="107">
        <v>4.67</v>
      </c>
      <c r="G1307" s="111">
        <v>41801</v>
      </c>
      <c r="H1307" s="112">
        <v>503.31</v>
      </c>
      <c r="I1307" s="114">
        <f t="shared" si="20"/>
        <v>1.6318732711098072E-3</v>
      </c>
    </row>
    <row r="1308" spans="1:9" ht="16">
      <c r="A1308" s="106">
        <v>41807</v>
      </c>
      <c r="B1308" s="107">
        <v>4.68</v>
      </c>
      <c r="G1308" s="111">
        <v>41802</v>
      </c>
      <c r="H1308" s="112">
        <v>500.83</v>
      </c>
      <c r="I1308" s="114">
        <f t="shared" si="20"/>
        <v>-4.9273807395044944E-3</v>
      </c>
    </row>
    <row r="1309" spans="1:9" ht="16">
      <c r="A1309" s="106">
        <v>41808</v>
      </c>
      <c r="B1309" s="107">
        <v>4.6900000000000004</v>
      </c>
      <c r="G1309" s="111">
        <v>41803</v>
      </c>
      <c r="H1309" s="112">
        <v>498.16</v>
      </c>
      <c r="I1309" s="114">
        <f t="shared" si="20"/>
        <v>-5.3311502905176722E-3</v>
      </c>
    </row>
    <row r="1310" spans="1:9" ht="16">
      <c r="A1310" s="106">
        <v>41809</v>
      </c>
      <c r="B1310" s="107">
        <v>4.68</v>
      </c>
      <c r="G1310" s="111">
        <v>41804</v>
      </c>
      <c r="H1310" s="112">
        <v>493.78</v>
      </c>
      <c r="I1310" s="114">
        <f t="shared" si="20"/>
        <v>-8.7923558696002546E-3</v>
      </c>
    </row>
    <row r="1311" spans="1:9" ht="16">
      <c r="A1311" s="106">
        <v>41810</v>
      </c>
      <c r="B1311" s="107">
        <v>4.67</v>
      </c>
      <c r="G1311" s="111">
        <v>41807</v>
      </c>
      <c r="H1311" s="112">
        <v>491.33</v>
      </c>
      <c r="I1311" s="114">
        <f t="shared" si="20"/>
        <v>-4.9617238446271195E-3</v>
      </c>
    </row>
    <row r="1312" spans="1:9" ht="16">
      <c r="A1312" s="106">
        <v>41811</v>
      </c>
      <c r="B1312" s="107">
        <v>4.6500000000000004</v>
      </c>
      <c r="G1312" s="111">
        <v>41808</v>
      </c>
      <c r="H1312" s="112">
        <v>482.28</v>
      </c>
      <c r="I1312" s="114">
        <f t="shared" si="20"/>
        <v>-1.8419392261819989E-2</v>
      </c>
    </row>
    <row r="1313" spans="1:9" ht="16">
      <c r="A1313" s="106">
        <v>41814</v>
      </c>
      <c r="B1313" s="107">
        <v>4.6399999999999997</v>
      </c>
      <c r="G1313" s="111">
        <v>41809</v>
      </c>
      <c r="H1313" s="112">
        <v>485.44</v>
      </c>
      <c r="I1313" s="114">
        <f t="shared" si="20"/>
        <v>6.5522103342456894E-3</v>
      </c>
    </row>
    <row r="1314" spans="1:9" ht="16">
      <c r="A1314" s="106">
        <v>41815</v>
      </c>
      <c r="B1314" s="107">
        <v>4.6500000000000004</v>
      </c>
      <c r="G1314" s="111">
        <v>41810</v>
      </c>
      <c r="H1314" s="112">
        <v>480.28</v>
      </c>
      <c r="I1314" s="114">
        <f t="shared" si="20"/>
        <v>-1.0629531970995476E-2</v>
      </c>
    </row>
    <row r="1315" spans="1:9" ht="16">
      <c r="A1315" s="106">
        <v>41816</v>
      </c>
      <c r="B1315" s="107">
        <v>4.6399999999999997</v>
      </c>
      <c r="G1315" s="111">
        <v>41811</v>
      </c>
      <c r="H1315" s="112">
        <v>482.86</v>
      </c>
      <c r="I1315" s="114">
        <f t="shared" si="20"/>
        <v>5.3718664112600845E-3</v>
      </c>
    </row>
    <row r="1316" spans="1:9" ht="16">
      <c r="A1316" s="106">
        <v>41817</v>
      </c>
      <c r="B1316" s="107">
        <v>4.66</v>
      </c>
      <c r="G1316" s="111">
        <v>41814</v>
      </c>
      <c r="H1316" s="112">
        <v>476.18</v>
      </c>
      <c r="I1316" s="114">
        <f t="shared" si="20"/>
        <v>-1.3834237667232796E-2</v>
      </c>
    </row>
    <row r="1317" spans="1:9" ht="16">
      <c r="A1317" s="106">
        <v>41818</v>
      </c>
      <c r="B1317" s="107">
        <v>4.6500000000000004</v>
      </c>
      <c r="G1317" s="111">
        <v>41815</v>
      </c>
      <c r="H1317" s="112">
        <v>474.71</v>
      </c>
      <c r="I1317" s="114">
        <f t="shared" si="20"/>
        <v>-3.0870679154941794E-3</v>
      </c>
    </row>
    <row r="1318" spans="1:9" ht="16">
      <c r="A1318" s="106">
        <v>41819</v>
      </c>
      <c r="B1318" s="107">
        <v>4.6500000000000004</v>
      </c>
      <c r="G1318" s="111">
        <v>41816</v>
      </c>
      <c r="H1318" s="112">
        <v>467.34</v>
      </c>
      <c r="I1318" s="114">
        <f t="shared" si="20"/>
        <v>-1.5525268058393604E-2</v>
      </c>
    </row>
    <row r="1319" spans="1:9" ht="16">
      <c r="G1319" s="111">
        <v>41817</v>
      </c>
      <c r="H1319" s="112">
        <v>465.87</v>
      </c>
      <c r="I1319" s="114">
        <f t="shared" si="20"/>
        <v>-3.1454615483372805E-3</v>
      </c>
    </row>
    <row r="1320" spans="1:9" ht="16">
      <c r="G1320" s="111">
        <v>41818</v>
      </c>
      <c r="H1320" s="112">
        <v>475.81</v>
      </c>
      <c r="I1320" s="114">
        <f t="shared" si="20"/>
        <v>2.1336424324382319E-2</v>
      </c>
    </row>
  </sheetData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4"/>
  <sheetViews>
    <sheetView workbookViewId="0">
      <selection activeCell="B9" sqref="B9"/>
    </sheetView>
  </sheetViews>
  <sheetFormatPr baseColWidth="10" defaultRowHeight="12"/>
  <cols>
    <col min="1" max="1" width="20.1640625" bestFit="1" customWidth="1"/>
    <col min="2" max="2" width="23.5" bestFit="1" customWidth="1"/>
    <col min="3" max="3" width="25.1640625" bestFit="1" customWidth="1"/>
    <col min="4" max="4" width="24" bestFit="1" customWidth="1"/>
    <col min="5" max="5" width="23.6640625" bestFit="1" customWidth="1"/>
  </cols>
  <sheetData>
    <row r="3" spans="1:4">
      <c r="B3" s="25" t="s">
        <v>180</v>
      </c>
    </row>
    <row r="4" spans="1:4">
      <c r="A4" s="25" t="s">
        <v>177</v>
      </c>
      <c r="B4" t="s">
        <v>179</v>
      </c>
      <c r="C4" t="s">
        <v>181</v>
      </c>
      <c r="D4" t="s">
        <v>590</v>
      </c>
    </row>
    <row r="5" spans="1:4">
      <c r="A5" s="22" t="s">
        <v>130</v>
      </c>
      <c r="B5" s="26">
        <v>5.9342763159465017E-2</v>
      </c>
      <c r="C5" s="26">
        <v>7.2504317492562295E-2</v>
      </c>
      <c r="D5" s="26">
        <v>0.12620431749256231</v>
      </c>
    </row>
    <row r="6" spans="1:4">
      <c r="A6" s="22" t="s">
        <v>131</v>
      </c>
      <c r="B6" s="26">
        <v>2.8824737136934689E-2</v>
      </c>
      <c r="C6" s="26">
        <v>3.5217738132617214E-2</v>
      </c>
      <c r="D6" s="26">
        <v>8.8917738132617219E-2</v>
      </c>
    </row>
    <row r="7" spans="1:4">
      <c r="A7" s="22" t="s">
        <v>54</v>
      </c>
      <c r="B7" s="26">
        <v>1.735229520695512E-2</v>
      </c>
      <c r="C7" s="26">
        <v>2.1200838213902323E-2</v>
      </c>
      <c r="D7" s="26">
        <v>7.4900838213902324E-2</v>
      </c>
    </row>
    <row r="8" spans="1:4">
      <c r="A8" s="22" t="s">
        <v>55</v>
      </c>
      <c r="B8" s="26">
        <v>4.1512869996255509E-2</v>
      </c>
      <c r="C8" s="26">
        <v>5.0719955492263026E-2</v>
      </c>
      <c r="D8" s="26">
        <v>0.10441995549226303</v>
      </c>
    </row>
    <row r="9" spans="1:4">
      <c r="A9" s="22" t="s">
        <v>52</v>
      </c>
      <c r="B9" s="26">
        <v>4.8935010753840248E-2</v>
      </c>
      <c r="C9" s="26">
        <v>5.9788243204386173E-2</v>
      </c>
      <c r="D9" s="26">
        <v>0.11348824320438619</v>
      </c>
    </row>
    <row r="10" spans="1:4">
      <c r="A10" s="22" t="s">
        <v>127</v>
      </c>
      <c r="B10" s="26">
        <v>3.7511933379795769E-2</v>
      </c>
      <c r="C10" s="26">
        <v>4.5831656342324521E-2</v>
      </c>
      <c r="D10" s="26">
        <v>9.9531656342324526E-2</v>
      </c>
    </row>
    <row r="11" spans="1:4">
      <c r="A11" s="22" t="s">
        <v>129</v>
      </c>
      <c r="B11" s="26">
        <v>2.7356547415065515E-2</v>
      </c>
      <c r="C11" s="26">
        <v>3.3423920520052268E-2</v>
      </c>
      <c r="D11" s="26">
        <v>8.7123920520052259E-2</v>
      </c>
    </row>
    <row r="12" spans="1:4">
      <c r="A12" s="22" t="s">
        <v>132</v>
      </c>
      <c r="B12" s="26">
        <v>0</v>
      </c>
      <c r="C12" s="26">
        <v>0</v>
      </c>
      <c r="D12" s="26">
        <v>5.3699999999999998E-2</v>
      </c>
    </row>
    <row r="13" spans="1:4">
      <c r="A13" s="22" t="s">
        <v>128</v>
      </c>
      <c r="B13" s="26">
        <v>1.2610975143084617E-2</v>
      </c>
      <c r="C13" s="26">
        <v>1.5407946933781797E-2</v>
      </c>
      <c r="D13" s="26">
        <v>6.9107946933781819E-2</v>
      </c>
    </row>
    <row r="14" spans="1:4">
      <c r="A14" s="22" t="s">
        <v>178</v>
      </c>
      <c r="B14" s="26">
        <v>3.5552126099458778E-2</v>
      </c>
      <c r="C14" s="26">
        <v>4.3437185951790885E-2</v>
      </c>
      <c r="D14" s="26">
        <v>9.7137185951790911E-2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8"/>
  <sheetViews>
    <sheetView topLeftCell="A56" zoomScaleNormal="100" workbookViewId="0">
      <selection activeCell="D90" sqref="D90"/>
    </sheetView>
  </sheetViews>
  <sheetFormatPr baseColWidth="10" defaultRowHeight="12"/>
  <cols>
    <col min="1" max="1" width="24.6640625" bestFit="1" customWidth="1"/>
    <col min="2" max="2" width="20.83203125" style="32" bestFit="1" customWidth="1"/>
    <col min="3" max="6" width="20.83203125" style="32" customWidth="1"/>
    <col min="7" max="7" width="26.1640625" style="32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77" customFormat="1" ht="16">
      <c r="A1" s="44" t="str">
        <f>'Sovereign Ratings (Moody''s,S&amp;P)'!A1</f>
        <v>Country</v>
      </c>
      <c r="B1" s="72" t="str">
        <f>'Country GDP'!B1</f>
        <v>GDP (in billions)</v>
      </c>
      <c r="C1" s="72" t="str">
        <f>'Sovereign Ratings (Moody''s,S&amp;P)'!C1</f>
        <v>Moody's rating</v>
      </c>
      <c r="D1" s="81" t="s">
        <v>36</v>
      </c>
      <c r="E1" s="81" t="s">
        <v>37</v>
      </c>
      <c r="F1" s="73" t="s">
        <v>38</v>
      </c>
      <c r="G1" s="73" t="s">
        <v>368</v>
      </c>
      <c r="H1" s="74" t="s">
        <v>53</v>
      </c>
      <c r="I1" s="77" t="s">
        <v>304</v>
      </c>
      <c r="J1" s="77" t="s">
        <v>305</v>
      </c>
      <c r="K1" s="77" t="s">
        <v>306</v>
      </c>
      <c r="L1" s="77" t="s">
        <v>307</v>
      </c>
      <c r="M1" s="77" t="s">
        <v>369</v>
      </c>
    </row>
    <row r="2" spans="1:13" s="49" customFormat="1" ht="16">
      <c r="A2" s="10" t="s">
        <v>133</v>
      </c>
      <c r="B2" s="197">
        <v>102.6</v>
      </c>
      <c r="C2" s="11" t="s">
        <v>80</v>
      </c>
      <c r="D2" s="24">
        <v>7.5216461989266389E-2</v>
      </c>
      <c r="E2" s="12">
        <v>0.14559862336006157</v>
      </c>
      <c r="F2" s="16">
        <v>9.1898623360061577E-2</v>
      </c>
      <c r="G2" s="16">
        <v>0.3</v>
      </c>
      <c r="H2" s="170" t="s">
        <v>130</v>
      </c>
      <c r="I2" s="78">
        <f t="shared" ref="I2:I26" si="0">B2/$B$27</f>
        <v>5.8262020090743376E-2</v>
      </c>
      <c r="J2" s="78">
        <f t="shared" ref="J2:J26" si="1">I2*D2</f>
        <v>4.3822630195732735E-3</v>
      </c>
      <c r="K2" s="78">
        <f t="shared" ref="K2:K26" si="2">I2*E2</f>
        <v>8.482869919388486E-3</v>
      </c>
      <c r="L2" s="78">
        <f t="shared" ref="L2:L26" si="3">I2*F2</f>
        <v>5.3541994405155663E-3</v>
      </c>
      <c r="M2" s="78">
        <f>I2*G2</f>
        <v>1.7478606027223013E-2</v>
      </c>
    </row>
    <row r="3" spans="1:13" s="49" customFormat="1" ht="16">
      <c r="A3" s="10" t="s">
        <v>125</v>
      </c>
      <c r="B3" s="197">
        <v>15.58</v>
      </c>
      <c r="C3" s="11" t="s">
        <v>43</v>
      </c>
      <c r="D3" s="24">
        <v>9.8063071109445767E-3</v>
      </c>
      <c r="E3" s="12">
        <v>6.5681235223087081E-2</v>
      </c>
      <c r="F3" s="16">
        <v>1.1981235223087083E-2</v>
      </c>
      <c r="G3" s="16">
        <v>0.22</v>
      </c>
      <c r="H3" s="170" t="s">
        <v>130</v>
      </c>
      <c r="I3" s="78">
        <f t="shared" si="0"/>
        <v>8.8471956434091805E-3</v>
      </c>
      <c r="J3" s="78">
        <f t="shared" si="1"/>
        <v>8.6758317549881327E-5</v>
      </c>
      <c r="K3" s="78">
        <f t="shared" si="2"/>
        <v>5.8109473811942961E-4</v>
      </c>
      <c r="L3" s="78">
        <f t="shared" si="3"/>
        <v>1.0600033206835666E-4</v>
      </c>
      <c r="M3" s="78">
        <f t="shared" ref="M3:M71" si="4">I3*G3</f>
        <v>1.9463830415500198E-3</v>
      </c>
    </row>
    <row r="4" spans="1:13" s="49" customFormat="1" ht="16">
      <c r="A4" s="10" t="s">
        <v>218</v>
      </c>
      <c r="B4" s="197">
        <v>11.69</v>
      </c>
      <c r="C4" s="11" t="s">
        <v>50</v>
      </c>
      <c r="D4" s="24">
        <v>6.3636673805065866E-2</v>
      </c>
      <c r="E4" s="12">
        <v>0.13145056900088425</v>
      </c>
      <c r="F4" s="16">
        <v>7.7750569000884256E-2</v>
      </c>
      <c r="G4" s="16">
        <v>0.27500000000000002</v>
      </c>
      <c r="H4" s="170" t="s">
        <v>130</v>
      </c>
      <c r="I4" s="78">
        <f t="shared" si="0"/>
        <v>6.6382360122884026E-3</v>
      </c>
      <c r="J4" s="78">
        <f t="shared" si="1"/>
        <v>4.2243525975503826E-4</v>
      </c>
      <c r="K4" s="78">
        <f t="shared" si="2"/>
        <v>8.7259990097747139E-4</v>
      </c>
      <c r="L4" s="78">
        <f t="shared" si="3"/>
        <v>5.1612662711758421E-4</v>
      </c>
      <c r="M4" s="78">
        <f t="shared" si="4"/>
        <v>1.8255149033793109E-3</v>
      </c>
    </row>
    <row r="5" spans="1:13" s="49" customFormat="1" ht="16">
      <c r="A5" s="10" t="s">
        <v>219</v>
      </c>
      <c r="B5" s="197">
        <v>32.22</v>
      </c>
      <c r="C5" s="11" t="s">
        <v>50</v>
      </c>
      <c r="D5" s="24">
        <v>6.3636673805065866E-2</v>
      </c>
      <c r="E5" s="12">
        <v>0.13145056900088425</v>
      </c>
      <c r="F5" s="16">
        <v>7.7750569000884256E-2</v>
      </c>
      <c r="G5" s="16">
        <v>0.33</v>
      </c>
      <c r="H5" s="170" t="s">
        <v>130</v>
      </c>
      <c r="I5" s="78">
        <f t="shared" si="0"/>
        <v>1.8296318589900114E-2</v>
      </c>
      <c r="J5" s="78">
        <f t="shared" si="1"/>
        <v>1.1643168579390363E-3</v>
      </c>
      <c r="K5" s="78">
        <f t="shared" si="2"/>
        <v>2.4050614892638261E-3</v>
      </c>
      <c r="L5" s="78">
        <f t="shared" si="3"/>
        <v>1.4225491809861902E-3</v>
      </c>
      <c r="M5" s="78">
        <f t="shared" si="4"/>
        <v>6.0377851346670374E-3</v>
      </c>
    </row>
    <row r="6" spans="1:13" s="49" customFormat="1" ht="16">
      <c r="A6" s="10" t="s">
        <v>220</v>
      </c>
      <c r="B6" s="197">
        <v>3.2</v>
      </c>
      <c r="C6" s="11" t="s">
        <v>50</v>
      </c>
      <c r="D6" s="24">
        <v>6.3636673805065866E-2</v>
      </c>
      <c r="E6" s="12">
        <v>0.13145056900088425</v>
      </c>
      <c r="F6" s="16">
        <v>7.7750569000884256E-2</v>
      </c>
      <c r="G6" s="16">
        <v>0</v>
      </c>
      <c r="H6" s="170" t="s">
        <v>130</v>
      </c>
      <c r="I6" s="78">
        <f t="shared" si="0"/>
        <v>1.8171390281713337E-3</v>
      </c>
      <c r="J6" s="78">
        <f t="shared" si="1"/>
        <v>1.1563668359419356E-4</v>
      </c>
      <c r="K6" s="78">
        <f t="shared" si="2"/>
        <v>2.3886395920683567E-4</v>
      </c>
      <c r="L6" s="78">
        <f t="shared" si="3"/>
        <v>1.4128359339403505E-4</v>
      </c>
      <c r="M6" s="78">
        <f t="shared" si="4"/>
        <v>0</v>
      </c>
    </row>
    <row r="7" spans="1:13" s="49" customFormat="1" ht="16">
      <c r="A7" s="10" t="s">
        <v>296</v>
      </c>
      <c r="B7" s="197">
        <v>31.93</v>
      </c>
      <c r="C7" s="11" t="s">
        <v>80</v>
      </c>
      <c r="D7" s="24">
        <v>7.5216461989266389E-2</v>
      </c>
      <c r="E7" s="12">
        <v>0.14559862336006157</v>
      </c>
      <c r="F7" s="16">
        <v>9.1898623360061577E-2</v>
      </c>
      <c r="G7" s="16">
        <v>0.35</v>
      </c>
      <c r="H7" s="170" t="s">
        <v>130</v>
      </c>
      <c r="I7" s="78">
        <f t="shared" si="0"/>
        <v>1.8131640365472088E-2</v>
      </c>
      <c r="J7" s="78">
        <f t="shared" si="1"/>
        <v>1.3637978383525793E-3</v>
      </c>
      <c r="K7" s="78">
        <f t="shared" si="2"/>
        <v>2.6399418764724595E-3</v>
      </c>
      <c r="L7" s="78">
        <f t="shared" si="3"/>
        <v>1.6662727888466086E-3</v>
      </c>
      <c r="M7" s="78">
        <f t="shared" si="4"/>
        <v>6.3460741279152307E-3</v>
      </c>
    </row>
    <row r="8" spans="1:13" s="49" customFormat="1" ht="16">
      <c r="A8" s="10" t="s">
        <v>297</v>
      </c>
      <c r="B8" s="197">
        <v>7.83</v>
      </c>
      <c r="C8" s="11" t="s">
        <v>59</v>
      </c>
      <c r="D8" s="24">
        <v>0.10411377124173073</v>
      </c>
      <c r="E8" s="12">
        <v>0.18090502928341393</v>
      </c>
      <c r="F8" s="16">
        <v>0.12720502928341393</v>
      </c>
      <c r="G8" s="16">
        <v>0.28210000000000002</v>
      </c>
      <c r="H8" s="170" t="s">
        <v>130</v>
      </c>
      <c r="I8" s="78">
        <f t="shared" si="0"/>
        <v>4.4463120595567319E-3</v>
      </c>
      <c r="J8" s="78">
        <f t="shared" si="1"/>
        <v>4.6292231663803821E-4</v>
      </c>
      <c r="K8" s="78">
        <f t="shared" si="2"/>
        <v>8.0436021333730708E-4</v>
      </c>
      <c r="L8" s="78">
        <f t="shared" si="3"/>
        <v>5.6559325573911053E-4</v>
      </c>
      <c r="M8" s="78">
        <f t="shared" si="4"/>
        <v>1.2543046320009541E-3</v>
      </c>
    </row>
    <row r="9" spans="1:13" s="49" customFormat="1" ht="16">
      <c r="A9" s="10" t="s">
        <v>292</v>
      </c>
      <c r="B9" s="197">
        <v>36.369999999999997</v>
      </c>
      <c r="C9" s="11" t="s">
        <v>83</v>
      </c>
      <c r="D9" s="24">
        <v>4.1624644013477513E-2</v>
      </c>
      <c r="E9" s="12">
        <v>0.10455651972352922</v>
      </c>
      <c r="F9" s="16">
        <v>5.0856519723529219E-2</v>
      </c>
      <c r="G9" s="16">
        <v>0.25</v>
      </c>
      <c r="H9" s="170" t="s">
        <v>130</v>
      </c>
      <c r="I9" s="78">
        <f t="shared" si="0"/>
        <v>2.065292076705981E-2</v>
      </c>
      <c r="J9" s="78">
        <f t="shared" si="1"/>
        <v>8.5967047476742154E-4</v>
      </c>
      <c r="K9" s="78">
        <f t="shared" si="2"/>
        <v>2.1593975175295752E-3</v>
      </c>
      <c r="L9" s="78">
        <f t="shared" si="3"/>
        <v>1.0503356723384634E-3</v>
      </c>
      <c r="M9" s="78">
        <f t="shared" si="4"/>
        <v>5.1632301917649524E-3</v>
      </c>
    </row>
    <row r="10" spans="1:13" s="49" customFormat="1" ht="16">
      <c r="A10" s="10" t="s">
        <v>107</v>
      </c>
      <c r="B10" s="197">
        <v>332.79</v>
      </c>
      <c r="C10" s="11" t="s">
        <v>80</v>
      </c>
      <c r="D10" s="24">
        <v>7.5216461989266389E-2</v>
      </c>
      <c r="E10" s="12">
        <v>0.14559862336006157</v>
      </c>
      <c r="F10" s="16">
        <v>9.1898623360061577E-2</v>
      </c>
      <c r="G10" s="16">
        <v>0.22500000000000001</v>
      </c>
      <c r="H10" s="170" t="s">
        <v>130</v>
      </c>
      <c r="I10" s="78">
        <f t="shared" si="0"/>
        <v>0.18897678037035567</v>
      </c>
      <c r="J10" s="78">
        <f t="shared" si="1"/>
        <v>1.42141648175808E-2</v>
      </c>
      <c r="K10" s="78">
        <f t="shared" si="2"/>
        <v>2.7514759068940492E-2</v>
      </c>
      <c r="L10" s="78">
        <f t="shared" si="3"/>
        <v>1.7366705963052394E-2</v>
      </c>
      <c r="M10" s="78">
        <f t="shared" si="4"/>
        <v>4.2519775583330026E-2</v>
      </c>
    </row>
    <row r="11" spans="1:13" s="49" customFormat="1" ht="16">
      <c r="A11" s="10" t="s">
        <v>293</v>
      </c>
      <c r="B11" s="197">
        <v>72.37</v>
      </c>
      <c r="C11" s="11" t="s">
        <v>49</v>
      </c>
      <c r="D11" s="24">
        <v>5.2056885620865363E-2</v>
      </c>
      <c r="E11" s="12">
        <v>0.11730251464170696</v>
      </c>
      <c r="F11" s="16">
        <v>6.3602514641706964E-2</v>
      </c>
      <c r="G11" s="16">
        <v>0.3</v>
      </c>
      <c r="H11" s="170" t="s">
        <v>130</v>
      </c>
      <c r="I11" s="78">
        <f t="shared" si="0"/>
        <v>4.1095734833987319E-2</v>
      </c>
      <c r="J11" s="78">
        <f t="shared" si="1"/>
        <v>2.1393159677582903E-3</v>
      </c>
      <c r="K11" s="78">
        <f t="shared" si="2"/>
        <v>4.8206330370755045E-3</v>
      </c>
      <c r="L11" s="78">
        <f t="shared" si="3"/>
        <v>2.6137920764903854E-3</v>
      </c>
      <c r="M11" s="78">
        <f t="shared" si="4"/>
        <v>1.2328720450196196E-2</v>
      </c>
    </row>
    <row r="12" spans="1:13" s="49" customFormat="1" ht="16">
      <c r="A12" s="10" t="s">
        <v>227</v>
      </c>
      <c r="B12" s="197">
        <v>14.21</v>
      </c>
      <c r="C12" s="11" t="s">
        <v>102</v>
      </c>
      <c r="D12" s="24">
        <v>8.6691927757393011E-2</v>
      </c>
      <c r="E12" s="12">
        <v>0.15961921777005708</v>
      </c>
      <c r="F12" s="16">
        <v>0.10591921777005708</v>
      </c>
      <c r="G12" s="16">
        <v>0.3</v>
      </c>
      <c r="H12" s="170" t="s">
        <v>130</v>
      </c>
      <c r="I12" s="78">
        <f t="shared" si="0"/>
        <v>8.0692329969733276E-3</v>
      </c>
      <c r="J12" s="78">
        <f t="shared" si="1"/>
        <v>6.9953736403118364E-4</v>
      </c>
      <c r="K12" s="78">
        <f t="shared" si="2"/>
        <v>1.2880046589812159E-3</v>
      </c>
      <c r="L12" s="78">
        <f t="shared" si="3"/>
        <v>8.546868470437483E-4</v>
      </c>
      <c r="M12" s="78">
        <f t="shared" si="4"/>
        <v>2.420769899091998E-3</v>
      </c>
    </row>
    <row r="13" spans="1:13" s="49" customFormat="1" ht="16">
      <c r="A13" s="10" t="s">
        <v>228</v>
      </c>
      <c r="B13" s="197">
        <v>42.69</v>
      </c>
      <c r="C13" s="11" t="s">
        <v>80</v>
      </c>
      <c r="D13" s="24">
        <v>7.5216461989266389E-2</v>
      </c>
      <c r="E13" s="12">
        <v>0.14559862336006157</v>
      </c>
      <c r="F13" s="16">
        <v>9.1898623360061577E-2</v>
      </c>
      <c r="G13" s="16">
        <v>0.25</v>
      </c>
      <c r="H13" s="170" t="s">
        <v>130</v>
      </c>
      <c r="I13" s="78">
        <f t="shared" si="0"/>
        <v>2.4241770347698196E-2</v>
      </c>
      <c r="J13" s="78">
        <f t="shared" si="1"/>
        <v>1.8233801979101664E-3</v>
      </c>
      <c r="K13" s="78">
        <f t="shared" si="2"/>
        <v>3.5295683904356186E-3</v>
      </c>
      <c r="L13" s="78">
        <f t="shared" si="3"/>
        <v>2.2277853227642254E-3</v>
      </c>
      <c r="M13" s="78">
        <f t="shared" si="4"/>
        <v>6.060442586924549E-3</v>
      </c>
    </row>
    <row r="14" spans="1:13" s="49" customFormat="1" ht="16">
      <c r="A14" s="10" t="s">
        <v>190</v>
      </c>
      <c r="B14" s="197">
        <v>70.53</v>
      </c>
      <c r="C14" s="11" t="s">
        <v>50</v>
      </c>
      <c r="D14" s="24">
        <v>6.3636673805065866E-2</v>
      </c>
      <c r="E14" s="12">
        <v>0.13145056900088425</v>
      </c>
      <c r="F14" s="16">
        <v>7.7750569000884256E-2</v>
      </c>
      <c r="G14" s="16">
        <v>0.3</v>
      </c>
      <c r="H14" s="170" t="s">
        <v>130</v>
      </c>
      <c r="I14" s="78">
        <f t="shared" si="0"/>
        <v>4.0050879892788799E-2</v>
      </c>
      <c r="J14" s="78">
        <f t="shared" si="1"/>
        <v>2.5487047793432719E-3</v>
      </c>
      <c r="K14" s="78">
        <f t="shared" si="2"/>
        <v>5.2647109508931617E-3</v>
      </c>
      <c r="L14" s="78">
        <f t="shared" si="3"/>
        <v>3.1139787006504035E-3</v>
      </c>
      <c r="M14" s="78">
        <f t="shared" si="4"/>
        <v>1.2015263967836639E-2</v>
      </c>
    </row>
    <row r="15" spans="1:13" s="49" customFormat="1" ht="16">
      <c r="A15" s="10" t="s">
        <v>18</v>
      </c>
      <c r="B15" s="197">
        <v>103.61</v>
      </c>
      <c r="C15" s="11" t="s">
        <v>81</v>
      </c>
      <c r="D15" s="24">
        <v>2.8897309252464341E-2</v>
      </c>
      <c r="E15" s="12">
        <v>8.9006405923352364E-2</v>
      </c>
      <c r="F15" s="16">
        <v>3.5306405923352366E-2</v>
      </c>
      <c r="G15" s="16">
        <v>0.31</v>
      </c>
      <c r="H15" s="170" t="s">
        <v>130</v>
      </c>
      <c r="I15" s="78">
        <f t="shared" si="0"/>
        <v>5.8835554596509958E-2</v>
      </c>
      <c r="J15" s="78">
        <f t="shared" si="1"/>
        <v>1.7001892162155981E-3</v>
      </c>
      <c r="K15" s="78">
        <f t="shared" si="2"/>
        <v>5.2367412551425256E-3</v>
      </c>
      <c r="L15" s="78">
        <f t="shared" si="3"/>
        <v>2.0772719733099408E-3</v>
      </c>
      <c r="M15" s="78">
        <f t="shared" si="4"/>
        <v>1.8239021924918088E-2</v>
      </c>
    </row>
    <row r="16" spans="1:13" s="49" customFormat="1" ht="16">
      <c r="A16" s="10" t="s">
        <v>233</v>
      </c>
      <c r="B16" s="197">
        <v>11.01</v>
      </c>
      <c r="C16" s="11" t="s">
        <v>63</v>
      </c>
      <c r="D16" s="24">
        <v>0.11558923700985736</v>
      </c>
      <c r="E16" s="12">
        <v>0.19492562369340946</v>
      </c>
      <c r="F16" s="16">
        <v>0.14122562369340946</v>
      </c>
      <c r="G16" s="16">
        <v>0.32</v>
      </c>
      <c r="H16" s="170" t="s">
        <v>130</v>
      </c>
      <c r="I16" s="78">
        <f t="shared" si="0"/>
        <v>6.2520939688019946E-3</v>
      </c>
      <c r="J16" s="78">
        <f t="shared" si="1"/>
        <v>7.2267477156775356E-4</v>
      </c>
      <c r="K16" s="78">
        <f t="shared" si="2"/>
        <v>1.2186933162585325E-3</v>
      </c>
      <c r="L16" s="78">
        <f t="shared" si="3"/>
        <v>8.829558701338654E-4</v>
      </c>
      <c r="M16" s="78">
        <f t="shared" si="4"/>
        <v>2.0006700700166383E-3</v>
      </c>
    </row>
    <row r="17" spans="1:13" s="49" customFormat="1" ht="16">
      <c r="A17" s="10" t="s">
        <v>138</v>
      </c>
      <c r="B17" s="197">
        <v>10.95</v>
      </c>
      <c r="C17" s="11" t="s">
        <v>81</v>
      </c>
      <c r="D17" s="24">
        <v>2.8897309252464341E-2</v>
      </c>
      <c r="E17" s="12">
        <v>8.9006405923352364E-2</v>
      </c>
      <c r="F17" s="16">
        <v>3.5306405923352366E-2</v>
      </c>
      <c r="G17" s="16">
        <v>0.32</v>
      </c>
      <c r="H17" s="170" t="s">
        <v>130</v>
      </c>
      <c r="I17" s="78">
        <f t="shared" si="0"/>
        <v>6.2180226120237816E-3</v>
      </c>
      <c r="J17" s="78">
        <f t="shared" si="1"/>
        <v>1.7968412235846732E-4</v>
      </c>
      <c r="K17" s="78">
        <f t="shared" si="2"/>
        <v>5.5344384464637241E-4</v>
      </c>
      <c r="L17" s="78">
        <f t="shared" si="3"/>
        <v>2.195360303806954E-4</v>
      </c>
      <c r="M17" s="78">
        <f t="shared" si="4"/>
        <v>1.98976723584761E-3</v>
      </c>
    </row>
    <row r="18" spans="1:13" s="49" customFormat="1" ht="16">
      <c r="A18" s="10" t="s">
        <v>194</v>
      </c>
      <c r="B18" s="197">
        <v>404.65</v>
      </c>
      <c r="C18" s="11" t="s">
        <v>50</v>
      </c>
      <c r="D18" s="24">
        <v>6.3636673805065866E-2</v>
      </c>
      <c r="E18" s="12">
        <v>0.13145056900088425</v>
      </c>
      <c r="F18" s="16">
        <v>7.7750569000884256E-2</v>
      </c>
      <c r="G18" s="16">
        <v>0.3</v>
      </c>
      <c r="H18" s="170" t="s">
        <v>130</v>
      </c>
      <c r="I18" s="78">
        <f t="shared" si="0"/>
        <v>0.22978290867172815</v>
      </c>
      <c r="J18" s="78">
        <f t="shared" si="1"/>
        <v>1.4622620005122005E-2</v>
      </c>
      <c r="K18" s="78">
        <f t="shared" si="2"/>
        <v>3.0205094091576887E-2</v>
      </c>
      <c r="L18" s="78">
        <f t="shared" si="3"/>
        <v>1.7865751895905085E-2</v>
      </c>
      <c r="M18" s="78">
        <f t="shared" si="4"/>
        <v>6.893487260151844E-2</v>
      </c>
    </row>
    <row r="19" spans="1:13" s="49" customFormat="1" ht="16">
      <c r="A19" s="10" t="s">
        <v>234</v>
      </c>
      <c r="B19" s="197">
        <v>8.3800000000000008</v>
      </c>
      <c r="C19" s="11" t="s">
        <v>50</v>
      </c>
      <c r="D19" s="24">
        <v>6.3636673805065866E-2</v>
      </c>
      <c r="E19" s="12">
        <v>0.13145056900088425</v>
      </c>
      <c r="F19" s="16">
        <v>7.7750569000884256E-2</v>
      </c>
      <c r="G19" s="16">
        <v>0.3</v>
      </c>
      <c r="H19" s="170" t="s">
        <v>130</v>
      </c>
      <c r="I19" s="78">
        <f t="shared" si="0"/>
        <v>4.7586328300236805E-3</v>
      </c>
      <c r="J19" s="78">
        <f t="shared" si="1"/>
        <v>3.0282356516229438E-4</v>
      </c>
      <c r="K19" s="78">
        <f t="shared" si="2"/>
        <v>6.2552499317290093E-4</v>
      </c>
      <c r="L19" s="78">
        <f t="shared" si="3"/>
        <v>3.6998641020062931E-4</v>
      </c>
      <c r="M19" s="78">
        <f t="shared" si="4"/>
        <v>1.4275898490071041E-3</v>
      </c>
    </row>
    <row r="20" spans="1:13" s="49" customFormat="1" ht="16">
      <c r="A20" s="10" t="s">
        <v>137</v>
      </c>
      <c r="B20" s="197">
        <v>14.68</v>
      </c>
      <c r="C20" s="11" t="s">
        <v>83</v>
      </c>
      <c r="D20" s="24">
        <v>4.1624644013477513E-2</v>
      </c>
      <c r="E20" s="12">
        <v>0.10455651972352922</v>
      </c>
      <c r="F20" s="16">
        <v>5.0856519723529219E-2</v>
      </c>
      <c r="G20" s="16">
        <v>0.3</v>
      </c>
      <c r="H20" s="170" t="s">
        <v>130</v>
      </c>
      <c r="I20" s="78">
        <f t="shared" si="0"/>
        <v>8.3361252917359928E-3</v>
      </c>
      <c r="J20" s="78">
        <f t="shared" si="1"/>
        <v>3.4698824772025707E-4</v>
      </c>
      <c r="K20" s="78">
        <f t="shared" si="2"/>
        <v>8.7159624848320513E-4</v>
      </c>
      <c r="L20" s="78">
        <f t="shared" si="3"/>
        <v>4.2394632031698227E-4</v>
      </c>
      <c r="M20" s="78">
        <f t="shared" si="4"/>
        <v>2.5008375875207977E-3</v>
      </c>
    </row>
    <row r="21" spans="1:13" s="49" customFormat="1" ht="16">
      <c r="A21" s="10" t="s">
        <v>78</v>
      </c>
      <c r="B21" s="197">
        <v>295.45999999999998</v>
      </c>
      <c r="C21" s="11" t="s">
        <v>126</v>
      </c>
      <c r="D21" s="24">
        <v>2.5454669522026348E-2</v>
      </c>
      <c r="E21" s="12">
        <v>8.4800227600353703E-2</v>
      </c>
      <c r="F21" s="16">
        <v>3.1100227600353709E-2</v>
      </c>
      <c r="G21" s="16">
        <v>0.28000000000000003</v>
      </c>
      <c r="H21" s="170" t="s">
        <v>130</v>
      </c>
      <c r="I21" s="78">
        <f t="shared" si="0"/>
        <v>0.16777871789484441</v>
      </c>
      <c r="J21" s="78">
        <f t="shared" si="1"/>
        <v>4.2707518168425525E-3</v>
      </c>
      <c r="K21" s="78">
        <f t="shared" si="2"/>
        <v>1.4227673463978343E-2</v>
      </c>
      <c r="L21" s="78">
        <f t="shared" si="3"/>
        <v>5.2179563130251988E-3</v>
      </c>
      <c r="M21" s="78">
        <f t="shared" si="4"/>
        <v>4.6978041010556443E-2</v>
      </c>
    </row>
    <row r="22" spans="1:13" s="49" customFormat="1" ht="16">
      <c r="A22" s="10" t="s">
        <v>443</v>
      </c>
      <c r="B22" s="197">
        <v>3.72</v>
      </c>
      <c r="C22" s="11" t="s">
        <v>50</v>
      </c>
      <c r="D22" s="24">
        <v>0</v>
      </c>
      <c r="E22" s="12">
        <v>5.3699999999999998E-2</v>
      </c>
      <c r="F22" s="16">
        <v>0</v>
      </c>
      <c r="G22" s="16">
        <v>0.27500000000000002</v>
      </c>
      <c r="H22" s="170" t="s">
        <v>130</v>
      </c>
      <c r="I22" s="78">
        <f t="shared" si="0"/>
        <v>2.1124241202491751E-3</v>
      </c>
      <c r="J22" s="78">
        <f t="shared" si="1"/>
        <v>0</v>
      </c>
      <c r="K22" s="78">
        <f t="shared" si="2"/>
        <v>1.134371752573807E-4</v>
      </c>
      <c r="L22" s="78">
        <f t="shared" si="3"/>
        <v>0</v>
      </c>
      <c r="M22" s="78">
        <f t="shared" si="4"/>
        <v>5.8091663306852317E-4</v>
      </c>
    </row>
    <row r="23" spans="1:13" ht="16">
      <c r="A23" s="10" t="s">
        <v>342</v>
      </c>
      <c r="B23" s="197">
        <v>47.34</v>
      </c>
      <c r="C23" s="11" t="s">
        <v>49</v>
      </c>
      <c r="D23" s="24">
        <v>6.3636673805065866E-2</v>
      </c>
      <c r="E23" s="12">
        <v>0.13145056900088425</v>
      </c>
      <c r="F23" s="16">
        <v>7.7750569000884256E-2</v>
      </c>
      <c r="G23" s="16">
        <v>0.2</v>
      </c>
      <c r="H23" s="17" t="s">
        <v>130</v>
      </c>
      <c r="I23" s="78">
        <f t="shared" ref="I23" si="5">B23/$B$27</f>
        <v>2.6882300498009666E-2</v>
      </c>
      <c r="J23" s="78">
        <f t="shared" ref="J23" si="6">I23*D23</f>
        <v>1.7107001879216007E-3</v>
      </c>
      <c r="K23" s="78">
        <f t="shared" ref="K23" si="7">I23*E23</f>
        <v>3.5336936965161248E-3</v>
      </c>
      <c r="L23" s="78">
        <f t="shared" ref="L23" si="8">I23*F23</f>
        <v>2.0901141597730057E-3</v>
      </c>
      <c r="M23" s="78">
        <f t="shared" ref="M23" si="9">I23*G23</f>
        <v>5.3764600996019339E-3</v>
      </c>
    </row>
    <row r="24" spans="1:13" s="49" customFormat="1" ht="16">
      <c r="A24" s="10" t="s">
        <v>79</v>
      </c>
      <c r="B24" s="197">
        <v>42.06</v>
      </c>
      <c r="C24" s="11" t="s">
        <v>50</v>
      </c>
      <c r="D24" s="24">
        <v>6.3636673805065866E-2</v>
      </c>
      <c r="E24" s="12">
        <v>0.13145056900088425</v>
      </c>
      <c r="F24" s="16">
        <v>7.7750569000884256E-2</v>
      </c>
      <c r="G24" s="16">
        <v>0.25</v>
      </c>
      <c r="H24" s="170" t="s">
        <v>130</v>
      </c>
      <c r="I24" s="78">
        <f t="shared" si="0"/>
        <v>2.3884021101526966E-2</v>
      </c>
      <c r="J24" s="78">
        <f t="shared" si="1"/>
        <v>1.5198996599911814E-3</v>
      </c>
      <c r="K24" s="78">
        <f t="shared" si="2"/>
        <v>3.1395681638248457E-3</v>
      </c>
      <c r="L24" s="78">
        <f t="shared" si="3"/>
        <v>1.8569962306728479E-3</v>
      </c>
      <c r="M24" s="78">
        <f t="shared" si="4"/>
        <v>5.9710052753817414E-3</v>
      </c>
    </row>
    <row r="25" spans="1:13" s="49" customFormat="1" ht="16">
      <c r="A25" s="10" t="s">
        <v>235</v>
      </c>
      <c r="B25" s="197">
        <v>24.08</v>
      </c>
      <c r="C25" s="11" t="s">
        <v>50</v>
      </c>
      <c r="D25" s="24">
        <v>6.3636673805065866E-2</v>
      </c>
      <c r="E25" s="12">
        <v>0.13145056900088425</v>
      </c>
      <c r="F25" s="16">
        <v>7.7750569000884256E-2</v>
      </c>
      <c r="G25" s="16">
        <v>0.3</v>
      </c>
      <c r="H25" s="170" t="s">
        <v>130</v>
      </c>
      <c r="I25" s="78">
        <f>B25/$B$27</f>
        <v>1.3673971186989283E-2</v>
      </c>
      <c r="J25" s="78">
        <f>I25*D25</f>
        <v>8.7016604404630633E-4</v>
      </c>
      <c r="K25" s="78">
        <f>I25*E25</f>
        <v>1.7974512930314379E-3</v>
      </c>
      <c r="L25" s="78">
        <f>I25*F25</f>
        <v>1.0631590402901134E-3</v>
      </c>
      <c r="M25" s="78">
        <f>I25*G25</f>
        <v>4.1021913560967847E-3</v>
      </c>
    </row>
    <row r="26" spans="1:13" s="49" customFormat="1" ht="16">
      <c r="A26" s="10" t="s">
        <v>198</v>
      </c>
      <c r="B26" s="197">
        <v>21.06</v>
      </c>
      <c r="C26" s="11" t="s">
        <v>80</v>
      </c>
      <c r="D26" s="24">
        <v>7.5216461989266389E-2</v>
      </c>
      <c r="E26" s="12">
        <v>0.14559862336006157</v>
      </c>
      <c r="F26" s="16">
        <v>9.1898623360061577E-2</v>
      </c>
      <c r="G26" s="16">
        <v>0.35</v>
      </c>
      <c r="H26" s="170" t="s">
        <v>130</v>
      </c>
      <c r="I26" s="78">
        <f t="shared" si="0"/>
        <v>1.1959046229152588E-2</v>
      </c>
      <c r="J26" s="78">
        <f t="shared" si="1"/>
        <v>8.9951714612293522E-4</v>
      </c>
      <c r="K26" s="78">
        <f t="shared" si="2"/>
        <v>1.7412206676639523E-3</v>
      </c>
      <c r="L26" s="78">
        <f t="shared" si="3"/>
        <v>1.0990198851584584E-3</v>
      </c>
      <c r="M26" s="78">
        <f t="shared" si="4"/>
        <v>4.1856661802034054E-3</v>
      </c>
    </row>
    <row r="27" spans="1:13" s="37" customFormat="1" ht="16">
      <c r="A27" s="76" t="s">
        <v>130</v>
      </c>
      <c r="B27" s="69">
        <f>SUM(B2:B26)</f>
        <v>1761.01</v>
      </c>
      <c r="C27" s="69"/>
      <c r="D27" s="70">
        <f>SUM(J2:J26)</f>
        <v>5.7428918677864128E-2</v>
      </c>
      <c r="E27" s="70">
        <f>SUM(K2:K26)</f>
        <v>0.1238660039301739</v>
      </c>
      <c r="F27" s="70">
        <f>SUM(L2:L26)</f>
        <v>7.0166003930173887E-2</v>
      </c>
      <c r="G27" s="70">
        <f>SUM(M2:M26)</f>
        <v>0.27768391036961737</v>
      </c>
      <c r="H27" s="76"/>
      <c r="I27" s="79">
        <f>SUM(I2:I26)</f>
        <v>0.99999999999999989</v>
      </c>
    </row>
    <row r="28" spans="1:13" s="49" customFormat="1" ht="16">
      <c r="A28" s="10" t="s">
        <v>134</v>
      </c>
      <c r="B28" s="197">
        <v>221.42</v>
      </c>
      <c r="C28" s="11" t="s">
        <v>83</v>
      </c>
      <c r="D28" s="24">
        <v>4.1624644013477513E-2</v>
      </c>
      <c r="E28" s="12">
        <v>0.10455651972352922</v>
      </c>
      <c r="F28" s="16">
        <v>5.0856519723529219E-2</v>
      </c>
      <c r="G28" s="16">
        <v>0.25</v>
      </c>
      <c r="H28" s="17" t="s">
        <v>131</v>
      </c>
      <c r="I28" s="78">
        <f t="shared" ref="I28:I50" si="10">B28/$B$51</f>
        <v>9.1309814588538801E-3</v>
      </c>
      <c r="J28" s="78">
        <f t="shared" ref="J28:J50" si="11">I28*D28</f>
        <v>3.8007385271845632E-4</v>
      </c>
      <c r="K28" s="78">
        <f t="shared" ref="K28:K50" si="12">I28*E28</f>
        <v>9.5470364299783531E-4</v>
      </c>
      <c r="L28" s="78">
        <f t="shared" ref="L28:L50" si="13">I28*F28</f>
        <v>4.6436993865738192E-4</v>
      </c>
      <c r="M28" s="78">
        <f t="shared" si="4"/>
        <v>2.28274536471347E-3</v>
      </c>
    </row>
    <row r="29" spans="1:13" s="49" customFormat="1" ht="16">
      <c r="A29" s="10" t="s">
        <v>6</v>
      </c>
      <c r="B29" s="197">
        <v>20.02</v>
      </c>
      <c r="C29" s="11" t="s">
        <v>50</v>
      </c>
      <c r="D29" s="24">
        <v>6.3636673805065866E-2</v>
      </c>
      <c r="E29" s="12">
        <v>0.13145056900088425</v>
      </c>
      <c r="F29" s="16">
        <v>7.7750569000884256E-2</v>
      </c>
      <c r="G29" s="16">
        <v>0.2</v>
      </c>
      <c r="H29" s="17" t="s">
        <v>131</v>
      </c>
      <c r="I29" s="78">
        <f t="shared" si="10"/>
        <v>8.2559050133797619E-4</v>
      </c>
      <c r="J29" s="78">
        <f t="shared" si="11"/>
        <v>5.2537833430205588E-5</v>
      </c>
      <c r="K29" s="78">
        <f t="shared" si="12"/>
        <v>1.0852434116260226E-4</v>
      </c>
      <c r="L29" s="78">
        <f t="shared" si="13"/>
        <v>6.4190131240752946E-5</v>
      </c>
      <c r="M29" s="78">
        <f t="shared" si="4"/>
        <v>1.6511810026759524E-4</v>
      </c>
    </row>
    <row r="30" spans="1:13" s="49" customFormat="1" ht="16">
      <c r="A30" s="10" t="s">
        <v>99</v>
      </c>
      <c r="B30" s="197">
        <v>11199.15</v>
      </c>
      <c r="C30" s="11" t="s">
        <v>42</v>
      </c>
      <c r="D30" s="24">
        <v>8.1371484537625226E-3</v>
      </c>
      <c r="E30" s="12">
        <v>6.3641876036178643E-2</v>
      </c>
      <c r="F30" s="16">
        <v>9.9418760361786457E-3</v>
      </c>
      <c r="G30" s="16">
        <v>0.25</v>
      </c>
      <c r="H30" s="17" t="s">
        <v>131</v>
      </c>
      <c r="I30" s="78">
        <f t="shared" si="10"/>
        <v>0.46183375939356619</v>
      </c>
      <c r="J30" s="78">
        <f t="shared" si="11"/>
        <v>3.7580098611446899E-3</v>
      </c>
      <c r="K30" s="78">
        <f t="shared" si="12"/>
        <v>2.9391966864647692E-2</v>
      </c>
      <c r="L30" s="78">
        <f t="shared" si="13"/>
        <v>4.59149398521319E-3</v>
      </c>
      <c r="M30" s="78">
        <f t="shared" si="4"/>
        <v>0.11545843984839155</v>
      </c>
    </row>
    <row r="31" spans="1:13" s="49" customFormat="1" ht="16">
      <c r="A31" s="10" t="s">
        <v>226</v>
      </c>
      <c r="B31" s="197">
        <v>4.7</v>
      </c>
      <c r="C31" s="11" t="s">
        <v>83</v>
      </c>
      <c r="D31" s="24">
        <v>4.1624644013477513E-2</v>
      </c>
      <c r="E31" s="12">
        <v>0.10455651972352922</v>
      </c>
      <c r="F31" s="16">
        <v>5.0856519723529219E-2</v>
      </c>
      <c r="G31" s="16">
        <v>0.2</v>
      </c>
      <c r="H31" s="17" t="s">
        <v>131</v>
      </c>
      <c r="I31" s="78">
        <f t="shared" si="10"/>
        <v>1.9381994786655786E-4</v>
      </c>
      <c r="J31" s="78">
        <f t="shared" si="11"/>
        <v>8.0676863326562411E-6</v>
      </c>
      <c r="K31" s="78">
        <f t="shared" si="12"/>
        <v>2.0265139201923161E-5</v>
      </c>
      <c r="L31" s="78">
        <f t="shared" si="13"/>
        <v>9.8570080014890052E-6</v>
      </c>
      <c r="M31" s="78">
        <f t="shared" si="4"/>
        <v>3.8763989573311574E-5</v>
      </c>
    </row>
    <row r="32" spans="1:13" s="49" customFormat="1" ht="16">
      <c r="A32" s="10" t="s">
        <v>60</v>
      </c>
      <c r="B32" s="197">
        <v>320.91000000000003</v>
      </c>
      <c r="C32" s="11" t="s">
        <v>46</v>
      </c>
      <c r="D32" s="24">
        <v>5.7377328840633162E-3</v>
      </c>
      <c r="E32" s="12">
        <v>6.0710297204997758E-2</v>
      </c>
      <c r="F32" s="16">
        <v>7.0102972049977622E-3</v>
      </c>
      <c r="G32" s="16">
        <v>0.16500000000000001</v>
      </c>
      <c r="H32" s="17" t="s">
        <v>131</v>
      </c>
      <c r="I32" s="78">
        <f t="shared" si="10"/>
        <v>1.323377861060789E-2</v>
      </c>
      <c r="J32" s="78">
        <f t="shared" si="11"/>
        <v>7.5931886714498636E-5</v>
      </c>
      <c r="K32" s="78">
        <f t="shared" si="12"/>
        <v>8.0342663259514737E-4</v>
      </c>
      <c r="L32" s="78">
        <f t="shared" si="13"/>
        <v>9.2772721205503669E-5</v>
      </c>
      <c r="M32" s="78">
        <f t="shared" si="4"/>
        <v>2.1835734707503019E-3</v>
      </c>
    </row>
    <row r="33" spans="1:13" s="49" customFormat="1" ht="16">
      <c r="A33" s="10" t="s">
        <v>113</v>
      </c>
      <c r="B33" s="197">
        <v>2263.79</v>
      </c>
      <c r="C33" s="11" t="s">
        <v>85</v>
      </c>
      <c r="D33" s="24">
        <v>2.201202979158836E-2</v>
      </c>
      <c r="E33" s="12">
        <v>8.0594049277355057E-2</v>
      </c>
      <c r="F33" s="16">
        <v>2.6894049277355052E-2</v>
      </c>
      <c r="G33" s="16">
        <v>0.3</v>
      </c>
      <c r="H33" s="17" t="s">
        <v>131</v>
      </c>
      <c r="I33" s="78">
        <f t="shared" si="10"/>
        <v>9.3354821229964885E-2</v>
      </c>
      <c r="J33" s="78">
        <f t="shared" si="11"/>
        <v>2.0549291061023925E-3</v>
      </c>
      <c r="K33" s="78">
        <f t="shared" si="12"/>
        <v>7.5238430624864619E-3</v>
      </c>
      <c r="L33" s="78">
        <f t="shared" si="13"/>
        <v>2.510689162437347E-3</v>
      </c>
      <c r="M33" s="78">
        <f t="shared" si="4"/>
        <v>2.8006446368989465E-2</v>
      </c>
    </row>
    <row r="34" spans="1:13" s="49" customFormat="1" ht="16">
      <c r="A34" s="10" t="s">
        <v>114</v>
      </c>
      <c r="B34" s="197">
        <v>932.26</v>
      </c>
      <c r="C34" s="11" t="s">
        <v>85</v>
      </c>
      <c r="D34" s="24">
        <v>2.201202979158836E-2</v>
      </c>
      <c r="E34" s="12">
        <v>8.0594049277355057E-2</v>
      </c>
      <c r="F34" s="16">
        <v>2.6894049277355052E-2</v>
      </c>
      <c r="G34" s="16">
        <v>0.25</v>
      </c>
      <c r="H34" s="17" t="s">
        <v>131</v>
      </c>
      <c r="I34" s="78">
        <f t="shared" si="10"/>
        <v>3.8444805233633451E-2</v>
      </c>
      <c r="J34" s="78">
        <f t="shared" si="11"/>
        <v>8.4624819813455159E-4</v>
      </c>
      <c r="K34" s="78">
        <f t="shared" si="12"/>
        <v>3.0984225274577719E-3</v>
      </c>
      <c r="L34" s="78">
        <f t="shared" si="13"/>
        <v>1.0339364864116554E-3</v>
      </c>
      <c r="M34" s="78">
        <f t="shared" si="4"/>
        <v>9.6112013084083629E-3</v>
      </c>
    </row>
    <row r="35" spans="1:13" s="49" customFormat="1" ht="16">
      <c r="A35" s="10" t="s">
        <v>118</v>
      </c>
      <c r="B35" s="197">
        <v>4940.16</v>
      </c>
      <c r="C35" s="11" t="s">
        <v>42</v>
      </c>
      <c r="D35" s="24">
        <v>8.1371484537625226E-3</v>
      </c>
      <c r="E35" s="12">
        <v>6.3641876036178643E-2</v>
      </c>
      <c r="F35" s="16">
        <v>9.9418760361786457E-3</v>
      </c>
      <c r="G35" s="16">
        <v>0.30859999999999999</v>
      </c>
      <c r="H35" s="17" t="s">
        <v>131</v>
      </c>
      <c r="I35" s="78">
        <f t="shared" si="10"/>
        <v>0.20372373481967115</v>
      </c>
      <c r="J35" s="78">
        <f t="shared" si="11"/>
        <v>1.6577302737826134E-3</v>
      </c>
      <c r="K35" s="78">
        <f t="shared" si="12"/>
        <v>1.2965360677020843E-2</v>
      </c>
      <c r="L35" s="78">
        <f t="shared" si="13"/>
        <v>2.0253961172045018E-3</v>
      </c>
      <c r="M35" s="78">
        <f t="shared" si="4"/>
        <v>6.2869144565350518E-2</v>
      </c>
    </row>
    <row r="36" spans="1:13" s="49" customFormat="1" ht="16">
      <c r="A36" s="10" t="s">
        <v>121</v>
      </c>
      <c r="B36" s="197">
        <v>1411.25</v>
      </c>
      <c r="C36" s="11" t="s">
        <v>46</v>
      </c>
      <c r="D36" s="24">
        <v>5.7377328840633162E-3</v>
      </c>
      <c r="E36" s="12">
        <v>6.0710297204997758E-2</v>
      </c>
      <c r="F36" s="16">
        <v>7.0102972049977622E-3</v>
      </c>
      <c r="G36" s="16">
        <v>0.22</v>
      </c>
      <c r="H36" s="17" t="s">
        <v>131</v>
      </c>
      <c r="I36" s="78">
        <f t="shared" si="10"/>
        <v>5.8197532218442503E-2</v>
      </c>
      <c r="J36" s="78">
        <f t="shared" si="11"/>
        <v>3.3392189438109186E-4</v>
      </c>
      <c r="K36" s="78">
        <f t="shared" si="12"/>
        <v>3.5331894775790769E-3</v>
      </c>
      <c r="L36" s="78">
        <f t="shared" si="13"/>
        <v>4.0798199744871468E-4</v>
      </c>
      <c r="M36" s="78">
        <f t="shared" si="4"/>
        <v>1.280345708805735E-2</v>
      </c>
    </row>
    <row r="37" spans="1:13" s="49" customFormat="1" ht="16">
      <c r="A37" s="10" t="s">
        <v>32</v>
      </c>
      <c r="B37" s="197">
        <v>44.8</v>
      </c>
      <c r="C37" s="11" t="s">
        <v>47</v>
      </c>
      <c r="D37" s="24">
        <v>6.9896018769498571E-3</v>
      </c>
      <c r="E37" s="12">
        <v>6.223981659517909E-2</v>
      </c>
      <c r="F37" s="16">
        <v>8.5398165951790905E-3</v>
      </c>
      <c r="G37" s="16">
        <v>0.12</v>
      </c>
      <c r="H37" s="17" t="s">
        <v>131</v>
      </c>
      <c r="I37" s="78">
        <f t="shared" si="10"/>
        <v>1.8474752477493173E-3</v>
      </c>
      <c r="J37" s="78">
        <f t="shared" si="11"/>
        <v>1.291311645928703E-5</v>
      </c>
      <c r="K37" s="78">
        <f t="shared" si="12"/>
        <v>1.1498652058405056E-4</v>
      </c>
      <c r="L37" s="78">
        <f t="shared" si="13"/>
        <v>1.5777099779912223E-5</v>
      </c>
      <c r="M37" s="78">
        <f t="shared" si="4"/>
        <v>2.2169702972991807E-4</v>
      </c>
    </row>
    <row r="38" spans="1:13" s="49" customFormat="1" ht="16">
      <c r="A38" s="10" t="s">
        <v>14</v>
      </c>
      <c r="B38" s="197">
        <v>296.54000000000002</v>
      </c>
      <c r="C38" s="11" t="s">
        <v>44</v>
      </c>
      <c r="D38" s="24">
        <v>1.3874881337825837E-2</v>
      </c>
      <c r="E38" s="12">
        <v>7.0652173241176397E-2</v>
      </c>
      <c r="F38" s="16">
        <v>1.6952173241176406E-2</v>
      </c>
      <c r="G38" s="16">
        <v>0.24</v>
      </c>
      <c r="H38" s="17" t="s">
        <v>131</v>
      </c>
      <c r="I38" s="78">
        <f t="shared" si="10"/>
        <v>1.2228801561776397E-2</v>
      </c>
      <c r="J38" s="78">
        <f t="shared" si="11"/>
        <v>1.696731705734668E-4</v>
      </c>
      <c r="K38" s="78">
        <f t="shared" si="12"/>
        <v>8.6399140647459448E-4</v>
      </c>
      <c r="L38" s="78">
        <f t="shared" si="13"/>
        <v>2.0730476260720208E-4</v>
      </c>
      <c r="M38" s="78">
        <f t="shared" si="4"/>
        <v>2.9349123748263354E-3</v>
      </c>
    </row>
    <row r="39" spans="1:13" s="49" customFormat="1" ht="16">
      <c r="A39" s="10" t="s">
        <v>444</v>
      </c>
      <c r="B39" s="197">
        <v>4.22</v>
      </c>
      <c r="C39" s="11" t="s">
        <v>50</v>
      </c>
      <c r="D39" s="24">
        <v>1.3874881337825837E-2</v>
      </c>
      <c r="E39" s="12">
        <v>7.0652173241176397E-2</v>
      </c>
      <c r="F39" s="16">
        <v>1.6952173241176406E-2</v>
      </c>
      <c r="G39" s="16">
        <v>0.35</v>
      </c>
      <c r="H39" s="17" t="s">
        <v>131</v>
      </c>
      <c r="I39" s="78">
        <f t="shared" ref="I39" si="14">B39/$B$51</f>
        <v>1.7402557021210086E-4</v>
      </c>
      <c r="J39" s="78">
        <f t="shared" ref="J39" si="15">I39*D39</f>
        <v>2.4145841364403781E-6</v>
      </c>
      <c r="K39" s="78">
        <f t="shared" ref="K39" si="16">I39*E39</f>
        <v>1.2295284735019857E-5</v>
      </c>
      <c r="L39" s="78">
        <f t="shared" ref="L39" si="17">I39*F39</f>
        <v>2.9501116146300421E-6</v>
      </c>
      <c r="M39" s="78">
        <f t="shared" ref="M39" si="18">I39*G39</f>
        <v>6.0908949574235297E-5</v>
      </c>
    </row>
    <row r="40" spans="1:13" s="49" customFormat="1" ht="16">
      <c r="A40" s="10" t="s">
        <v>15</v>
      </c>
      <c r="B40" s="197">
        <v>12.17</v>
      </c>
      <c r="C40" s="11" t="s">
        <v>84</v>
      </c>
      <c r="D40" s="24">
        <v>1.846506764507649E-2</v>
      </c>
      <c r="E40" s="12">
        <v>7.6260411005174611E-2</v>
      </c>
      <c r="F40" s="16">
        <v>2.2560411005174617E-2</v>
      </c>
      <c r="G40" s="16">
        <v>0.15</v>
      </c>
      <c r="H40" s="17" t="s">
        <v>131</v>
      </c>
      <c r="I40" s="78">
        <f t="shared" si="10"/>
        <v>5.0186995011404446E-4</v>
      </c>
      <c r="J40" s="78">
        <f t="shared" si="11"/>
        <v>9.2670625778869941E-6</v>
      </c>
      <c r="K40" s="78">
        <f t="shared" si="12"/>
        <v>3.8272808666843512E-5</v>
      </c>
      <c r="L40" s="78">
        <f t="shared" si="13"/>
        <v>1.1322392345719325E-5</v>
      </c>
      <c r="M40" s="78">
        <f t="shared" si="4"/>
        <v>7.5280492517106672E-5</v>
      </c>
    </row>
    <row r="41" spans="1:13" s="49" customFormat="1" ht="16">
      <c r="A41" s="10" t="s">
        <v>64</v>
      </c>
      <c r="B41" s="197">
        <v>11.18</v>
      </c>
      <c r="C41" s="11" t="s">
        <v>80</v>
      </c>
      <c r="D41" s="24">
        <v>7.5216461989266389E-2</v>
      </c>
      <c r="E41" s="12">
        <v>0.14559862336006157</v>
      </c>
      <c r="F41" s="16">
        <v>9.1898623360061577E-2</v>
      </c>
      <c r="G41" s="16">
        <v>0.25</v>
      </c>
      <c r="H41" s="17" t="s">
        <v>131</v>
      </c>
      <c r="I41" s="78">
        <f t="shared" si="10"/>
        <v>4.6104404620172693E-4</v>
      </c>
      <c r="J41" s="78">
        <f t="shared" si="11"/>
        <v>3.4678101976509772E-5</v>
      </c>
      <c r="K41" s="78">
        <f t="shared" si="12"/>
        <v>6.7127378435324062E-5</v>
      </c>
      <c r="L41" s="78">
        <f t="shared" si="13"/>
        <v>4.236931315429133E-5</v>
      </c>
      <c r="M41" s="78">
        <f t="shared" si="4"/>
        <v>1.1526101155043173E-4</v>
      </c>
    </row>
    <row r="42" spans="1:13" s="49" customFormat="1" ht="16">
      <c r="A42" s="10" t="s">
        <v>25</v>
      </c>
      <c r="B42" s="197">
        <v>278.91000000000003</v>
      </c>
      <c r="C42" s="11" t="s">
        <v>80</v>
      </c>
      <c r="D42" s="24">
        <v>7.5216461989266389E-2</v>
      </c>
      <c r="E42" s="12">
        <v>0.14559862336006157</v>
      </c>
      <c r="F42" s="16">
        <v>9.1898623360061577E-2</v>
      </c>
      <c r="G42" s="16">
        <v>0.31</v>
      </c>
      <c r="H42" s="17" t="s">
        <v>131</v>
      </c>
      <c r="I42" s="78">
        <f t="shared" si="10"/>
        <v>1.1501770565842905E-2</v>
      </c>
      <c r="J42" s="78">
        <f t="shared" si="11"/>
        <v>8.6512248857498588E-4</v>
      </c>
      <c r="K42" s="78">
        <f t="shared" si="12"/>
        <v>1.6746419605900035E-3</v>
      </c>
      <c r="L42" s="78">
        <f t="shared" si="13"/>
        <v>1.0569968812042395E-3</v>
      </c>
      <c r="M42" s="78">
        <f t="shared" si="4"/>
        <v>3.5655488754113007E-3</v>
      </c>
    </row>
    <row r="43" spans="1:13" s="49" customFormat="1" ht="16">
      <c r="A43" s="10" t="s">
        <v>9</v>
      </c>
      <c r="B43" s="197">
        <v>20.21</v>
      </c>
      <c r="C43" s="11" t="s">
        <v>50</v>
      </c>
      <c r="D43" s="24">
        <v>6.3636673805065866E-2</v>
      </c>
      <c r="E43" s="12">
        <v>0.13145056900088425</v>
      </c>
      <c r="F43" s="16">
        <v>7.7750569000884256E-2</v>
      </c>
      <c r="G43" s="16">
        <v>0.3</v>
      </c>
      <c r="H43" s="17" t="s">
        <v>131</v>
      </c>
      <c r="I43" s="78">
        <f t="shared" si="10"/>
        <v>8.334257758261988E-4</v>
      </c>
      <c r="J43" s="78">
        <f t="shared" si="11"/>
        <v>5.3036444236985764E-5</v>
      </c>
      <c r="K43" s="78">
        <f t="shared" si="12"/>
        <v>1.0955429245235724E-4</v>
      </c>
      <c r="L43" s="78">
        <f t="shared" si="13"/>
        <v>6.4799328290490361E-5</v>
      </c>
      <c r="M43" s="78">
        <f t="shared" si="4"/>
        <v>2.5002773274785962E-4</v>
      </c>
    </row>
    <row r="44" spans="1:13" s="49" customFormat="1" ht="16">
      <c r="A44" s="10" t="s">
        <v>29</v>
      </c>
      <c r="B44" s="197">
        <v>304.91000000000003</v>
      </c>
      <c r="C44" s="11" t="s">
        <v>85</v>
      </c>
      <c r="D44" s="24">
        <v>2.201202979158836E-2</v>
      </c>
      <c r="E44" s="12">
        <v>8.0594049277355057E-2</v>
      </c>
      <c r="F44" s="16">
        <v>2.6894049277355052E-2</v>
      </c>
      <c r="G44" s="16">
        <v>0.3</v>
      </c>
      <c r="H44" s="17" t="s">
        <v>131</v>
      </c>
      <c r="I44" s="78">
        <f t="shared" si="10"/>
        <v>1.2573966022125991E-2</v>
      </c>
      <c r="J44" s="78">
        <f t="shared" si="11"/>
        <v>2.767785146774571E-4</v>
      </c>
      <c r="K44" s="78">
        <f t="shared" si="12"/>
        <v>1.0133868371990102E-3</v>
      </c>
      <c r="L44" s="78">
        <f t="shared" si="13"/>
        <v>3.3816486181084449E-4</v>
      </c>
      <c r="M44" s="78">
        <f t="shared" si="4"/>
        <v>3.7721898066377969E-3</v>
      </c>
    </row>
    <row r="45" spans="1:13" s="49" customFormat="1" ht="16">
      <c r="A45" s="10" t="s">
        <v>3</v>
      </c>
      <c r="B45" s="197">
        <v>296.98</v>
      </c>
      <c r="C45" s="11" t="s">
        <v>48</v>
      </c>
      <c r="D45" s="24">
        <v>0</v>
      </c>
      <c r="E45" s="12">
        <v>5.3699999999999998E-2</v>
      </c>
      <c r="F45" s="16">
        <v>0</v>
      </c>
      <c r="G45" s="16">
        <v>0.17</v>
      </c>
      <c r="H45" s="17" t="s">
        <v>131</v>
      </c>
      <c r="I45" s="78">
        <f t="shared" si="10"/>
        <v>1.2246946407959649E-2</v>
      </c>
      <c r="J45" s="78">
        <f t="shared" si="11"/>
        <v>0</v>
      </c>
      <c r="K45" s="78">
        <f t="shared" si="12"/>
        <v>6.576610221074331E-4</v>
      </c>
      <c r="L45" s="78">
        <f t="shared" si="13"/>
        <v>0</v>
      </c>
      <c r="M45" s="78">
        <f t="shared" si="4"/>
        <v>2.0819808893531404E-3</v>
      </c>
    </row>
    <row r="46" spans="1:13" s="49" customFormat="1" ht="16">
      <c r="A46" s="10" t="s">
        <v>457</v>
      </c>
      <c r="B46" s="197">
        <v>1.2</v>
      </c>
      <c r="C46" s="11" t="s">
        <v>80</v>
      </c>
      <c r="D46" s="24">
        <v>2.5454669522026348E-2</v>
      </c>
      <c r="E46" s="12">
        <v>8.4800227600353703E-2</v>
      </c>
      <c r="F46" s="16">
        <v>3.1100227600353709E-2</v>
      </c>
      <c r="G46" s="16">
        <v>0.28000000000000003</v>
      </c>
      <c r="H46" s="17" t="s">
        <v>131</v>
      </c>
      <c r="I46" s="78">
        <f t="shared" ref="I46" si="19">B46/$B$51</f>
        <v>4.9485944136142427E-5</v>
      </c>
      <c r="J46" s="78">
        <f t="shared" ref="J46" si="20">I46*D46</f>
        <v>1.2596483539709631E-6</v>
      </c>
      <c r="K46" s="78">
        <f t="shared" ref="K46" si="21">I46*E46</f>
        <v>4.1964193257632663E-6</v>
      </c>
      <c r="L46" s="78">
        <f t="shared" ref="L46" si="22">I46*F46</f>
        <v>1.5390241256524184E-6</v>
      </c>
      <c r="M46" s="78">
        <f t="shared" ref="M46" si="23">I46*G46</f>
        <v>1.3856064358119881E-5</v>
      </c>
    </row>
    <row r="47" spans="1:13" s="49" customFormat="1" ht="16">
      <c r="A47" s="10" t="s">
        <v>136</v>
      </c>
      <c r="B47" s="197">
        <v>81.319999999999993</v>
      </c>
      <c r="C47" s="11" t="s">
        <v>49</v>
      </c>
      <c r="D47" s="24">
        <v>5.2056885620865363E-2</v>
      </c>
      <c r="E47" s="12">
        <v>0.11730251464170696</v>
      </c>
      <c r="F47" s="16">
        <v>6.3602514641706964E-2</v>
      </c>
      <c r="G47" s="16">
        <v>0.28000000000000003</v>
      </c>
      <c r="H47" s="17" t="s">
        <v>131</v>
      </c>
      <c r="I47" s="78">
        <f t="shared" si="10"/>
        <v>3.3534974809592516E-3</v>
      </c>
      <c r="J47" s="78">
        <f t="shared" si="11"/>
        <v>1.7457263479615589E-4</v>
      </c>
      <c r="K47" s="78">
        <f t="shared" si="12"/>
        <v>3.9337368736115002E-4</v>
      </c>
      <c r="L47" s="78">
        <f t="shared" si="13"/>
        <v>2.1329087263363821E-4</v>
      </c>
      <c r="M47" s="78">
        <f t="shared" si="4"/>
        <v>9.3897929466859058E-4</v>
      </c>
    </row>
    <row r="48" spans="1:13" s="49" customFormat="1" ht="16">
      <c r="A48" s="10" t="s">
        <v>65</v>
      </c>
      <c r="B48" s="197">
        <v>970.9</v>
      </c>
      <c r="C48" s="11" t="s">
        <v>47</v>
      </c>
      <c r="D48" s="24">
        <v>6.9896018769498571E-3</v>
      </c>
      <c r="E48" s="12">
        <v>6.223981659517909E-2</v>
      </c>
      <c r="F48" s="16">
        <v>8.5398165951790905E-3</v>
      </c>
      <c r="G48" s="16">
        <v>0.17</v>
      </c>
      <c r="H48" s="17" t="s">
        <v>131</v>
      </c>
      <c r="I48" s="78">
        <f t="shared" si="10"/>
        <v>4.0038252634817237E-2</v>
      </c>
      <c r="J48" s="78">
        <f t="shared" si="11"/>
        <v>2.798514457661111E-4</v>
      </c>
      <c r="K48" s="78">
        <f t="shared" si="12"/>
        <v>2.4919735007824708E-3</v>
      </c>
      <c r="L48" s="78">
        <f t="shared" si="13"/>
        <v>3.4191933429278518E-4</v>
      </c>
      <c r="M48" s="78">
        <f t="shared" si="4"/>
        <v>6.8065029479189307E-3</v>
      </c>
    </row>
    <row r="49" spans="1:13" s="49" customFormat="1" ht="16">
      <c r="A49" s="10" t="s">
        <v>66</v>
      </c>
      <c r="B49" s="197">
        <v>407.03</v>
      </c>
      <c r="C49" s="11" t="s">
        <v>84</v>
      </c>
      <c r="D49" s="24">
        <v>1.846506764507649E-2</v>
      </c>
      <c r="E49" s="12">
        <v>7.6260411005174611E-2</v>
      </c>
      <c r="F49" s="16">
        <v>2.2560411005174617E-2</v>
      </c>
      <c r="G49" s="16">
        <v>0.2</v>
      </c>
      <c r="H49" s="17" t="s">
        <v>131</v>
      </c>
      <c r="I49" s="78">
        <f t="shared" si="10"/>
        <v>1.6785219868111708E-2</v>
      </c>
      <c r="J49" s="78">
        <f t="shared" si="11"/>
        <v>3.0994022030216456E-4</v>
      </c>
      <c r="K49" s="78">
        <f t="shared" si="12"/>
        <v>1.2800477659544217E-3</v>
      </c>
      <c r="L49" s="78">
        <f t="shared" si="13"/>
        <v>3.78681459036823E-4</v>
      </c>
      <c r="M49" s="78">
        <f t="shared" si="4"/>
        <v>3.3570439736223417E-3</v>
      </c>
    </row>
    <row r="50" spans="1:13" s="49" customFormat="1" ht="16">
      <c r="A50" s="10" t="s">
        <v>72</v>
      </c>
      <c r="B50" s="197">
        <v>205.28</v>
      </c>
      <c r="C50" s="11" t="s">
        <v>49</v>
      </c>
      <c r="D50" s="24">
        <v>5.2056885620865363E-2</v>
      </c>
      <c r="E50" s="12">
        <v>0.11730251464170696</v>
      </c>
      <c r="F50" s="16">
        <v>6.3602514641706964E-2</v>
      </c>
      <c r="G50" s="16">
        <v>0.2</v>
      </c>
      <c r="H50" s="17" t="s">
        <v>131</v>
      </c>
      <c r="I50" s="78">
        <f t="shared" si="10"/>
        <v>8.4653955102227639E-3</v>
      </c>
      <c r="J50" s="78">
        <f t="shared" si="11"/>
        <v>4.406821258110536E-4</v>
      </c>
      <c r="K50" s="78">
        <f t="shared" si="12"/>
        <v>9.9301218078574611E-4</v>
      </c>
      <c r="L50" s="78">
        <f t="shared" si="13"/>
        <v>5.3842044188678374E-4</v>
      </c>
      <c r="M50" s="78">
        <f t="shared" si="4"/>
        <v>1.6930791020445528E-3</v>
      </c>
    </row>
    <row r="51" spans="1:13" s="37" customFormat="1" ht="16">
      <c r="A51" s="76" t="s">
        <v>131</v>
      </c>
      <c r="B51" s="69">
        <f>SUM(B28:B50)</f>
        <v>24249.31</v>
      </c>
      <c r="C51" s="69"/>
      <c r="D51" s="70">
        <f>SUM(J28:J50)</f>
        <v>1.1797640150983633E-2</v>
      </c>
      <c r="E51" s="70">
        <f>SUM(K28:K50)</f>
        <v>6.8114223430603554E-2</v>
      </c>
      <c r="F51" s="71">
        <f>SUM(L28:L50)</f>
        <v>1.4414223430603548E-2</v>
      </c>
      <c r="G51" s="71">
        <f>SUM(M28:M50)</f>
        <v>0.25930615864946255</v>
      </c>
      <c r="H51" s="76"/>
      <c r="I51" s="79">
        <f>SUM(I28:I50)</f>
        <v>0.99999999999999967</v>
      </c>
    </row>
    <row r="52" spans="1:13" s="49" customFormat="1" ht="16">
      <c r="A52" s="10" t="s">
        <v>87</v>
      </c>
      <c r="B52" s="197">
        <v>1204.6199999999999</v>
      </c>
      <c r="C52" s="11" t="s">
        <v>48</v>
      </c>
      <c r="D52" s="24">
        <v>0</v>
      </c>
      <c r="E52" s="12">
        <v>5.3699999999999998E-2</v>
      </c>
      <c r="F52" s="16">
        <v>0</v>
      </c>
      <c r="G52" s="16">
        <v>0.3</v>
      </c>
      <c r="H52" s="57" t="s">
        <v>54</v>
      </c>
      <c r="I52" s="78">
        <f>B52/$B$55</f>
        <v>0.86614082643677326</v>
      </c>
      <c r="J52" s="78">
        <f>I52*D52</f>
        <v>0</v>
      </c>
      <c r="K52" s="78">
        <f>I52*E52</f>
        <v>4.6511762379654722E-2</v>
      </c>
      <c r="L52" s="78">
        <f>I52*F52</f>
        <v>0</v>
      </c>
      <c r="M52" s="78">
        <f t="shared" si="4"/>
        <v>0.25984224793103194</v>
      </c>
    </row>
    <row r="53" spans="1:13" s="49" customFormat="1" ht="16">
      <c r="A53" s="10" t="s">
        <v>221</v>
      </c>
      <c r="B53" s="197">
        <v>1.2</v>
      </c>
      <c r="C53" s="11" t="s">
        <v>49</v>
      </c>
      <c r="D53" s="24">
        <v>5.2056885620865363E-2</v>
      </c>
      <c r="E53" s="12">
        <v>0.11730251464170696</v>
      </c>
      <c r="F53" s="16">
        <v>6.3602514641706964E-2</v>
      </c>
      <c r="G53" s="16">
        <v>0</v>
      </c>
      <c r="H53" s="57" t="s">
        <v>54</v>
      </c>
      <c r="I53" s="78">
        <f>B53/$B$55</f>
        <v>8.6281897338922481E-4</v>
      </c>
      <c r="J53" s="78">
        <f>I53*D53</f>
        <v>4.4915668609235352E-5</v>
      </c>
      <c r="K53" s="78">
        <f>I53*E53</f>
        <v>1.0121083525913211E-4</v>
      </c>
      <c r="L53" s="78">
        <f>I53*F53</f>
        <v>5.4877456388130741E-5</v>
      </c>
      <c r="M53" s="78">
        <f t="shared" si="4"/>
        <v>0</v>
      </c>
    </row>
    <row r="54" spans="1:13" s="49" customFormat="1" ht="16">
      <c r="A54" s="10" t="s">
        <v>21</v>
      </c>
      <c r="B54" s="197">
        <v>184.97</v>
      </c>
      <c r="C54" s="11" t="s">
        <v>48</v>
      </c>
      <c r="D54" s="24">
        <v>0</v>
      </c>
      <c r="E54" s="12">
        <v>5.3699999999999998E-2</v>
      </c>
      <c r="F54" s="16">
        <v>0</v>
      </c>
      <c r="G54" s="16">
        <v>0.28000000000000003</v>
      </c>
      <c r="H54" s="57" t="s">
        <v>54</v>
      </c>
      <c r="I54" s="78">
        <f>B54/$B$55</f>
        <v>0.13299635458983744</v>
      </c>
      <c r="J54" s="78">
        <f>I54*D54</f>
        <v>0</v>
      </c>
      <c r="K54" s="78">
        <f>I54*E54</f>
        <v>7.1419042414742704E-3</v>
      </c>
      <c r="L54" s="78">
        <f>I54*F54</f>
        <v>0</v>
      </c>
      <c r="M54" s="78">
        <f t="shared" si="4"/>
        <v>3.7238979285154489E-2</v>
      </c>
    </row>
    <row r="55" spans="1:13" s="37" customFormat="1" ht="16">
      <c r="A55" s="76" t="s">
        <v>54</v>
      </c>
      <c r="B55" s="69">
        <f>SUM(B52:B54)</f>
        <v>1390.79</v>
      </c>
      <c r="C55" s="69"/>
      <c r="D55" s="70">
        <f>SUM(J52:J54)</f>
        <v>4.4915668609235352E-5</v>
      </c>
      <c r="E55" s="70">
        <f>SUM(K52:K54)</f>
        <v>5.3754877456388121E-2</v>
      </c>
      <c r="F55" s="70">
        <f>SUM(L52:L54)</f>
        <v>5.4877456388130741E-5</v>
      </c>
      <c r="G55" s="70">
        <f>SUM(M52:M54)</f>
        <v>0.29708122721618646</v>
      </c>
      <c r="H55" s="76"/>
    </row>
    <row r="56" spans="1:13" s="49" customFormat="1" ht="16">
      <c r="A56" s="10" t="s">
        <v>208</v>
      </c>
      <c r="B56" s="197">
        <v>2.6</v>
      </c>
      <c r="C56" s="11" t="s">
        <v>84</v>
      </c>
      <c r="D56" s="24">
        <v>1.846506764507649E-2</v>
      </c>
      <c r="E56" s="12">
        <v>7.6260411005174611E-2</v>
      </c>
      <c r="F56" s="16">
        <v>2.2560411005174617E-2</v>
      </c>
      <c r="G56" s="16">
        <v>0</v>
      </c>
      <c r="H56" s="57" t="s">
        <v>55</v>
      </c>
      <c r="I56" s="78">
        <f t="shared" ref="I56:I68" si="24">B56/$B$70</f>
        <v>1.1987643505924661E-2</v>
      </c>
      <c r="J56" s="78">
        <f t="shared" ref="J56:J68" si="25">I56*D56</f>
        <v>2.2135264824196075E-4</v>
      </c>
      <c r="K56" s="78">
        <f t="shared" ref="K56:K68" si="26">I56*E56</f>
        <v>9.1418262074532692E-4</v>
      </c>
      <c r="L56" s="78">
        <f t="shared" ref="L56:L68" si="27">I56*F56</f>
        <v>2.7044616447717275E-4</v>
      </c>
      <c r="M56" s="78">
        <f t="shared" si="4"/>
        <v>0</v>
      </c>
    </row>
    <row r="57" spans="1:13" s="49" customFormat="1" ht="16">
      <c r="A57" s="10" t="s">
        <v>88</v>
      </c>
      <c r="B57" s="197">
        <v>11.26</v>
      </c>
      <c r="C57" s="11" t="s">
        <v>126</v>
      </c>
      <c r="D57" s="24">
        <v>2.5454669522026348E-2</v>
      </c>
      <c r="E57" s="12">
        <v>8.4800227600353703E-2</v>
      </c>
      <c r="F57" s="16">
        <v>3.1100227600353709E-2</v>
      </c>
      <c r="G57" s="16">
        <v>0</v>
      </c>
      <c r="H57" s="57" t="s">
        <v>55</v>
      </c>
      <c r="I57" s="78">
        <f t="shared" si="24"/>
        <v>5.1915717644889101E-2</v>
      </c>
      <c r="J57" s="78">
        <f t="shared" si="25"/>
        <v>1.3214974356494842E-3</v>
      </c>
      <c r="K57" s="78">
        <f t="shared" si="26"/>
        <v>4.4024646723222942E-3</v>
      </c>
      <c r="L57" s="78">
        <f t="shared" si="27"/>
        <v>1.6145906347917501E-3</v>
      </c>
      <c r="M57" s="78">
        <f t="shared" si="4"/>
        <v>0</v>
      </c>
    </row>
    <row r="58" spans="1:13" s="49" customFormat="1" ht="16">
      <c r="A58" s="10" t="s">
        <v>90</v>
      </c>
      <c r="B58" s="197">
        <v>4.53</v>
      </c>
      <c r="C58" s="11" t="s">
        <v>63</v>
      </c>
      <c r="D58" s="24">
        <v>0.11558923700985736</v>
      </c>
      <c r="E58" s="12">
        <v>0.19492562369340946</v>
      </c>
      <c r="F58" s="16">
        <v>0.14122562369340946</v>
      </c>
      <c r="G58" s="16">
        <v>0.25</v>
      </c>
      <c r="H58" s="57" t="s">
        <v>55</v>
      </c>
      <c r="I58" s="78">
        <f t="shared" si="24"/>
        <v>2.0886163493014889E-2</v>
      </c>
      <c r="J58" s="78">
        <f t="shared" si="25"/>
        <v>2.4142157022207281E-3</v>
      </c>
      <c r="K58" s="78">
        <f t="shared" si="26"/>
        <v>4.0712484454384469E-3</v>
      </c>
      <c r="L58" s="78">
        <f t="shared" si="27"/>
        <v>2.9496614658635471E-3</v>
      </c>
      <c r="M58" s="78">
        <f t="shared" si="4"/>
        <v>5.2215408732537221E-3</v>
      </c>
    </row>
    <row r="59" spans="1:13" s="49" customFormat="1" ht="16">
      <c r="A59" s="10" t="s">
        <v>92</v>
      </c>
      <c r="B59" s="197">
        <v>5.6</v>
      </c>
      <c r="C59" s="11" t="s">
        <v>43</v>
      </c>
      <c r="D59" s="24">
        <v>9.8063071109445767E-3</v>
      </c>
      <c r="E59" s="12">
        <v>6.5681235223087081E-2</v>
      </c>
      <c r="F59" s="16">
        <v>1.1981235223087083E-2</v>
      </c>
      <c r="G59" s="16">
        <v>0</v>
      </c>
      <c r="H59" s="57" t="s">
        <v>55</v>
      </c>
      <c r="I59" s="78">
        <f t="shared" si="24"/>
        <v>2.581953985891465E-2</v>
      </c>
      <c r="J59" s="78">
        <f t="shared" si="25"/>
        <v>2.5319433731979166E-4</v>
      </c>
      <c r="K59" s="78">
        <f t="shared" si="26"/>
        <v>1.6958592708252458E-3</v>
      </c>
      <c r="L59" s="78">
        <f t="shared" si="27"/>
        <v>3.0934998040152911E-4</v>
      </c>
      <c r="M59" s="78">
        <f t="shared" si="4"/>
        <v>0</v>
      </c>
    </row>
    <row r="60" spans="1:13" s="49" customFormat="1" ht="16">
      <c r="A60" s="10" t="s">
        <v>56</v>
      </c>
      <c r="B60" s="197">
        <v>1.9</v>
      </c>
      <c r="C60" s="11" t="s">
        <v>47</v>
      </c>
      <c r="D60" s="24">
        <v>6.9896018769498571E-3</v>
      </c>
      <c r="E60" s="12">
        <v>6.223981659517909E-2</v>
      </c>
      <c r="F60" s="16">
        <v>8.5398165951790905E-3</v>
      </c>
      <c r="G60" s="16">
        <v>0.28210000000000002</v>
      </c>
      <c r="H60" s="57" t="s">
        <v>55</v>
      </c>
      <c r="I60" s="78">
        <f t="shared" si="24"/>
        <v>8.7602010235603277E-3</v>
      </c>
      <c r="J60" s="78">
        <f t="shared" si="25"/>
        <v>6.1230317516735325E-5</v>
      </c>
      <c r="K60" s="78">
        <f t="shared" si="26"/>
        <v>5.4523330504329499E-4</v>
      </c>
      <c r="L60" s="78">
        <f t="shared" si="27"/>
        <v>7.4810510078105347E-5</v>
      </c>
      <c r="M60" s="78">
        <f t="shared" si="4"/>
        <v>2.4712527087463686E-3</v>
      </c>
    </row>
    <row r="61" spans="1:13" s="49" customFormat="1" ht="16">
      <c r="A61" s="10" t="s">
        <v>101</v>
      </c>
      <c r="B61" s="197">
        <v>77.2</v>
      </c>
      <c r="C61" s="11" t="s">
        <v>59</v>
      </c>
      <c r="D61" s="24">
        <v>0.10411377124173073</v>
      </c>
      <c r="E61" s="12">
        <v>0.18090502928341393</v>
      </c>
      <c r="F61" s="16">
        <v>0.12720502928341393</v>
      </c>
      <c r="G61" s="16">
        <v>0.27979999999999999</v>
      </c>
      <c r="H61" s="57" t="s">
        <v>55</v>
      </c>
      <c r="I61" s="78">
        <f t="shared" si="24"/>
        <v>0.35594079948360913</v>
      </c>
      <c r="J61" s="78">
        <f t="shared" si="25"/>
        <v>3.7058338973035225E-2</v>
      </c>
      <c r="K61" s="78">
        <f t="shared" si="26"/>
        <v>6.4391480753744068E-2</v>
      </c>
      <c r="L61" s="78">
        <f t="shared" si="27"/>
        <v>4.5277459821474263E-2</v>
      </c>
      <c r="M61" s="78">
        <f t="shared" si="4"/>
        <v>9.9592235695513828E-2</v>
      </c>
    </row>
    <row r="62" spans="1:13" s="49" customFormat="1" ht="16">
      <c r="A62" s="10" t="s">
        <v>224</v>
      </c>
      <c r="B62" s="197">
        <v>1</v>
      </c>
      <c r="C62" s="11" t="s">
        <v>44</v>
      </c>
      <c r="D62" s="24">
        <v>1.3874881337825837E-2</v>
      </c>
      <c r="E62" s="12">
        <v>7.0652173241176397E-2</v>
      </c>
      <c r="F62" s="16">
        <v>1.6952173241176406E-2</v>
      </c>
      <c r="G62" s="16">
        <v>0.22</v>
      </c>
      <c r="H62" s="57" t="s">
        <v>55</v>
      </c>
      <c r="I62" s="78">
        <f t="shared" si="24"/>
        <v>4.6106321176633304E-3</v>
      </c>
      <c r="J62" s="78">
        <f t="shared" si="25"/>
        <v>6.3971973524947357E-5</v>
      </c>
      <c r="K62" s="78">
        <f t="shared" si="26"/>
        <v>3.2575117912848163E-4</v>
      </c>
      <c r="L62" s="78">
        <f t="shared" si="27"/>
        <v>7.8160234409960813E-5</v>
      </c>
      <c r="M62" s="78">
        <f t="shared" si="4"/>
        <v>1.0143390658859327E-3</v>
      </c>
    </row>
    <row r="63" spans="1:13" s="49" customFormat="1" ht="16">
      <c r="A63" s="10" t="s">
        <v>105</v>
      </c>
      <c r="B63" s="197">
        <v>71.58</v>
      </c>
      <c r="C63" s="11" t="s">
        <v>83</v>
      </c>
      <c r="D63" s="24">
        <v>4.1624644013477513E-2</v>
      </c>
      <c r="E63" s="12">
        <v>0.10455651972352922</v>
      </c>
      <c r="F63" s="16">
        <v>5.0856519723529219E-2</v>
      </c>
      <c r="G63" s="16">
        <v>0.27</v>
      </c>
      <c r="H63" s="57" t="s">
        <v>55</v>
      </c>
      <c r="I63" s="78">
        <f t="shared" si="24"/>
        <v>0.3300290469823412</v>
      </c>
      <c r="J63" s="78">
        <f t="shared" si="25"/>
        <v>1.3737341594747198E-2</v>
      </c>
      <c r="K63" s="78">
        <f t="shared" si="26"/>
        <v>3.4506688560146707E-2</v>
      </c>
      <c r="L63" s="78">
        <f t="shared" si="27"/>
        <v>1.6784128737194988E-2</v>
      </c>
      <c r="M63" s="78">
        <f t="shared" si="4"/>
        <v>8.9107842685232128E-2</v>
      </c>
    </row>
    <row r="64" spans="1:13" s="49" customFormat="1" ht="16">
      <c r="A64" s="10" t="s">
        <v>117</v>
      </c>
      <c r="B64" s="197">
        <v>14.06</v>
      </c>
      <c r="C64" s="11" t="s">
        <v>80</v>
      </c>
      <c r="D64" s="24">
        <v>7.5216461989266389E-2</v>
      </c>
      <c r="E64" s="12">
        <v>0.14559862336006157</v>
      </c>
      <c r="F64" s="16">
        <v>9.1898623360061577E-2</v>
      </c>
      <c r="G64" s="16">
        <v>0.25</v>
      </c>
      <c r="H64" s="57" t="s">
        <v>55</v>
      </c>
      <c r="I64" s="78">
        <f t="shared" si="24"/>
        <v>6.4825487574346433E-2</v>
      </c>
      <c r="J64" s="78">
        <f t="shared" si="25"/>
        <v>4.8759438220714888E-3</v>
      </c>
      <c r="K64" s="78">
        <f t="shared" si="26"/>
        <v>9.4385017494696185E-3</v>
      </c>
      <c r="L64" s="78">
        <f t="shared" si="27"/>
        <v>5.9573730667272142E-3</v>
      </c>
      <c r="M64" s="78">
        <f t="shared" si="4"/>
        <v>1.6206371893586608E-2</v>
      </c>
    </row>
    <row r="65" spans="1:13" s="49" customFormat="1" ht="16">
      <c r="A65" s="10" t="s">
        <v>232</v>
      </c>
      <c r="B65" s="197">
        <v>1.5</v>
      </c>
      <c r="C65" s="11" t="s">
        <v>126</v>
      </c>
      <c r="D65" s="24">
        <v>2.5454669522026348E-2</v>
      </c>
      <c r="E65" s="12">
        <v>8.4800227600353703E-2</v>
      </c>
      <c r="F65" s="16">
        <v>3.1100227600353709E-2</v>
      </c>
      <c r="G65" s="16">
        <v>0.27979999999999999</v>
      </c>
      <c r="H65" s="57" t="s">
        <v>55</v>
      </c>
      <c r="I65" s="78">
        <f t="shared" si="24"/>
        <v>6.9159481764949965E-3</v>
      </c>
      <c r="J65" s="78">
        <f t="shared" si="25"/>
        <v>1.760431752641409E-4</v>
      </c>
      <c r="K65" s="78">
        <f t="shared" si="26"/>
        <v>5.8647397943902685E-4</v>
      </c>
      <c r="L65" s="78">
        <f t="shared" si="27"/>
        <v>2.1508756236124558E-4</v>
      </c>
      <c r="M65" s="78">
        <f t="shared" si="4"/>
        <v>1.9350822997833E-3</v>
      </c>
    </row>
    <row r="66" spans="1:13" s="49" customFormat="1" ht="16">
      <c r="A66" s="10" t="s">
        <v>197</v>
      </c>
      <c r="B66" s="197">
        <v>1.5</v>
      </c>
      <c r="C66" s="11" t="s">
        <v>85</v>
      </c>
      <c r="D66" s="24">
        <v>2.201202979158836E-2</v>
      </c>
      <c r="E66" s="12">
        <v>8.0594049277355057E-2</v>
      </c>
      <c r="F66" s="16">
        <v>2.6894049277355052E-2</v>
      </c>
      <c r="G66" s="16">
        <v>0.34499999999999997</v>
      </c>
      <c r="H66" s="57" t="s">
        <v>55</v>
      </c>
      <c r="I66" s="78">
        <f t="shared" si="24"/>
        <v>6.9159481764949965E-3</v>
      </c>
      <c r="J66" s="78">
        <f t="shared" si="25"/>
        <v>1.5223405729808905E-4</v>
      </c>
      <c r="K66" s="78">
        <f t="shared" si="26"/>
        <v>5.5738426813607158E-4</v>
      </c>
      <c r="L66" s="78">
        <f t="shared" si="27"/>
        <v>1.8599785105829025E-4</v>
      </c>
      <c r="M66" s="78">
        <f t="shared" si="4"/>
        <v>2.3860021208907734E-3</v>
      </c>
    </row>
    <row r="67" spans="1:13" s="49" customFormat="1" ht="16">
      <c r="A67" s="10" t="s">
        <v>10</v>
      </c>
      <c r="B67" s="197">
        <v>0.77</v>
      </c>
      <c r="C67" s="11" t="s">
        <v>80</v>
      </c>
      <c r="D67" s="24">
        <v>7.5216461989266389E-2</v>
      </c>
      <c r="E67" s="12">
        <v>0.14559862336006157</v>
      </c>
      <c r="F67" s="16">
        <v>9.1898623360061577E-2</v>
      </c>
      <c r="G67" s="16">
        <v>0.27979999999999999</v>
      </c>
      <c r="H67" s="57" t="s">
        <v>55</v>
      </c>
      <c r="I67" s="78">
        <f t="shared" si="24"/>
        <v>3.5501867306007647E-3</v>
      </c>
      <c r="J67" s="78">
        <f t="shared" si="25"/>
        <v>2.6703248527703031E-4</v>
      </c>
      <c r="K67" s="78">
        <f t="shared" si="26"/>
        <v>5.1690230064662908E-4</v>
      </c>
      <c r="L67" s="78">
        <f t="shared" si="27"/>
        <v>3.2625727321336804E-4</v>
      </c>
      <c r="M67" s="78">
        <f t="shared" si="4"/>
        <v>9.9334224722209385E-4</v>
      </c>
    </row>
    <row r="68" spans="1:13" s="49" customFormat="1" ht="16">
      <c r="A68" s="10" t="s">
        <v>11</v>
      </c>
      <c r="B68" s="197">
        <v>21.89</v>
      </c>
      <c r="C68" s="11" t="s">
        <v>81</v>
      </c>
      <c r="D68" s="24">
        <v>2.8897309252464341E-2</v>
      </c>
      <c r="E68" s="12">
        <v>8.9006405923352364E-2</v>
      </c>
      <c r="F68" s="16">
        <v>3.5306405923352366E-2</v>
      </c>
      <c r="G68" s="16">
        <v>0.25</v>
      </c>
      <c r="H68" s="57" t="s">
        <v>55</v>
      </c>
      <c r="I68" s="78">
        <f t="shared" si="24"/>
        <v>0.10092673705565031</v>
      </c>
      <c r="J68" s="78">
        <f t="shared" si="25"/>
        <v>2.9165111325392791E-3</v>
      </c>
      <c r="K68" s="78">
        <f t="shared" si="26"/>
        <v>8.9831261268946607E-3</v>
      </c>
      <c r="L68" s="78">
        <f t="shared" si="27"/>
        <v>3.5633603470062386E-3</v>
      </c>
      <c r="M68" s="78">
        <f t="shared" si="4"/>
        <v>2.5231684263912577E-2</v>
      </c>
    </row>
    <row r="69" spans="1:13" s="49" customFormat="1" ht="16">
      <c r="A69" s="10" t="s">
        <v>301</v>
      </c>
      <c r="B69" s="197">
        <v>1.5</v>
      </c>
      <c r="C69" s="11" t="s">
        <v>84</v>
      </c>
      <c r="D69" s="24">
        <v>1.846506764507649E-2</v>
      </c>
      <c r="E69" s="12">
        <v>7.6260411005174611E-2</v>
      </c>
      <c r="F69" s="16">
        <v>2.2560411005174617E-2</v>
      </c>
      <c r="G69" s="16">
        <v>0</v>
      </c>
      <c r="H69" s="57" t="s">
        <v>55</v>
      </c>
      <c r="I69" s="78">
        <f>B69/$B$70</f>
        <v>6.9159481764949965E-3</v>
      </c>
      <c r="J69" s="78">
        <f>I69*D69</f>
        <v>1.2770345090882352E-4</v>
      </c>
      <c r="K69" s="78">
        <f>I69*E69</f>
        <v>5.2741305042999635E-4</v>
      </c>
      <c r="L69" s="78">
        <f>I69*F69</f>
        <v>1.5602663335221505E-4</v>
      </c>
      <c r="M69" s="78">
        <f>I69*G69</f>
        <v>0</v>
      </c>
    </row>
    <row r="70" spans="1:13" s="37" customFormat="1" ht="16">
      <c r="A70" s="76" t="s">
        <v>55</v>
      </c>
      <c r="B70" s="69">
        <f>SUM(B56:B69)</f>
        <v>216.89000000000004</v>
      </c>
      <c r="C70" s="69"/>
      <c r="D70" s="70">
        <f>SUM(J56:J69)</f>
        <v>6.3646611105614911E-2</v>
      </c>
      <c r="E70" s="70">
        <f>SUM(K56:K69)</f>
        <v>0.13146271028240988</v>
      </c>
      <c r="F70" s="70">
        <f>SUM(L56:L69)</f>
        <v>7.7762710282409886E-2</v>
      </c>
      <c r="G70" s="70">
        <f>SUM(M56:M69)</f>
        <v>0.2441596938540273</v>
      </c>
      <c r="H70" s="76"/>
      <c r="I70" s="79">
        <f>SUM(I56:I69)</f>
        <v>0.99999999999999989</v>
      </c>
      <c r="J70" s="79"/>
      <c r="K70" s="79"/>
      <c r="L70" s="79">
        <f>SUM(L56:L69)</f>
        <v>7.7762710282409886E-2</v>
      </c>
    </row>
    <row r="71" spans="1:13" s="49" customFormat="1" ht="16">
      <c r="A71" s="10" t="s">
        <v>86</v>
      </c>
      <c r="B71" s="197">
        <v>545.48</v>
      </c>
      <c r="C71" s="11" t="s">
        <v>50</v>
      </c>
      <c r="D71" s="24">
        <v>6.3636673805065866E-2</v>
      </c>
      <c r="E71" s="12">
        <v>0.13145056900088425</v>
      </c>
      <c r="F71" s="16">
        <v>7.7750569000884256E-2</v>
      </c>
      <c r="G71" s="16">
        <v>0.35</v>
      </c>
      <c r="H71" s="57" t="s">
        <v>52</v>
      </c>
      <c r="I71" s="78">
        <f t="shared" ref="I71:I89" si="28">B71/$B$90</f>
        <v>0.11315815131593959</v>
      </c>
      <c r="J71" s="78">
        <f t="shared" ref="J71:J89" si="29">I71*D71</f>
        <v>7.2010083636767329E-3</v>
      </c>
      <c r="K71" s="78">
        <f t="shared" ref="K71:K89" si="30">I71*E71</f>
        <v>1.4874703377568419E-2</v>
      </c>
      <c r="L71" s="78">
        <f t="shared" ref="L71:L89" si="31">I71*F71</f>
        <v>8.7981106519024622E-3</v>
      </c>
      <c r="M71" s="78">
        <f t="shared" si="4"/>
        <v>3.9605352960578856E-2</v>
      </c>
    </row>
    <row r="72" spans="1:13" s="49" customFormat="1" ht="16">
      <c r="A72" s="10" t="s">
        <v>91</v>
      </c>
      <c r="B72" s="197">
        <v>1.74</v>
      </c>
      <c r="C72" s="11" t="s">
        <v>80</v>
      </c>
      <c r="D72" s="24">
        <v>7.5216461989266389E-2</v>
      </c>
      <c r="E72" s="12">
        <v>0.14559862336006157</v>
      </c>
      <c r="F72" s="16">
        <v>9.1898623360061577E-2</v>
      </c>
      <c r="G72" s="16">
        <v>0.28210000000000002</v>
      </c>
      <c r="H72" s="57" t="s">
        <v>52</v>
      </c>
      <c r="I72" s="78">
        <f t="shared" si="28"/>
        <v>3.6095765800714033E-4</v>
      </c>
      <c r="J72" s="78">
        <f t="shared" si="29"/>
        <v>2.7149957963228688E-5</v>
      </c>
      <c r="K72" s="78">
        <f t="shared" si="30"/>
        <v>5.2554938097111539E-5</v>
      </c>
      <c r="L72" s="78">
        <f t="shared" si="31"/>
        <v>3.3171511862128107E-5</v>
      </c>
      <c r="M72" s="78">
        <f t="shared" ref="M72:M138" si="32">I72*G72</f>
        <v>1.018261553238143E-4</v>
      </c>
    </row>
    <row r="73" spans="1:13" s="49" customFormat="1" ht="16">
      <c r="A73" s="10" t="s">
        <v>93</v>
      </c>
      <c r="B73" s="197">
        <v>33.81</v>
      </c>
      <c r="C73" s="11" t="s">
        <v>83</v>
      </c>
      <c r="D73" s="24">
        <v>4.1624644013477513E-2</v>
      </c>
      <c r="E73" s="12">
        <v>0.10455651972352922</v>
      </c>
      <c r="F73" s="16">
        <v>5.0856519723529219E-2</v>
      </c>
      <c r="G73" s="16">
        <v>0.25</v>
      </c>
      <c r="H73" s="57" t="s">
        <v>52</v>
      </c>
      <c r="I73" s="78">
        <f t="shared" si="28"/>
        <v>7.0137806995525373E-3</v>
      </c>
      <c r="J73" s="78">
        <f t="shared" si="29"/>
        <v>2.9194612480747367E-4</v>
      </c>
      <c r="K73" s="78">
        <f t="shared" si="30"/>
        <v>7.3333650004927349E-4</v>
      </c>
      <c r="L73" s="78">
        <f t="shared" si="31"/>
        <v>3.5669647648330218E-4</v>
      </c>
      <c r="M73" s="78">
        <f t="shared" si="32"/>
        <v>1.7534451748881343E-3</v>
      </c>
    </row>
    <row r="74" spans="1:13" s="49" customFormat="1" ht="16">
      <c r="A74" s="10" t="s">
        <v>94</v>
      </c>
      <c r="B74" s="197">
        <v>1796.19</v>
      </c>
      <c r="C74" s="11" t="s">
        <v>82</v>
      </c>
      <c r="D74" s="24">
        <v>3.4739364552601529E-2</v>
      </c>
      <c r="E74" s="12">
        <v>9.6144163077531902E-2</v>
      </c>
      <c r="F74" s="16">
        <v>4.2444163077531898E-2</v>
      </c>
      <c r="G74" s="16">
        <v>0.34</v>
      </c>
      <c r="H74" s="57" t="s">
        <v>52</v>
      </c>
      <c r="I74" s="78">
        <f t="shared" si="28"/>
        <v>0.37261410099761227</v>
      </c>
      <c r="J74" s="78">
        <f t="shared" si="29"/>
        <v>1.2944377091995939E-2</v>
      </c>
      <c r="K74" s="78">
        <f t="shared" si="30"/>
        <v>3.5824670891302375E-2</v>
      </c>
      <c r="L74" s="78">
        <f t="shared" si="31"/>
        <v>1.5815293667730598E-2</v>
      </c>
      <c r="M74" s="78">
        <f t="shared" si="32"/>
        <v>0.12668879433918817</v>
      </c>
    </row>
    <row r="75" spans="1:13" s="49" customFormat="1" ht="16">
      <c r="A75" s="10" t="s">
        <v>98</v>
      </c>
      <c r="B75" s="197">
        <v>247.03</v>
      </c>
      <c r="C75" s="11" t="s">
        <v>47</v>
      </c>
      <c r="D75" s="24">
        <v>6.9896018769498571E-3</v>
      </c>
      <c r="E75" s="12">
        <v>6.223981659517909E-2</v>
      </c>
      <c r="F75" s="16">
        <v>8.5398165951790905E-3</v>
      </c>
      <c r="G75" s="16">
        <v>0.255</v>
      </c>
      <c r="H75" s="57" t="s">
        <v>52</v>
      </c>
      <c r="I75" s="78">
        <f t="shared" si="28"/>
        <v>5.1245615090519468E-2</v>
      </c>
      <c r="J75" s="78">
        <f t="shared" si="29"/>
        <v>3.5818644742214477E-4</v>
      </c>
      <c r="K75" s="78">
        <f t="shared" si="30"/>
        <v>3.1895176845410738E-3</v>
      </c>
      <c r="L75" s="78">
        <f t="shared" si="31"/>
        <v>4.3762815418017819E-4</v>
      </c>
      <c r="M75" s="78">
        <f t="shared" si="32"/>
        <v>1.3067631848082465E-2</v>
      </c>
    </row>
    <row r="76" spans="1:13" s="49" customFormat="1" ht="16">
      <c r="A76" s="10" t="s">
        <v>51</v>
      </c>
      <c r="B76" s="197">
        <v>282.45999999999998</v>
      </c>
      <c r="C76" s="11" t="s">
        <v>85</v>
      </c>
      <c r="D76" s="24">
        <v>2.201202979158836E-2</v>
      </c>
      <c r="E76" s="12">
        <v>8.0594049277355057E-2</v>
      </c>
      <c r="F76" s="16">
        <v>2.6894049277355052E-2</v>
      </c>
      <c r="G76" s="16">
        <v>0.34</v>
      </c>
      <c r="H76" s="57" t="s">
        <v>52</v>
      </c>
      <c r="I76" s="78">
        <f t="shared" si="28"/>
        <v>5.8595459816492439E-2</v>
      </c>
      <c r="J76" s="78">
        <f t="shared" si="29"/>
        <v>1.2898050071324502E-3</v>
      </c>
      <c r="K76" s="78">
        <f t="shared" si="30"/>
        <v>4.7224453758796699E-3</v>
      </c>
      <c r="L76" s="78">
        <f t="shared" si="31"/>
        <v>1.5758691837340255E-3</v>
      </c>
      <c r="M76" s="78">
        <f t="shared" si="32"/>
        <v>1.992245633760743E-2</v>
      </c>
    </row>
    <row r="77" spans="1:13" s="49" customFormat="1" ht="16">
      <c r="A77" s="10" t="s">
        <v>57</v>
      </c>
      <c r="B77" s="197">
        <v>57.44</v>
      </c>
      <c r="C77" s="11" t="s">
        <v>82</v>
      </c>
      <c r="D77" s="24">
        <v>3.4739364552601529E-2</v>
      </c>
      <c r="E77" s="12">
        <v>9.6144163077531902E-2</v>
      </c>
      <c r="F77" s="16">
        <v>4.2444163077531898E-2</v>
      </c>
      <c r="G77" s="16">
        <v>0.3</v>
      </c>
      <c r="H77" s="57" t="s">
        <v>52</v>
      </c>
      <c r="I77" s="78">
        <f t="shared" si="28"/>
        <v>1.1915751652833413E-2</v>
      </c>
      <c r="J77" s="78">
        <f t="shared" si="29"/>
        <v>4.1394564058604415E-4</v>
      </c>
      <c r="K77" s="78">
        <f t="shared" si="30"/>
        <v>1.1456299701013859E-3</v>
      </c>
      <c r="L77" s="78">
        <f t="shared" si="31"/>
        <v>5.0575410634423168E-4</v>
      </c>
      <c r="M77" s="78">
        <f t="shared" si="32"/>
        <v>3.5747254958500238E-3</v>
      </c>
    </row>
    <row r="78" spans="1:13" s="49" customFormat="1" ht="16">
      <c r="A78" s="10" t="s">
        <v>106</v>
      </c>
      <c r="B78" s="197">
        <v>98.61</v>
      </c>
      <c r="C78" s="11" t="s">
        <v>80</v>
      </c>
      <c r="D78" s="24">
        <v>7.5216461989266389E-2</v>
      </c>
      <c r="E78" s="12">
        <v>0.14559862336006157</v>
      </c>
      <c r="F78" s="16">
        <v>9.1898623360061577E-2</v>
      </c>
      <c r="G78" s="16">
        <v>0.22</v>
      </c>
      <c r="H78" s="57" t="s">
        <v>52</v>
      </c>
      <c r="I78" s="78">
        <f t="shared" si="28"/>
        <v>2.0456341756370174E-2</v>
      </c>
      <c r="J78" s="78">
        <f t="shared" si="29"/>
        <v>1.53865365215746E-3</v>
      </c>
      <c r="K78" s="78">
        <f t="shared" si="30"/>
        <v>2.9784151987104416E-3</v>
      </c>
      <c r="L78" s="78">
        <f t="shared" si="31"/>
        <v>1.8799096463933632E-3</v>
      </c>
      <c r="M78" s="78">
        <f t="shared" si="32"/>
        <v>4.5003951864014385E-3</v>
      </c>
    </row>
    <row r="79" spans="1:13" s="49" customFormat="1" ht="16">
      <c r="A79" s="10" t="s">
        <v>31</v>
      </c>
      <c r="B79" s="197">
        <v>26.8</v>
      </c>
      <c r="C79" s="11" t="s">
        <v>102</v>
      </c>
      <c r="D79" s="24">
        <v>8.6691927757393011E-2</v>
      </c>
      <c r="E79" s="12">
        <v>0.15961921777005708</v>
      </c>
      <c r="F79" s="16">
        <v>0.10591921777005708</v>
      </c>
      <c r="G79" s="16">
        <v>0.3</v>
      </c>
      <c r="H79" s="57" t="s">
        <v>52</v>
      </c>
      <c r="I79" s="78">
        <f t="shared" si="28"/>
        <v>5.5595777210295178E-3</v>
      </c>
      <c r="J79" s="78">
        <f t="shared" si="29"/>
        <v>4.8197051015310262E-4</v>
      </c>
      <c r="K79" s="78">
        <f t="shared" si="30"/>
        <v>8.8741544696256821E-4</v>
      </c>
      <c r="L79" s="78">
        <f t="shared" si="31"/>
        <v>5.8886612334328313E-4</v>
      </c>
      <c r="M79" s="78">
        <f t="shared" si="32"/>
        <v>1.6678733163088552E-3</v>
      </c>
    </row>
    <row r="80" spans="1:13" s="49" customFormat="1" ht="16">
      <c r="A80" s="10" t="s">
        <v>109</v>
      </c>
      <c r="B80" s="197">
        <v>68.760000000000005</v>
      </c>
      <c r="C80" s="11" t="s">
        <v>81</v>
      </c>
      <c r="D80" s="24">
        <v>2.8897309252464341E-2</v>
      </c>
      <c r="E80" s="12">
        <v>8.9006405923352364E-2</v>
      </c>
      <c r="F80" s="16">
        <v>3.5306405923352366E-2</v>
      </c>
      <c r="G80" s="16">
        <v>0.25</v>
      </c>
      <c r="H80" s="57" t="s">
        <v>52</v>
      </c>
      <c r="I80" s="78">
        <f t="shared" si="28"/>
        <v>1.4264050899178718E-2</v>
      </c>
      <c r="J80" s="78">
        <f t="shared" si="29"/>
        <v>4.1219269002645945E-4</v>
      </c>
      <c r="K80" s="78">
        <f t="shared" si="30"/>
        <v>1.2695919044436602E-3</v>
      </c>
      <c r="L80" s="78">
        <f t="shared" si="31"/>
        <v>5.0361237115776312E-4</v>
      </c>
      <c r="M80" s="78">
        <f t="shared" si="32"/>
        <v>3.5660127247946795E-3</v>
      </c>
    </row>
    <row r="81" spans="1:13" s="49" customFormat="1" ht="16">
      <c r="A81" s="10" t="s">
        <v>110</v>
      </c>
      <c r="B81" s="197">
        <v>21.52</v>
      </c>
      <c r="C81" s="11" t="s">
        <v>49</v>
      </c>
      <c r="D81" s="24">
        <v>5.2056885620865363E-2</v>
      </c>
      <c r="E81" s="12">
        <v>0.11730251464170696</v>
      </c>
      <c r="F81" s="16">
        <v>6.3602514641706964E-2</v>
      </c>
      <c r="G81" s="16">
        <v>0.25</v>
      </c>
      <c r="H81" s="57" t="s">
        <v>52</v>
      </c>
      <c r="I81" s="78">
        <f t="shared" si="28"/>
        <v>4.4642579312147469E-3</v>
      </c>
      <c r="J81" s="78">
        <f t="shared" si="29"/>
        <v>2.3239536450728711E-4</v>
      </c>
      <c r="K81" s="78">
        <f t="shared" si="30"/>
        <v>5.2366868134067423E-4</v>
      </c>
      <c r="L81" s="78">
        <f t="shared" si="31"/>
        <v>2.8393803043444237E-4</v>
      </c>
      <c r="M81" s="78">
        <f t="shared" si="32"/>
        <v>1.1160644828036867E-3</v>
      </c>
    </row>
    <row r="82" spans="1:13" s="49" customFormat="1" ht="16">
      <c r="A82" s="10" t="s">
        <v>16</v>
      </c>
      <c r="B82" s="197">
        <v>1046.92</v>
      </c>
      <c r="C82" s="11" t="s">
        <v>44</v>
      </c>
      <c r="D82" s="24">
        <v>1.3874881337825837E-2</v>
      </c>
      <c r="E82" s="12">
        <v>7.0652173241176397E-2</v>
      </c>
      <c r="F82" s="16">
        <v>1.6952173241176406E-2</v>
      </c>
      <c r="G82" s="16">
        <v>0.3</v>
      </c>
      <c r="H82" s="57" t="s">
        <v>52</v>
      </c>
      <c r="I82" s="78">
        <f t="shared" si="28"/>
        <v>0.21718033983956056</v>
      </c>
      <c r="J82" s="78">
        <f t="shared" si="29"/>
        <v>3.0133514441825918E-3</v>
      </c>
      <c r="K82" s="78">
        <f t="shared" si="30"/>
        <v>1.5344262994922198E-2</v>
      </c>
      <c r="L82" s="78">
        <f t="shared" si="31"/>
        <v>3.6816787455377967E-3</v>
      </c>
      <c r="M82" s="78">
        <f t="shared" si="32"/>
        <v>6.515410195186816E-2</v>
      </c>
    </row>
    <row r="83" spans="1:13" s="49" customFormat="1" ht="16">
      <c r="A83" s="10" t="s">
        <v>22</v>
      </c>
      <c r="B83" s="197">
        <v>13.23</v>
      </c>
      <c r="C83" s="11" t="s">
        <v>50</v>
      </c>
      <c r="D83" s="24">
        <v>6.3636673805065866E-2</v>
      </c>
      <c r="E83" s="12">
        <v>0.13145056900088425</v>
      </c>
      <c r="F83" s="16">
        <v>7.7750569000884256E-2</v>
      </c>
      <c r="G83" s="16">
        <v>0.3</v>
      </c>
      <c r="H83" s="57" t="s">
        <v>52</v>
      </c>
      <c r="I83" s="78">
        <f t="shared" si="28"/>
        <v>2.7445228824336016E-3</v>
      </c>
      <c r="J83" s="78">
        <f t="shared" si="29"/>
        <v>1.7465230741996624E-4</v>
      </c>
      <c r="K83" s="78">
        <f t="shared" si="30"/>
        <v>3.6076909453184387E-4</v>
      </c>
      <c r="L83" s="78">
        <f t="shared" si="31"/>
        <v>2.1338821574515949E-4</v>
      </c>
      <c r="M83" s="78">
        <f t="shared" si="32"/>
        <v>8.2335686473008042E-4</v>
      </c>
    </row>
    <row r="84" spans="1:13" s="49" customFormat="1" ht="16">
      <c r="A84" s="10" t="s">
        <v>26</v>
      </c>
      <c r="B84" s="197">
        <v>55.19</v>
      </c>
      <c r="C84" s="11" t="s">
        <v>85</v>
      </c>
      <c r="D84" s="24">
        <v>2.201202979158836E-2</v>
      </c>
      <c r="E84" s="12">
        <v>8.0594049277355057E-2</v>
      </c>
      <c r="F84" s="16">
        <v>2.6894049277355052E-2</v>
      </c>
      <c r="G84" s="16">
        <v>0.25</v>
      </c>
      <c r="H84" s="57" t="s">
        <v>52</v>
      </c>
      <c r="I84" s="78">
        <f t="shared" si="28"/>
        <v>1.14489960605828E-2</v>
      </c>
      <c r="J84" s="78">
        <f t="shared" si="29"/>
        <v>2.5201564236932637E-4</v>
      </c>
      <c r="K84" s="78">
        <f t="shared" si="30"/>
        <v>9.2272095268285418E-4</v>
      </c>
      <c r="L84" s="78">
        <f t="shared" si="31"/>
        <v>3.0790986422955769E-4</v>
      </c>
      <c r="M84" s="78">
        <f t="shared" si="32"/>
        <v>2.8622490151457001E-3</v>
      </c>
    </row>
    <row r="85" spans="1:13" s="49" customFormat="1" ht="16">
      <c r="A85" s="10" t="s">
        <v>27</v>
      </c>
      <c r="B85" s="197">
        <v>27.42</v>
      </c>
      <c r="C85" s="11" t="s">
        <v>81</v>
      </c>
      <c r="D85" s="24">
        <v>2.8897309252464341E-2</v>
      </c>
      <c r="E85" s="12">
        <v>8.9006405923352364E-2</v>
      </c>
      <c r="F85" s="16">
        <v>3.5306405923352366E-2</v>
      </c>
      <c r="G85" s="16">
        <v>0.1</v>
      </c>
      <c r="H85" s="57" t="s">
        <v>52</v>
      </c>
      <c r="I85" s="78">
        <f t="shared" si="28"/>
        <v>5.6881948175607974E-3</v>
      </c>
      <c r="J85" s="78">
        <f t="shared" si="29"/>
        <v>1.6437352473131934E-4</v>
      </c>
      <c r="K85" s="78">
        <f t="shared" si="30"/>
        <v>5.0628577690292555E-4</v>
      </c>
      <c r="L85" s="78">
        <f t="shared" si="31"/>
        <v>2.0082971519991077E-4</v>
      </c>
      <c r="M85" s="78">
        <f t="shared" si="32"/>
        <v>5.6881948175607972E-4</v>
      </c>
    </row>
    <row r="86" spans="1:13" s="49" customFormat="1" ht="16">
      <c r="A86" s="10" t="s">
        <v>28</v>
      </c>
      <c r="B86" s="197">
        <v>192.21</v>
      </c>
      <c r="C86" s="11" t="s">
        <v>44</v>
      </c>
      <c r="D86" s="24">
        <v>1.3874881337825837E-2</v>
      </c>
      <c r="E86" s="12">
        <v>7.0652173241176397E-2</v>
      </c>
      <c r="F86" s="16">
        <v>1.6952173241176406E-2</v>
      </c>
      <c r="G86" s="16">
        <v>0.29499999999999998</v>
      </c>
      <c r="H86" s="57" t="s">
        <v>52</v>
      </c>
      <c r="I86" s="78">
        <f t="shared" si="28"/>
        <v>3.9873374393995659E-2</v>
      </c>
      <c r="J86" s="78">
        <f t="shared" si="29"/>
        <v>5.5323833825539294E-4</v>
      </c>
      <c r="K86" s="78">
        <f t="shared" si="30"/>
        <v>2.8171405553948682E-3</v>
      </c>
      <c r="L86" s="78">
        <f t="shared" si="31"/>
        <v>6.7594035043730166E-4</v>
      </c>
      <c r="M86" s="78">
        <f t="shared" si="32"/>
        <v>1.1762645446228719E-2</v>
      </c>
    </row>
    <row r="87" spans="1:13" s="49" customFormat="1" ht="16">
      <c r="A87" s="10" t="s">
        <v>33</v>
      </c>
      <c r="B87" s="197">
        <v>3.28</v>
      </c>
      <c r="C87" s="11" t="s">
        <v>50</v>
      </c>
      <c r="D87" s="24">
        <v>6.3636673805065866E-2</v>
      </c>
      <c r="E87" s="12">
        <v>0.13145056900088425</v>
      </c>
      <c r="F87" s="16">
        <v>7.7750569000884256E-2</v>
      </c>
      <c r="G87" s="16">
        <v>0.36</v>
      </c>
      <c r="H87" s="57" t="s">
        <v>52</v>
      </c>
      <c r="I87" s="78">
        <f t="shared" si="28"/>
        <v>6.8042593003644837E-4</v>
      </c>
      <c r="J87" s="78">
        <f t="shared" si="29"/>
        <v>4.3300042958238036E-5</v>
      </c>
      <c r="K87" s="78">
        <f t="shared" si="30"/>
        <v>8.9442375666247E-5</v>
      </c>
      <c r="L87" s="78">
        <f t="shared" si="31"/>
        <v>5.2903503223289724E-5</v>
      </c>
      <c r="M87" s="78">
        <f t="shared" si="32"/>
        <v>2.4495333481312141E-4</v>
      </c>
    </row>
    <row r="88" spans="1:13" s="49" customFormat="1" ht="16">
      <c r="A88" s="10" t="s">
        <v>70</v>
      </c>
      <c r="B88" s="197">
        <v>52.42</v>
      </c>
      <c r="C88" s="11" t="s">
        <v>85</v>
      </c>
      <c r="D88" s="24">
        <v>2.201202979158836E-2</v>
      </c>
      <c r="E88" s="12">
        <v>8.0594049277355057E-2</v>
      </c>
      <c r="F88" s="16">
        <v>2.6894049277355052E-2</v>
      </c>
      <c r="G88" s="16">
        <v>0.25</v>
      </c>
      <c r="H88" s="57" t="s">
        <v>52</v>
      </c>
      <c r="I88" s="78">
        <f t="shared" si="28"/>
        <v>1.0874368064789825E-2</v>
      </c>
      <c r="J88" s="78">
        <f t="shared" si="29"/>
        <v>2.3936691380685069E-4</v>
      </c>
      <c r="K88" s="78">
        <f t="shared" si="30"/>
        <v>8.7640935567376733E-4</v>
      </c>
      <c r="L88" s="78">
        <f t="shared" si="31"/>
        <v>2.9245579059455364E-4</v>
      </c>
      <c r="M88" s="78">
        <f t="shared" si="32"/>
        <v>2.7185920161974563E-3</v>
      </c>
    </row>
    <row r="89" spans="1:13" s="49" customFormat="1" ht="16">
      <c r="A89" s="10" t="s">
        <v>71</v>
      </c>
      <c r="B89" s="197">
        <v>250</v>
      </c>
      <c r="C89" s="11" t="s">
        <v>139</v>
      </c>
      <c r="D89" s="24">
        <v>0.18</v>
      </c>
      <c r="E89" s="12">
        <v>0.27360000000000001</v>
      </c>
      <c r="F89" s="16">
        <v>0.21990000000000001</v>
      </c>
      <c r="G89" s="16">
        <v>0.34</v>
      </c>
      <c r="H89" s="57" t="s">
        <v>52</v>
      </c>
      <c r="I89" s="78">
        <f t="shared" si="28"/>
        <v>5.1861732472290277E-2</v>
      </c>
      <c r="J89" s="78">
        <f t="shared" si="29"/>
        <v>9.3351118450122495E-3</v>
      </c>
      <c r="K89" s="78">
        <f t="shared" si="30"/>
        <v>1.418937000441862E-2</v>
      </c>
      <c r="L89" s="78">
        <f t="shared" si="31"/>
        <v>1.1404394970656633E-2</v>
      </c>
      <c r="M89" s="78">
        <f t="shared" si="32"/>
        <v>1.7632989040578695E-2</v>
      </c>
    </row>
    <row r="90" spans="1:13" s="37" customFormat="1" ht="16">
      <c r="A90" s="76" t="s">
        <v>52</v>
      </c>
      <c r="B90" s="69">
        <f>SUM(B71:B89)</f>
        <v>4820.51</v>
      </c>
      <c r="C90" s="69"/>
      <c r="D90" s="70">
        <f>SUM(J71:J89)</f>
        <v>3.8967040909164252E-2</v>
      </c>
      <c r="E90" s="70">
        <f>SUM(K71:K89)</f>
        <v>0.10130835107918995</v>
      </c>
      <c r="F90" s="70">
        <f>SUM(L71:L89)</f>
        <v>4.7608351079189981E-2</v>
      </c>
      <c r="G90" s="70">
        <f>SUM(M71:M89)</f>
        <v>0.31733228517314555</v>
      </c>
      <c r="H90" s="76"/>
      <c r="I90" s="79">
        <f>SUM(I71:I89)</f>
        <v>1</v>
      </c>
    </row>
    <row r="91" spans="1:13" s="49" customFormat="1" ht="16">
      <c r="A91" s="10" t="s">
        <v>4</v>
      </c>
      <c r="B91" s="197">
        <v>11.86</v>
      </c>
      <c r="C91" s="11" t="s">
        <v>49</v>
      </c>
      <c r="D91" s="24">
        <v>5.2056885620865363E-2</v>
      </c>
      <c r="E91" s="12">
        <v>0.11730251464170696</v>
      </c>
      <c r="F91" s="16">
        <v>6.3602514641706964E-2</v>
      </c>
      <c r="G91" s="16">
        <v>0.15</v>
      </c>
      <c r="H91" s="57" t="s">
        <v>127</v>
      </c>
      <c r="I91" s="78">
        <f t="shared" ref="I91:I116" si="33">B91/$B$117</f>
        <v>3.9030233621946439E-3</v>
      </c>
      <c r="J91" s="78">
        <f t="shared" ref="J91:J116" si="34">I91*D91</f>
        <v>2.0317924074133195E-4</v>
      </c>
      <c r="K91" s="78">
        <f t="shared" ref="K91:K116" si="35">I91*E91</f>
        <v>4.5783445509076152E-4</v>
      </c>
      <c r="L91" s="78">
        <f t="shared" ref="L91:L116" si="36">I91*F91</f>
        <v>2.4824210054090917E-4</v>
      </c>
      <c r="M91" s="78">
        <f t="shared" si="32"/>
        <v>5.8545350432919656E-4</v>
      </c>
    </row>
    <row r="92" spans="1:13" s="49" customFormat="1" ht="16">
      <c r="A92" s="10" t="s">
        <v>19</v>
      </c>
      <c r="B92" s="197">
        <v>10.57</v>
      </c>
      <c r="C92" s="11" t="s">
        <v>49</v>
      </c>
      <c r="D92" s="24">
        <v>5.2056885620865363E-2</v>
      </c>
      <c r="E92" s="12">
        <v>0.11730251464170696</v>
      </c>
      <c r="F92" s="16">
        <v>6.3602514641706964E-2</v>
      </c>
      <c r="G92" s="16">
        <v>0.2</v>
      </c>
      <c r="H92" s="57" t="s">
        <v>127</v>
      </c>
      <c r="I92" s="78">
        <f t="shared" si="33"/>
        <v>3.4784955260031528E-3</v>
      </c>
      <c r="J92" s="78">
        <f t="shared" si="34"/>
        <v>1.8107964372983802E-4</v>
      </c>
      <c r="K92" s="78">
        <f t="shared" si="35"/>
        <v>4.0803627237009698E-4</v>
      </c>
      <c r="L92" s="78">
        <f t="shared" si="36"/>
        <v>2.2124106262372769E-4</v>
      </c>
      <c r="M92" s="78">
        <f t="shared" si="32"/>
        <v>6.9569910520063058E-4</v>
      </c>
    </row>
    <row r="93" spans="1:13" s="49" customFormat="1" ht="16">
      <c r="A93" s="10" t="s">
        <v>20</v>
      </c>
      <c r="B93" s="197">
        <v>37.85</v>
      </c>
      <c r="C93" s="11" t="s">
        <v>82</v>
      </c>
      <c r="D93" s="24">
        <v>3.4739364552601529E-2</v>
      </c>
      <c r="E93" s="12">
        <v>9.6144163077531902E-2</v>
      </c>
      <c r="F93" s="16">
        <v>4.2444163077531898E-2</v>
      </c>
      <c r="G93" s="16">
        <v>0.2</v>
      </c>
      <c r="H93" s="57" t="s">
        <v>127</v>
      </c>
      <c r="I93" s="78">
        <f t="shared" si="33"/>
        <v>1.2456107441742605E-2</v>
      </c>
      <c r="J93" s="78">
        <f t="shared" si="34"/>
        <v>4.3271725732506918E-4</v>
      </c>
      <c r="K93" s="78">
        <f t="shared" si="35"/>
        <v>1.1975820251901598E-3</v>
      </c>
      <c r="L93" s="78">
        <f t="shared" si="36"/>
        <v>5.2868905556858179E-4</v>
      </c>
      <c r="M93" s="78">
        <f t="shared" si="32"/>
        <v>2.4912214883485214E-3</v>
      </c>
    </row>
    <row r="94" spans="1:13" s="49" customFormat="1" ht="16">
      <c r="A94" s="10" t="s">
        <v>5</v>
      </c>
      <c r="B94" s="197">
        <v>47.41</v>
      </c>
      <c r="C94" s="11" t="s">
        <v>80</v>
      </c>
      <c r="D94" s="24">
        <v>7.5216461989266389E-2</v>
      </c>
      <c r="E94" s="12">
        <v>0.14559862336006157</v>
      </c>
      <c r="F94" s="16">
        <v>9.1898623360061577E-2</v>
      </c>
      <c r="G94" s="16">
        <v>0.18</v>
      </c>
      <c r="H94" s="57" t="s">
        <v>127</v>
      </c>
      <c r="I94" s="78">
        <f t="shared" si="33"/>
        <v>1.560222070840203E-2</v>
      </c>
      <c r="J94" s="78">
        <f t="shared" si="34"/>
        <v>1.1735438408616661E-3</v>
      </c>
      <c r="K94" s="78">
        <f t="shared" si="35"/>
        <v>2.2716618565031804E-3</v>
      </c>
      <c r="L94" s="78">
        <f t="shared" si="36"/>
        <v>1.4338226044619913E-3</v>
      </c>
      <c r="M94" s="78">
        <f t="shared" si="32"/>
        <v>2.8083997275123651E-3</v>
      </c>
    </row>
    <row r="95" spans="1:13" s="49" customFormat="1" ht="16">
      <c r="A95" s="10" t="s">
        <v>7</v>
      </c>
      <c r="B95" s="197">
        <v>16.91</v>
      </c>
      <c r="C95" s="11" t="s">
        <v>80</v>
      </c>
      <c r="D95" s="24">
        <v>7.5216461989266389E-2</v>
      </c>
      <c r="E95" s="12">
        <v>0.14559862336006157</v>
      </c>
      <c r="F95" s="16">
        <v>9.1898623360061577E-2</v>
      </c>
      <c r="G95" s="16">
        <v>0.1</v>
      </c>
      <c r="H95" s="57" t="s">
        <v>127</v>
      </c>
      <c r="I95" s="78">
        <f t="shared" si="33"/>
        <v>5.5649346589132743E-3</v>
      </c>
      <c r="J95" s="78">
        <f t="shared" si="34"/>
        <v>4.1857469624490142E-4</v>
      </c>
      <c r="K95" s="78">
        <f t="shared" si="35"/>
        <v>8.1024682542646658E-4</v>
      </c>
      <c r="L95" s="78">
        <f t="shared" si="36"/>
        <v>5.1140983424282369E-4</v>
      </c>
      <c r="M95" s="78">
        <f t="shared" si="32"/>
        <v>5.564934658913275E-4</v>
      </c>
    </row>
    <row r="96" spans="1:13" s="49" customFormat="1" ht="16">
      <c r="A96" s="10" t="s">
        <v>96</v>
      </c>
      <c r="B96" s="197">
        <v>53.24</v>
      </c>
      <c r="C96" s="11" t="s">
        <v>85</v>
      </c>
      <c r="D96" s="24">
        <v>2.201202979158836E-2</v>
      </c>
      <c r="E96" s="12">
        <v>8.0594049277355057E-2</v>
      </c>
      <c r="F96" s="16">
        <v>2.6894049277355052E-2</v>
      </c>
      <c r="G96" s="16">
        <v>0.1</v>
      </c>
      <c r="H96" s="57" t="s">
        <v>127</v>
      </c>
      <c r="I96" s="78">
        <f t="shared" si="33"/>
        <v>1.7520823254910865E-2</v>
      </c>
      <c r="J96" s="78">
        <f t="shared" si="34"/>
        <v>3.8566888346025209E-4</v>
      </c>
      <c r="K96" s="78">
        <f t="shared" si="35"/>
        <v>1.4120740927861147E-3</v>
      </c>
      <c r="L96" s="78">
        <f t="shared" si="36"/>
        <v>4.7120588399740114E-4</v>
      </c>
      <c r="M96" s="78">
        <f t="shared" si="32"/>
        <v>1.7520823254910866E-3</v>
      </c>
    </row>
    <row r="97" spans="1:13" s="49" customFormat="1" ht="16">
      <c r="A97" s="10" t="s">
        <v>100</v>
      </c>
      <c r="B97" s="197">
        <v>50.71</v>
      </c>
      <c r="C97" s="11" t="s">
        <v>82</v>
      </c>
      <c r="D97" s="24">
        <v>3.4739364552601529E-2</v>
      </c>
      <c r="E97" s="12">
        <v>9.6144163077531902E-2</v>
      </c>
      <c r="F97" s="16">
        <v>4.2444163077531898E-2</v>
      </c>
      <c r="G97" s="16">
        <v>0.2</v>
      </c>
      <c r="H97" s="57" t="s">
        <v>127</v>
      </c>
      <c r="I97" s="78">
        <f t="shared" si="33"/>
        <v>1.6688222149822126E-2</v>
      </c>
      <c r="J97" s="78">
        <f t="shared" si="34"/>
        <v>5.7973823299747049E-4</v>
      </c>
      <c r="K97" s="78">
        <f t="shared" si="35"/>
        <v>1.6044751518465785E-3</v>
      </c>
      <c r="L97" s="78">
        <f t="shared" si="36"/>
        <v>7.0831762240113028E-4</v>
      </c>
      <c r="M97" s="78">
        <f t="shared" si="32"/>
        <v>3.3376444299644255E-3</v>
      </c>
    </row>
    <row r="98" spans="1:13" s="49" customFormat="1" ht="16">
      <c r="A98" s="10" t="s">
        <v>103</v>
      </c>
      <c r="B98" s="197">
        <v>195.31</v>
      </c>
      <c r="C98" s="11" t="s">
        <v>42</v>
      </c>
      <c r="D98" s="24">
        <v>8.1371484537625226E-3</v>
      </c>
      <c r="E98" s="12">
        <v>6.3641876036178643E-2</v>
      </c>
      <c r="F98" s="16">
        <v>9.9418760361786457E-3</v>
      </c>
      <c r="G98" s="16">
        <v>0.19</v>
      </c>
      <c r="H98" s="57" t="s">
        <v>127</v>
      </c>
      <c r="I98" s="78">
        <f t="shared" si="33"/>
        <v>6.4274830764775373E-2</v>
      </c>
      <c r="J98" s="78">
        <f t="shared" si="34"/>
        <v>5.2301383977343971E-4</v>
      </c>
      <c r="K98" s="78">
        <f t="shared" si="35"/>
        <v>4.0905708117781958E-3</v>
      </c>
      <c r="L98" s="78">
        <f t="shared" si="36"/>
        <v>6.3901239970975824E-4</v>
      </c>
      <c r="M98" s="78">
        <f t="shared" si="32"/>
        <v>1.2212217845307322E-2</v>
      </c>
    </row>
    <row r="99" spans="1:13" s="49" customFormat="1" ht="16">
      <c r="A99" s="10" t="s">
        <v>108</v>
      </c>
      <c r="B99" s="197">
        <v>23.34</v>
      </c>
      <c r="C99" s="11" t="s">
        <v>42</v>
      </c>
      <c r="D99" s="24">
        <v>8.1371484537625226E-3</v>
      </c>
      <c r="E99" s="12">
        <v>6.3641876036178643E-2</v>
      </c>
      <c r="F99" s="16">
        <v>9.9418760361786457E-3</v>
      </c>
      <c r="G99" s="16">
        <v>0.2</v>
      </c>
      <c r="H99" s="57" t="s">
        <v>127</v>
      </c>
      <c r="I99" s="78">
        <f t="shared" si="33"/>
        <v>7.6809920129530355E-3</v>
      </c>
      <c r="J99" s="78">
        <f t="shared" si="34"/>
        <v>6.2501372281563084E-5</v>
      </c>
      <c r="K99" s="78">
        <f t="shared" si="35"/>
        <v>4.8883274152323531E-4</v>
      </c>
      <c r="L99" s="78">
        <f t="shared" si="36"/>
        <v>7.636347042765736E-5</v>
      </c>
      <c r="M99" s="78">
        <f t="shared" si="32"/>
        <v>1.5361984025906072E-3</v>
      </c>
    </row>
    <row r="100" spans="1:13" s="49" customFormat="1" ht="16">
      <c r="A100" s="10" t="s">
        <v>135</v>
      </c>
      <c r="B100" s="197">
        <v>14.38</v>
      </c>
      <c r="C100" s="11" t="s">
        <v>82</v>
      </c>
      <c r="D100" s="24">
        <v>3.4739364552601529E-2</v>
      </c>
      <c r="E100" s="12">
        <v>9.6144163077531902E-2</v>
      </c>
      <c r="F100" s="16">
        <v>4.2444163077531898E-2</v>
      </c>
      <c r="G100" s="16">
        <v>0.15</v>
      </c>
      <c r="H100" s="57" t="s">
        <v>127</v>
      </c>
      <c r="I100" s="78">
        <f t="shared" si="33"/>
        <v>4.7323335538245349E-3</v>
      </c>
      <c r="J100" s="78">
        <f t="shared" si="34"/>
        <v>1.6439826051081887E-4</v>
      </c>
      <c r="K100" s="78">
        <f t="shared" si="35"/>
        <v>4.5498624893618216E-4</v>
      </c>
      <c r="L100" s="78">
        <f t="shared" si="36"/>
        <v>2.0085993709580464E-4</v>
      </c>
      <c r="M100" s="78">
        <f t="shared" si="32"/>
        <v>7.0985003307368023E-4</v>
      </c>
    </row>
    <row r="101" spans="1:13" s="49" customFormat="1" ht="16">
      <c r="A101" s="10" t="s">
        <v>111</v>
      </c>
      <c r="B101" s="197">
        <v>125.82</v>
      </c>
      <c r="C101" s="11" t="s">
        <v>126</v>
      </c>
      <c r="D101" s="24">
        <v>2.5454669522026348E-2</v>
      </c>
      <c r="E101" s="12">
        <v>8.4800227600353703E-2</v>
      </c>
      <c r="F101" s="16">
        <v>3.1100227600353709E-2</v>
      </c>
      <c r="G101" s="16">
        <v>0.09</v>
      </c>
      <c r="H101" s="57" t="s">
        <v>127</v>
      </c>
      <c r="I101" s="78">
        <f t="shared" si="33"/>
        <v>4.1406273139235256E-2</v>
      </c>
      <c r="J101" s="78">
        <f t="shared" si="34"/>
        <v>1.0539829988979899E-3</v>
      </c>
      <c r="K101" s="78">
        <f t="shared" si="35"/>
        <v>3.5112613862895619E-3</v>
      </c>
      <c r="L101" s="78">
        <f t="shared" si="36"/>
        <v>1.2877445187126288E-3</v>
      </c>
      <c r="M101" s="78">
        <f t="shared" si="32"/>
        <v>3.726564582531173E-3</v>
      </c>
    </row>
    <row r="102" spans="1:13" s="49" customFormat="1" ht="16">
      <c r="A102" s="10" t="s">
        <v>120</v>
      </c>
      <c r="B102" s="197">
        <v>137.28</v>
      </c>
      <c r="C102" s="11" t="s">
        <v>126</v>
      </c>
      <c r="D102" s="24">
        <v>2.5454669522026348E-2</v>
      </c>
      <c r="E102" s="12">
        <v>8.4800227600353703E-2</v>
      </c>
      <c r="F102" s="16">
        <v>3.1100227600353709E-2</v>
      </c>
      <c r="G102" s="16">
        <v>0.2</v>
      </c>
      <c r="H102" s="57" t="s">
        <v>127</v>
      </c>
      <c r="I102" s="78">
        <f t="shared" si="33"/>
        <v>4.5177659963075947E-2</v>
      </c>
      <c r="J102" s="78">
        <f t="shared" si="34"/>
        <v>1.1499824041385793E-3</v>
      </c>
      <c r="K102" s="78">
        <f t="shared" si="35"/>
        <v>3.8310758473202272E-3</v>
      </c>
      <c r="L102" s="78">
        <f t="shared" si="36"/>
        <v>1.4050355073030494E-3</v>
      </c>
      <c r="M102" s="78">
        <f t="shared" si="32"/>
        <v>9.0355319926151891E-3</v>
      </c>
    </row>
    <row r="103" spans="1:13" s="49" customFormat="1" ht="16">
      <c r="A103" s="10" t="s">
        <v>363</v>
      </c>
      <c r="B103" s="197">
        <v>6.55</v>
      </c>
      <c r="C103" s="11" t="s">
        <v>50</v>
      </c>
      <c r="D103" s="24">
        <v>6.3636673805065866E-2</v>
      </c>
      <c r="E103" s="12">
        <v>0.13145056900088425</v>
      </c>
      <c r="F103" s="16">
        <v>7.7750569000884256E-2</v>
      </c>
      <c r="G103" s="16">
        <v>0.15</v>
      </c>
      <c r="H103" s="57" t="s">
        <v>127</v>
      </c>
      <c r="I103" s="78">
        <f t="shared" si="33"/>
        <v>2.1555483155459459E-3</v>
      </c>
      <c r="J103" s="78">
        <f t="shared" si="34"/>
        <v>1.3717192502745655E-4</v>
      </c>
      <c r="K103" s="78">
        <f t="shared" si="35"/>
        <v>2.8334805258741218E-4</v>
      </c>
      <c r="L103" s="78">
        <f t="shared" si="36"/>
        <v>1.675951080425949E-4</v>
      </c>
      <c r="M103" s="78">
        <f t="shared" si="32"/>
        <v>3.2333224733189185E-4</v>
      </c>
    </row>
    <row r="104" spans="1:13" s="49" customFormat="1" ht="16">
      <c r="A104" s="10" t="s">
        <v>123</v>
      </c>
      <c r="B104" s="197">
        <v>27.57</v>
      </c>
      <c r="C104" s="11" t="s">
        <v>44</v>
      </c>
      <c r="D104" s="24">
        <v>1.3874881337825837E-2</v>
      </c>
      <c r="E104" s="12">
        <v>7.0652173241176397E-2</v>
      </c>
      <c r="F104" s="16">
        <v>1.6952173241176406E-2</v>
      </c>
      <c r="G104" s="16">
        <v>0.15</v>
      </c>
      <c r="H104" s="57" t="s">
        <v>127</v>
      </c>
      <c r="I104" s="78">
        <f t="shared" si="33"/>
        <v>9.0730484060460668E-3</v>
      </c>
      <c r="J104" s="78">
        <f t="shared" si="34"/>
        <v>1.2588747000623904E-4</v>
      </c>
      <c r="K104" s="78">
        <f t="shared" si="35"/>
        <v>6.4103058780954605E-4</v>
      </c>
      <c r="L104" s="78">
        <f t="shared" si="36"/>
        <v>1.5380788840487237E-4</v>
      </c>
      <c r="M104" s="78">
        <f t="shared" si="32"/>
        <v>1.3609572609069099E-3</v>
      </c>
    </row>
    <row r="105" spans="1:13" s="49" customFormat="1" ht="16">
      <c r="A105" s="10" t="s">
        <v>13</v>
      </c>
      <c r="B105" s="197">
        <v>42.74</v>
      </c>
      <c r="C105" s="11" t="s">
        <v>44</v>
      </c>
      <c r="D105" s="24">
        <v>1.3874881337825837E-2</v>
      </c>
      <c r="E105" s="12">
        <v>7.0652173241176397E-2</v>
      </c>
      <c r="F105" s="16">
        <v>1.6952173241176406E-2</v>
      </c>
      <c r="G105" s="16">
        <v>0.15</v>
      </c>
      <c r="H105" s="57" t="s">
        <v>127</v>
      </c>
      <c r="I105" s="78">
        <f t="shared" si="33"/>
        <v>1.4065364123119655E-2</v>
      </c>
      <c r="J105" s="78">
        <f t="shared" si="34"/>
        <v>1.9515525818159798E-4</v>
      </c>
      <c r="K105" s="78">
        <f t="shared" si="35"/>
        <v>9.9374854272687714E-4</v>
      </c>
      <c r="L105" s="78">
        <f t="shared" si="36"/>
        <v>2.3843848931535166E-4</v>
      </c>
      <c r="M105" s="78">
        <f t="shared" si="32"/>
        <v>2.1098046184679481E-3</v>
      </c>
    </row>
    <row r="106" spans="1:13" s="49" customFormat="1" ht="16">
      <c r="A106" s="10" t="s">
        <v>148</v>
      </c>
      <c r="B106" s="197">
        <v>10.9</v>
      </c>
      <c r="C106" s="11" t="s">
        <v>83</v>
      </c>
      <c r="D106" s="24">
        <v>4.1624644013477513E-2</v>
      </c>
      <c r="E106" s="12">
        <v>0.10455651972352922</v>
      </c>
      <c r="F106" s="16">
        <v>5.0856519723529219E-2</v>
      </c>
      <c r="G106" s="16">
        <v>0.1</v>
      </c>
      <c r="H106" s="57" t="s">
        <v>127</v>
      </c>
      <c r="I106" s="78">
        <f t="shared" si="33"/>
        <v>3.5870956701451622E-3</v>
      </c>
      <c r="J106" s="78">
        <f t="shared" si="34"/>
        <v>1.4931158031207894E-4</v>
      </c>
      <c r="K106" s="78">
        <f t="shared" si="35"/>
        <v>3.7505423918571891E-4</v>
      </c>
      <c r="L106" s="78">
        <f t="shared" si="36"/>
        <v>1.8242720169892371E-4</v>
      </c>
      <c r="M106" s="78">
        <f t="shared" si="32"/>
        <v>3.5870956701451626E-4</v>
      </c>
    </row>
    <row r="107" spans="1:13" s="49" customFormat="1" ht="16">
      <c r="A107" s="10" t="s">
        <v>17</v>
      </c>
      <c r="B107" s="197">
        <v>6.75</v>
      </c>
      <c r="C107" s="11" t="s">
        <v>80</v>
      </c>
      <c r="D107" s="24">
        <v>7.5216461989266389E-2</v>
      </c>
      <c r="E107" s="12">
        <v>0.14559862336006157</v>
      </c>
      <c r="F107" s="16">
        <v>9.1898623360061577E-2</v>
      </c>
      <c r="G107" s="16">
        <v>0.12</v>
      </c>
      <c r="H107" s="57" t="s">
        <v>127</v>
      </c>
      <c r="I107" s="78">
        <f t="shared" si="33"/>
        <v>2.2213665847229213E-3</v>
      </c>
      <c r="J107" s="78">
        <f t="shared" si="34"/>
        <v>1.6708333528403811E-4</v>
      </c>
      <c r="K107" s="78">
        <f t="shared" si="35"/>
        <v>3.2342791671369892E-4</v>
      </c>
      <c r="L107" s="78">
        <f t="shared" si="36"/>
        <v>2.0414053111407807E-4</v>
      </c>
      <c r="M107" s="78">
        <f t="shared" si="32"/>
        <v>2.6656399016675056E-4</v>
      </c>
    </row>
    <row r="108" spans="1:13" s="49" customFormat="1" ht="16">
      <c r="A108" s="10" t="s">
        <v>8</v>
      </c>
      <c r="B108" s="197">
        <v>4.37</v>
      </c>
      <c r="C108" s="11" t="s">
        <v>49</v>
      </c>
      <c r="D108" s="24">
        <v>5.2056885620865363E-2</v>
      </c>
      <c r="E108" s="12">
        <v>0.11730251464170696</v>
      </c>
      <c r="F108" s="16">
        <v>6.3602514641706964E-2</v>
      </c>
      <c r="G108" s="16">
        <v>0.09</v>
      </c>
      <c r="H108" s="57" t="s">
        <v>127</v>
      </c>
      <c r="I108" s="78">
        <f t="shared" si="33"/>
        <v>1.4381291815169137E-3</v>
      </c>
      <c r="J108" s="78">
        <f t="shared" si="34"/>
        <v>7.4864526310254703E-5</v>
      </c>
      <c r="K108" s="78">
        <f t="shared" si="35"/>
        <v>1.6869616937155381E-4</v>
      </c>
      <c r="L108" s="78">
        <f t="shared" si="36"/>
        <v>9.1468632324095563E-5</v>
      </c>
      <c r="M108" s="78">
        <f t="shared" si="32"/>
        <v>1.2943162633652223E-4</v>
      </c>
    </row>
    <row r="109" spans="1:13" s="49" customFormat="1" ht="16">
      <c r="A109" s="10" t="s">
        <v>30</v>
      </c>
      <c r="B109" s="197">
        <v>471.36</v>
      </c>
      <c r="C109" s="11" t="s">
        <v>43</v>
      </c>
      <c r="D109" s="24">
        <v>9.8063071109445767E-3</v>
      </c>
      <c r="E109" s="12">
        <v>6.5681235223087081E-2</v>
      </c>
      <c r="F109" s="16">
        <v>1.1981235223087083E-2</v>
      </c>
      <c r="G109" s="16">
        <v>0.19</v>
      </c>
      <c r="H109" s="57" t="s">
        <v>127</v>
      </c>
      <c r="I109" s="78">
        <f t="shared" si="33"/>
        <v>0.15512049679629575</v>
      </c>
      <c r="J109" s="78">
        <f t="shared" si="34"/>
        <v>1.5211592307867703E-3</v>
      </c>
      <c r="K109" s="78">
        <f t="shared" si="35"/>
        <v>1.0188505837999627E-2</v>
      </c>
      <c r="L109" s="78">
        <f t="shared" si="36"/>
        <v>1.8585351600385457E-3</v>
      </c>
      <c r="M109" s="78">
        <f t="shared" si="32"/>
        <v>2.9472894391296193E-2</v>
      </c>
    </row>
    <row r="110" spans="1:13" s="49" customFormat="1" ht="16">
      <c r="A110" s="10" t="s">
        <v>0</v>
      </c>
      <c r="B110" s="197">
        <v>187.59</v>
      </c>
      <c r="C110" s="11" t="s">
        <v>126</v>
      </c>
      <c r="D110" s="24">
        <v>2.5454669522026348E-2</v>
      </c>
      <c r="E110" s="12">
        <v>8.4800227600353703E-2</v>
      </c>
      <c r="F110" s="16">
        <v>3.1100227600353709E-2</v>
      </c>
      <c r="G110" s="16">
        <v>0.16</v>
      </c>
      <c r="H110" s="57" t="s">
        <v>127</v>
      </c>
      <c r="I110" s="78">
        <f t="shared" si="33"/>
        <v>6.1734245574544128E-2</v>
      </c>
      <c r="J110" s="78">
        <f t="shared" si="34"/>
        <v>1.5714248192916383E-3</v>
      </c>
      <c r="K110" s="78">
        <f t="shared" si="35"/>
        <v>5.2350780754574708E-3</v>
      </c>
      <c r="L110" s="78">
        <f t="shared" si="36"/>
        <v>1.919949088104451E-3</v>
      </c>
      <c r="M110" s="78">
        <f t="shared" si="32"/>
        <v>9.8774792919270604E-3</v>
      </c>
    </row>
    <row r="111" spans="1:13" s="49" customFormat="1" ht="16">
      <c r="A111" s="10" t="s">
        <v>1</v>
      </c>
      <c r="B111" s="197">
        <v>1283.1600000000001</v>
      </c>
      <c r="C111" s="11" t="s">
        <v>81</v>
      </c>
      <c r="D111" s="24">
        <v>2.8897309252464341E-2</v>
      </c>
      <c r="E111" s="12">
        <v>8.9006405923352364E-2</v>
      </c>
      <c r="F111" s="16">
        <v>3.5306405923352366E-2</v>
      </c>
      <c r="G111" s="16">
        <v>0.2</v>
      </c>
      <c r="H111" s="57" t="s">
        <v>127</v>
      </c>
      <c r="I111" s="78">
        <f t="shared" si="33"/>
        <v>0.42227685138563914</v>
      </c>
      <c r="J111" s="78">
        <f t="shared" si="34"/>
        <v>1.2202664764647739E-2</v>
      </c>
      <c r="K111" s="78">
        <f t="shared" si="35"/>
        <v>3.7585344846465335E-2</v>
      </c>
      <c r="L111" s="78">
        <f t="shared" si="36"/>
        <v>1.4909077927056516E-2</v>
      </c>
      <c r="M111" s="78">
        <f t="shared" si="32"/>
        <v>8.4455370277127836E-2</v>
      </c>
    </row>
    <row r="112" spans="1:13" s="49" customFormat="1" ht="16">
      <c r="A112" s="10" t="s">
        <v>149</v>
      </c>
      <c r="B112" s="197">
        <v>38.299999999999997</v>
      </c>
      <c r="C112" s="11" t="s">
        <v>83</v>
      </c>
      <c r="D112" s="24">
        <v>4.1624644013477513E-2</v>
      </c>
      <c r="E112" s="12">
        <v>0.10455651972352922</v>
      </c>
      <c r="F112" s="16">
        <v>5.0856519723529219E-2</v>
      </c>
      <c r="G112" s="16">
        <v>0.15</v>
      </c>
      <c r="H112" s="57" t="s">
        <v>127</v>
      </c>
      <c r="I112" s="78">
        <f t="shared" si="33"/>
        <v>1.2604198547390798E-2</v>
      </c>
      <c r="J112" s="78">
        <f t="shared" si="34"/>
        <v>5.2464527761033231E-4</v>
      </c>
      <c r="K112" s="78">
        <f t="shared" si="35"/>
        <v>1.3178511340195445E-3</v>
      </c>
      <c r="L112" s="78">
        <f t="shared" si="36"/>
        <v>6.4100567202465841E-4</v>
      </c>
      <c r="M112" s="78">
        <f t="shared" si="32"/>
        <v>1.8906297821086196E-3</v>
      </c>
    </row>
    <row r="113" spans="1:13" s="49" customFormat="1" ht="16">
      <c r="A113" s="10" t="s">
        <v>62</v>
      </c>
      <c r="B113" s="197">
        <v>89.77</v>
      </c>
      <c r="C113" s="11" t="s">
        <v>43</v>
      </c>
      <c r="D113" s="24">
        <v>9.8063071109445767E-3</v>
      </c>
      <c r="E113" s="12">
        <v>6.5681235223087081E-2</v>
      </c>
      <c r="F113" s="16">
        <v>1.1981235223087083E-2</v>
      </c>
      <c r="G113" s="16">
        <v>0.21</v>
      </c>
      <c r="H113" s="57" t="s">
        <v>127</v>
      </c>
      <c r="I113" s="78">
        <f t="shared" si="33"/>
        <v>2.9542530120085429E-2</v>
      </c>
      <c r="J113" s="78">
        <f t="shared" si="34"/>
        <v>2.897031231918881E-4</v>
      </c>
      <c r="K113" s="78">
        <f t="shared" si="35"/>
        <v>1.9403898699024661E-3</v>
      </c>
      <c r="L113" s="78">
        <f t="shared" si="36"/>
        <v>3.5395600245387862E-4</v>
      </c>
      <c r="M113" s="78">
        <f t="shared" si="32"/>
        <v>6.2039313252179396E-3</v>
      </c>
    </row>
    <row r="114" spans="1:13" s="49" customFormat="1" ht="16">
      <c r="A114" s="10" t="s">
        <v>196</v>
      </c>
      <c r="B114" s="197">
        <v>44.71</v>
      </c>
      <c r="C114" s="11" t="s">
        <v>84</v>
      </c>
      <c r="D114" s="24">
        <v>1.846506764507649E-2</v>
      </c>
      <c r="E114" s="12">
        <v>7.6260411005174611E-2</v>
      </c>
      <c r="F114" s="16">
        <v>2.2560411005174617E-2</v>
      </c>
      <c r="G114" s="16">
        <v>0.19</v>
      </c>
      <c r="H114" s="57" t="s">
        <v>127</v>
      </c>
      <c r="I114" s="78">
        <f>B114/$B$117</f>
        <v>1.4713674074512862E-2</v>
      </c>
      <c r="J114" s="78">
        <f>I114*D114</f>
        <v>2.7168898709348824E-4</v>
      </c>
      <c r="K114" s="78">
        <f>I114*E114</f>
        <v>1.1220708323185331E-3</v>
      </c>
      <c r="L114" s="78">
        <f>I114*F114</f>
        <v>3.319465345171924E-4</v>
      </c>
      <c r="M114" s="78">
        <f>I114*G114</f>
        <v>2.7955980741574439E-3</v>
      </c>
    </row>
    <row r="115" spans="1:13" s="49" customFormat="1" ht="16">
      <c r="A115" s="10" t="s">
        <v>440</v>
      </c>
      <c r="B115" s="197">
        <v>6.95</v>
      </c>
      <c r="C115" s="11" t="s">
        <v>80</v>
      </c>
      <c r="D115" s="24">
        <v>2.8897309252464341E-2</v>
      </c>
      <c r="E115" s="12">
        <v>8.9006405923352364E-2</v>
      </c>
      <c r="F115" s="16">
        <v>3.5306405923352366E-2</v>
      </c>
      <c r="G115" s="16">
        <v>0</v>
      </c>
      <c r="H115" s="57" t="s">
        <v>127</v>
      </c>
      <c r="I115" s="78">
        <f>B115/$B$117</f>
        <v>2.2871848538998968E-3</v>
      </c>
      <c r="J115" s="78">
        <f>I115*D115</f>
        <v>6.6093488040697786E-5</v>
      </c>
      <c r="K115" s="78">
        <f>I115*E115</f>
        <v>2.035741035279576E-4</v>
      </c>
      <c r="L115" s="78">
        <f>I115*F115</f>
        <v>8.0752276873533136E-5</v>
      </c>
      <c r="M115" s="78">
        <f>I115*G115</f>
        <v>0</v>
      </c>
    </row>
    <row r="116" spans="1:13" s="49" customFormat="1" ht="16">
      <c r="A116" s="10" t="s">
        <v>69</v>
      </c>
      <c r="B116" s="197">
        <v>93.27</v>
      </c>
      <c r="C116" s="11" t="s">
        <v>59</v>
      </c>
      <c r="D116" s="24">
        <v>0.10411377124173073</v>
      </c>
      <c r="E116" s="12">
        <v>0.18090502928341393</v>
      </c>
      <c r="F116" s="16">
        <v>0.12720502928341393</v>
      </c>
      <c r="G116" s="16">
        <v>0.18</v>
      </c>
      <c r="H116" s="57" t="s">
        <v>127</v>
      </c>
      <c r="I116" s="78">
        <f t="shared" si="33"/>
        <v>3.0694349830682501E-2</v>
      </c>
      <c r="J116" s="78">
        <f t="shared" si="34"/>
        <v>3.195704516685334E-3</v>
      </c>
      <c r="K116" s="78">
        <f t="shared" si="35"/>
        <v>5.5527622549549687E-3</v>
      </c>
      <c r="L116" s="78">
        <f t="shared" si="36"/>
        <v>3.904475669047319E-3</v>
      </c>
      <c r="M116" s="78">
        <f t="shared" si="32"/>
        <v>5.5249829695228504E-3</v>
      </c>
    </row>
    <row r="117" spans="1:13" s="37" customFormat="1" ht="16">
      <c r="A117" s="76" t="s">
        <v>127</v>
      </c>
      <c r="B117" s="69">
        <f>SUM(B91:B116)</f>
        <v>3038.67</v>
      </c>
      <c r="C117" s="69"/>
      <c r="D117" s="70">
        <f>SUM(J91:J116)</f>
        <v>2.6820938973432476E-2</v>
      </c>
      <c r="E117" s="70">
        <f>SUM(K91:K116)</f>
        <v>8.6469520178101472E-2</v>
      </c>
      <c r="F117" s="70">
        <f>SUM(L91:L116)</f>
        <v>3.2769520178101481E-2</v>
      </c>
      <c r="G117" s="70">
        <f>SUM(M91:M116)</f>
        <v>0.18421704232443803</v>
      </c>
      <c r="H117" s="76"/>
      <c r="I117" s="79">
        <f>SUM(I91:I116)</f>
        <v>1</v>
      </c>
    </row>
    <row r="118" spans="1:13" s="49" customFormat="1" ht="16">
      <c r="A118" s="10" t="s">
        <v>280</v>
      </c>
      <c r="B118" s="197">
        <v>390</v>
      </c>
      <c r="C118" s="11" t="s">
        <v>46</v>
      </c>
      <c r="D118" s="24">
        <v>5.7377328840633162E-3</v>
      </c>
      <c r="E118" s="12">
        <v>6.0710297204997758E-2</v>
      </c>
      <c r="F118" s="16">
        <v>7.0102972049977622E-3</v>
      </c>
      <c r="G118" s="16">
        <v>0</v>
      </c>
      <c r="H118" s="57" t="s">
        <v>129</v>
      </c>
      <c r="I118" s="78">
        <f t="shared" ref="I118:I130" si="37">B118/$B$131</f>
        <v>0.16704787849194316</v>
      </c>
      <c r="J118" s="78">
        <f t="shared" ref="J118:J130" si="38">I118*D118</f>
        <v>9.5847610563623543E-4</v>
      </c>
      <c r="K118" s="78">
        <f t="shared" ref="K118:K130" si="39">I118*E118</f>
        <v>1.0141526350710223E-2</v>
      </c>
      <c r="L118" s="78">
        <f t="shared" ref="L118:L130" si="40">I118*F118</f>
        <v>1.1710552756928751E-3</v>
      </c>
      <c r="M118" s="78">
        <f t="shared" si="32"/>
        <v>0</v>
      </c>
    </row>
    <row r="119" spans="1:13" s="49" customFormat="1" ht="16">
      <c r="A119" s="10" t="s">
        <v>89</v>
      </c>
      <c r="B119" s="197">
        <v>32.18</v>
      </c>
      <c r="C119" s="11" t="s">
        <v>49</v>
      </c>
      <c r="D119" s="24">
        <v>5.2056885620865363E-2</v>
      </c>
      <c r="E119" s="12">
        <v>0.11730251464170696</v>
      </c>
      <c r="F119" s="16">
        <v>6.3602514641706964E-2</v>
      </c>
      <c r="G119" s="16">
        <v>0</v>
      </c>
      <c r="H119" s="57" t="s">
        <v>129</v>
      </c>
      <c r="I119" s="78">
        <f t="shared" si="37"/>
        <v>1.3783591615053156E-2</v>
      </c>
      <c r="J119" s="78">
        <f t="shared" si="38"/>
        <v>7.17530852149541E-4</v>
      </c>
      <c r="K119" s="78">
        <f t="shared" si="39"/>
        <v>1.6168499572400822E-3</v>
      </c>
      <c r="L119" s="78">
        <f t="shared" si="40"/>
        <v>8.7667108751172766E-4</v>
      </c>
      <c r="M119" s="78">
        <f t="shared" si="32"/>
        <v>0</v>
      </c>
    </row>
    <row r="120" spans="1:13" s="49" customFormat="1" ht="16">
      <c r="A120" s="10" t="s">
        <v>341</v>
      </c>
      <c r="B120" s="197">
        <v>171.49</v>
      </c>
      <c r="C120" s="11" t="s">
        <v>102</v>
      </c>
      <c r="D120" s="24">
        <v>8.6691927757393011E-2</v>
      </c>
      <c r="E120" s="12">
        <v>0.15961921777005708</v>
      </c>
      <c r="F120" s="16">
        <v>0.10591921777005708</v>
      </c>
      <c r="G120" s="16">
        <v>0.15</v>
      </c>
      <c r="H120" s="57" t="s">
        <v>129</v>
      </c>
      <c r="I120" s="78">
        <f>B120/$B$131</f>
        <v>7.3453950468162402E-2</v>
      </c>
      <c r="J120" s="78">
        <f>I120*D120</f>
        <v>6.3678645674810595E-3</v>
      </c>
      <c r="K120" s="78">
        <f>I120*E120</f>
        <v>1.17246621158486E-2</v>
      </c>
      <c r="L120" s="78">
        <f>I120*F120</f>
        <v>7.7801849757082797E-3</v>
      </c>
      <c r="M120" s="78">
        <f>I120*G120</f>
        <v>1.1018092570224359E-2</v>
      </c>
    </row>
    <row r="121" spans="1:13" s="49" customFormat="1" ht="16">
      <c r="A121" s="10" t="s">
        <v>116</v>
      </c>
      <c r="B121" s="197">
        <v>317.74</v>
      </c>
      <c r="C121" s="11" t="s">
        <v>42</v>
      </c>
      <c r="D121" s="24">
        <v>8.1371484537625226E-3</v>
      </c>
      <c r="E121" s="12">
        <v>6.3641876036178643E-2</v>
      </c>
      <c r="F121" s="16">
        <v>9.9418760361786457E-3</v>
      </c>
      <c r="G121" s="16">
        <v>0.24</v>
      </c>
      <c r="H121" s="57" t="s">
        <v>129</v>
      </c>
      <c r="I121" s="78">
        <f t="shared" si="37"/>
        <v>0.13609690490264109</v>
      </c>
      <c r="J121" s="78">
        <f t="shared" si="38"/>
        <v>1.107440719290391E-3</v>
      </c>
      <c r="K121" s="78">
        <f t="shared" si="39"/>
        <v>8.6614623507214779E-3</v>
      </c>
      <c r="L121" s="78">
        <f t="shared" si="40"/>
        <v>1.3530585574496514E-3</v>
      </c>
      <c r="M121" s="78">
        <f t="shared" si="32"/>
        <v>3.2663257176633861E-2</v>
      </c>
    </row>
    <row r="122" spans="1:13" s="49" customFormat="1" ht="16">
      <c r="A122" s="10" t="s">
        <v>119</v>
      </c>
      <c r="B122" s="197">
        <v>38.65</v>
      </c>
      <c r="C122" s="11" t="s">
        <v>49</v>
      </c>
      <c r="D122" s="24">
        <v>5.2056885620865363E-2</v>
      </c>
      <c r="E122" s="12">
        <v>0.11730251464170696</v>
      </c>
      <c r="F122" s="16">
        <v>6.3602514641706964E-2</v>
      </c>
      <c r="G122" s="16">
        <v>0.2</v>
      </c>
      <c r="H122" s="57" t="s">
        <v>129</v>
      </c>
      <c r="I122" s="78">
        <f t="shared" si="37"/>
        <v>1.6554873086445137E-2</v>
      </c>
      <c r="J122" s="78">
        <f t="shared" si="38"/>
        <v>8.6179513472901684E-4</v>
      </c>
      <c r="K122" s="78">
        <f t="shared" si="39"/>
        <v>1.9419282426143313E-3</v>
      </c>
      <c r="L122" s="78">
        <f t="shared" si="40"/>
        <v>1.0529315578722274E-3</v>
      </c>
      <c r="M122" s="78">
        <f t="shared" si="32"/>
        <v>3.3109746172890276E-3</v>
      </c>
    </row>
    <row r="123" spans="1:13" s="49" customFormat="1" ht="16">
      <c r="A123" s="10" t="s">
        <v>122</v>
      </c>
      <c r="B123" s="197">
        <v>110.88</v>
      </c>
      <c r="C123" s="11" t="s">
        <v>46</v>
      </c>
      <c r="D123" s="24">
        <v>5.7377328840633162E-3</v>
      </c>
      <c r="E123" s="12">
        <v>6.0710297204997758E-2</v>
      </c>
      <c r="F123" s="16">
        <v>7.0102972049977622E-3</v>
      </c>
      <c r="G123" s="16">
        <v>0.15</v>
      </c>
      <c r="H123" s="57" t="s">
        <v>129</v>
      </c>
      <c r="I123" s="78">
        <f t="shared" si="37"/>
        <v>4.7492996838940149E-2</v>
      </c>
      <c r="J123" s="78">
        <f t="shared" si="38"/>
        <v>2.7250212972550203E-4</v>
      </c>
      <c r="K123" s="78">
        <f t="shared" si="39"/>
        <v>2.8833139532480753E-3</v>
      </c>
      <c r="L123" s="78">
        <f t="shared" si="40"/>
        <v>3.3294002299698967E-4</v>
      </c>
      <c r="M123" s="78">
        <f t="shared" si="32"/>
        <v>7.1239495258410218E-3</v>
      </c>
    </row>
    <row r="124" spans="1:13" s="49" customFormat="1" ht="16">
      <c r="A124" s="10" t="s">
        <v>124</v>
      </c>
      <c r="B124" s="197">
        <v>49.6</v>
      </c>
      <c r="C124" s="11" t="s">
        <v>80</v>
      </c>
      <c r="D124" s="24">
        <v>7.5216461989266389E-2</v>
      </c>
      <c r="E124" s="12">
        <v>0.14559862336006157</v>
      </c>
      <c r="F124" s="16">
        <v>9.1898623360061577E-2</v>
      </c>
      <c r="G124" s="16">
        <v>0.15</v>
      </c>
      <c r="H124" s="57" t="s">
        <v>129</v>
      </c>
      <c r="I124" s="78">
        <f t="shared" si="37"/>
        <v>2.1245063521026619E-2</v>
      </c>
      <c r="J124" s="78">
        <f t="shared" si="38"/>
        <v>1.5979785127888486E-3</v>
      </c>
      <c r="K124" s="78">
        <f t="shared" si="39"/>
        <v>3.0932520018585384E-3</v>
      </c>
      <c r="L124" s="78">
        <f t="shared" si="40"/>
        <v>1.952392090779409E-3</v>
      </c>
      <c r="M124" s="78">
        <f t="shared" si="32"/>
        <v>3.1867595281539927E-3</v>
      </c>
    </row>
    <row r="125" spans="1:13" s="49" customFormat="1" ht="16">
      <c r="A125" s="10" t="s">
        <v>24</v>
      </c>
      <c r="B125" s="197">
        <v>66.290000000000006</v>
      </c>
      <c r="C125" s="11" t="s">
        <v>126</v>
      </c>
      <c r="D125" s="24">
        <v>2.5454669522026348E-2</v>
      </c>
      <c r="E125" s="12">
        <v>8.4800227600353703E-2</v>
      </c>
      <c r="F125" s="16">
        <v>3.1100227600353709E-2</v>
      </c>
      <c r="G125" s="16">
        <v>0.15</v>
      </c>
      <c r="H125" s="57" t="s">
        <v>129</v>
      </c>
      <c r="I125" s="78">
        <f t="shared" si="37"/>
        <v>2.8393856064694651E-2</v>
      </c>
      <c r="J125" s="78">
        <f t="shared" si="38"/>
        <v>7.2275622258278593E-4</v>
      </c>
      <c r="K125" s="78">
        <f t="shared" si="39"/>
        <v>2.4078054567377898E-3</v>
      </c>
      <c r="L125" s="78">
        <f t="shared" si="40"/>
        <v>8.8305538606368709E-4</v>
      </c>
      <c r="M125" s="78">
        <f t="shared" si="32"/>
        <v>4.2590784097041971E-3</v>
      </c>
    </row>
    <row r="126" spans="1:13" s="49" customFormat="1" ht="16">
      <c r="A126" s="10" t="s">
        <v>76</v>
      </c>
      <c r="B126" s="197">
        <v>152.44999999999999</v>
      </c>
      <c r="C126" s="11" t="s">
        <v>47</v>
      </c>
      <c r="D126" s="24">
        <v>6.9896018769498571E-3</v>
      </c>
      <c r="E126" s="12">
        <v>6.223981659517909E-2</v>
      </c>
      <c r="F126" s="16">
        <v>8.5398165951790905E-3</v>
      </c>
      <c r="G126" s="16">
        <v>0.1</v>
      </c>
      <c r="H126" s="57" t="s">
        <v>129</v>
      </c>
      <c r="I126" s="78">
        <f t="shared" si="37"/>
        <v>6.5298587374607003E-2</v>
      </c>
      <c r="J126" s="78">
        <f t="shared" si="38"/>
        <v>4.5641112887572736E-4</v>
      </c>
      <c r="K126" s="78">
        <f t="shared" si="39"/>
        <v>4.0641721021198165E-3</v>
      </c>
      <c r="L126" s="78">
        <f t="shared" si="40"/>
        <v>5.5763796010342074E-4</v>
      </c>
      <c r="M126" s="78">
        <f t="shared" si="32"/>
        <v>6.5298587374607005E-3</v>
      </c>
    </row>
    <row r="127" spans="1:13" s="49" customFormat="1" ht="16">
      <c r="A127" s="10" t="s">
        <v>300</v>
      </c>
      <c r="B127" s="197">
        <v>5.2</v>
      </c>
      <c r="C127" s="11" t="s">
        <v>43</v>
      </c>
      <c r="D127" s="24">
        <v>9.8063071109445767E-3</v>
      </c>
      <c r="E127" s="12">
        <v>6.5681235223087081E-2</v>
      </c>
      <c r="F127" s="16">
        <v>1.1981235223087083E-2</v>
      </c>
      <c r="G127" s="16">
        <v>0</v>
      </c>
      <c r="H127" s="57" t="s">
        <v>129</v>
      </c>
      <c r="I127" s="78">
        <f t="shared" si="37"/>
        <v>2.2273050465592423E-3</v>
      </c>
      <c r="J127" s="78">
        <f t="shared" si="38"/>
        <v>2.184163731631664E-5</v>
      </c>
      <c r="K127" s="78">
        <f t="shared" si="39"/>
        <v>1.4629214667662651E-4</v>
      </c>
      <c r="L127" s="78">
        <f t="shared" si="40"/>
        <v>2.6685865676395211E-5</v>
      </c>
      <c r="M127" s="78">
        <f t="shared" si="32"/>
        <v>0</v>
      </c>
    </row>
    <row r="128" spans="1:13" s="49" customFormat="1" ht="16">
      <c r="A128" s="10" t="s">
        <v>2</v>
      </c>
      <c r="B128" s="197">
        <v>646.44000000000005</v>
      </c>
      <c r="C128" s="11" t="s">
        <v>42</v>
      </c>
      <c r="D128" s="24">
        <v>8.1371484537625226E-3</v>
      </c>
      <c r="E128" s="12">
        <v>6.3641876036178643E-2</v>
      </c>
      <c r="F128" s="16">
        <v>9.9418760361786457E-3</v>
      </c>
      <c r="G128" s="16">
        <v>0.2</v>
      </c>
      <c r="H128" s="57" t="s">
        <v>129</v>
      </c>
      <c r="I128" s="78">
        <f t="shared" si="37"/>
        <v>0.27688828351879935</v>
      </c>
      <c r="J128" s="78">
        <f t="shared" si="38"/>
        <v>2.2530810680999572E-3</v>
      </c>
      <c r="K128" s="78">
        <f t="shared" si="39"/>
        <v>1.7621689815573716E-2</v>
      </c>
      <c r="L128" s="78">
        <f t="shared" si="40"/>
        <v>2.75278899061419E-3</v>
      </c>
      <c r="M128" s="78">
        <f t="shared" si="32"/>
        <v>5.5377656703759874E-2</v>
      </c>
    </row>
    <row r="129" spans="1:13" s="49" customFormat="1" ht="16">
      <c r="A129" s="10" t="s">
        <v>294</v>
      </c>
      <c r="B129" s="197">
        <v>5</v>
      </c>
      <c r="C129" s="11" t="s">
        <v>44</v>
      </c>
      <c r="D129" s="24">
        <v>1.3874881337825837E-2</v>
      </c>
      <c r="E129" s="12">
        <v>7.0652173241176397E-2</v>
      </c>
      <c r="F129" s="16">
        <v>1.6952173241176406E-2</v>
      </c>
      <c r="G129" s="16">
        <v>0</v>
      </c>
      <c r="H129" s="57" t="s">
        <v>129</v>
      </c>
      <c r="I129" s="78">
        <f t="shared" si="37"/>
        <v>2.141639467845425E-3</v>
      </c>
      <c r="J129" s="78">
        <f t="shared" si="38"/>
        <v>2.9714993484759744E-5</v>
      </c>
      <c r="K129" s="78">
        <f t="shared" si="39"/>
        <v>1.5131148270235579E-4</v>
      </c>
      <c r="L129" s="78">
        <f t="shared" si="40"/>
        <v>3.6305443279056493E-5</v>
      </c>
      <c r="M129" s="78">
        <f t="shared" si="32"/>
        <v>0</v>
      </c>
    </row>
    <row r="130" spans="1:13" s="49" customFormat="1" ht="16">
      <c r="A130" s="10" t="s">
        <v>61</v>
      </c>
      <c r="B130" s="197">
        <v>348.74</v>
      </c>
      <c r="C130" s="11" t="s">
        <v>46</v>
      </c>
      <c r="D130" s="24">
        <v>5.7377328840633162E-3</v>
      </c>
      <c r="E130" s="12">
        <v>6.0710297204997758E-2</v>
      </c>
      <c r="F130" s="16">
        <v>7.0102972049977622E-3</v>
      </c>
      <c r="G130" s="16">
        <v>0.55000000000000004</v>
      </c>
      <c r="H130" s="57" t="s">
        <v>129</v>
      </c>
      <c r="I130" s="78">
        <f t="shared" si="37"/>
        <v>0.14937506960328273</v>
      </c>
      <c r="J130" s="78">
        <f t="shared" si="38"/>
        <v>8.5707424892200203E-4</v>
      </c>
      <c r="K130" s="78">
        <f t="shared" si="39"/>
        <v>9.0686048706325219E-3</v>
      </c>
      <c r="L130" s="78">
        <f t="shared" si="40"/>
        <v>1.0471636329362391E-3</v>
      </c>
      <c r="M130" s="78">
        <f t="shared" si="32"/>
        <v>8.2156288281805503E-2</v>
      </c>
    </row>
    <row r="131" spans="1:13" s="37" customFormat="1" ht="16">
      <c r="A131" s="76" t="s">
        <v>129</v>
      </c>
      <c r="B131" s="69">
        <f>SUM(B118:B130)</f>
        <v>2334.66</v>
      </c>
      <c r="C131" s="69"/>
      <c r="D131" s="70">
        <f>SUM(J118:J130)</f>
        <v>1.6224467321082139E-2</v>
      </c>
      <c r="E131" s="70">
        <f>SUM(K118:K130)</f>
        <v>7.3522870846684157E-2</v>
      </c>
      <c r="F131" s="70">
        <f>SUM(L118:L130)</f>
        <v>1.9822870846684146E-2</v>
      </c>
      <c r="G131" s="71">
        <f>SUM(M118:M130)</f>
        <v>0.20562591555087256</v>
      </c>
      <c r="H131" s="76"/>
      <c r="I131" s="79">
        <f>SUM(I118:I130)</f>
        <v>1</v>
      </c>
    </row>
    <row r="132" spans="1:13" s="49" customFormat="1" ht="16">
      <c r="A132" s="10" t="s">
        <v>97</v>
      </c>
      <c r="B132" s="197">
        <v>1529.76</v>
      </c>
      <c r="C132" s="11" t="s">
        <v>48</v>
      </c>
      <c r="D132" s="24">
        <v>0</v>
      </c>
      <c r="E132" s="12">
        <v>5.3699999999999998E-2</v>
      </c>
      <c r="F132" s="16">
        <v>0</v>
      </c>
      <c r="G132" s="16">
        <v>0.26500000000000001</v>
      </c>
      <c r="H132" s="57" t="s">
        <v>132</v>
      </c>
      <c r="I132" s="78">
        <f>B132/B134</f>
        <v>7.5902638849195014E-2</v>
      </c>
      <c r="J132" s="78">
        <f>I132*D132</f>
        <v>0</v>
      </c>
      <c r="K132" s="78">
        <f>I132*E132</f>
        <v>4.0759717062017718E-3</v>
      </c>
      <c r="L132" s="78">
        <f>I132*F132</f>
        <v>0</v>
      </c>
      <c r="M132" s="78">
        <f t="shared" si="32"/>
        <v>2.0114199295036678E-2</v>
      </c>
    </row>
    <row r="133" spans="1:13" s="49" customFormat="1" ht="16">
      <c r="A133" s="10" t="s">
        <v>366</v>
      </c>
      <c r="B133" s="197">
        <v>18624.48</v>
      </c>
      <c r="C133" s="11" t="s">
        <v>48</v>
      </c>
      <c r="D133" s="24">
        <v>0</v>
      </c>
      <c r="E133" s="12">
        <v>5.3699999999999998E-2</v>
      </c>
      <c r="F133" s="16">
        <v>0</v>
      </c>
      <c r="G133" s="16">
        <v>0.21</v>
      </c>
      <c r="H133" s="57" t="s">
        <v>132</v>
      </c>
      <c r="I133" s="78">
        <f>B133/B134</f>
        <v>0.9240973611508051</v>
      </c>
      <c r="J133" s="78">
        <f>I133*D133</f>
        <v>0</v>
      </c>
      <c r="K133" s="78">
        <f>I133*E133</f>
        <v>4.9624028293798229E-2</v>
      </c>
      <c r="L133" s="78">
        <f>I133*F133</f>
        <v>0</v>
      </c>
      <c r="M133" s="78">
        <f t="shared" si="32"/>
        <v>0.19406044584166907</v>
      </c>
    </row>
    <row r="134" spans="1:13" s="37" customFormat="1" ht="16">
      <c r="A134" s="76" t="s">
        <v>132</v>
      </c>
      <c r="B134" s="69">
        <f>SUM(B132:B133)</f>
        <v>20154.239999999998</v>
      </c>
      <c r="C134" s="69"/>
      <c r="D134" s="70">
        <f>SUM(J132:J133)</f>
        <v>0</v>
      </c>
      <c r="E134" s="70">
        <f>SUM(K132:K133)</f>
        <v>5.3699999999999998E-2</v>
      </c>
      <c r="F134" s="70">
        <f>SUM(L132:L133)</f>
        <v>0</v>
      </c>
      <c r="G134" s="71">
        <f>SUM(M132:M133)</f>
        <v>0.21417464513670575</v>
      </c>
      <c r="H134" s="76"/>
    </row>
    <row r="135" spans="1:13" s="49" customFormat="1" ht="16">
      <c r="A135" s="10" t="s">
        <v>295</v>
      </c>
      <c r="B135" s="197">
        <v>2.86</v>
      </c>
      <c r="C135" s="11" t="s">
        <v>85</v>
      </c>
      <c r="D135" s="24">
        <v>2.201202979158836E-2</v>
      </c>
      <c r="E135" s="12">
        <v>8.0594049277355057E-2</v>
      </c>
      <c r="F135" s="16">
        <v>2.6894049277355052E-2</v>
      </c>
      <c r="G135" s="16">
        <v>0</v>
      </c>
      <c r="H135" s="57" t="s">
        <v>128</v>
      </c>
      <c r="I135" s="78">
        <f>B135/$B$161</f>
        <v>1.6708193733258942E-4</v>
      </c>
      <c r="J135" s="78">
        <f t="shared" ref="J135:J160" si="41">I135*D135</f>
        <v>3.6778125822012574E-6</v>
      </c>
      <c r="K135" s="78">
        <f t="shared" ref="K135:K160" si="42">I135*E135</f>
        <v>1.346580989073866E-5</v>
      </c>
      <c r="L135" s="78">
        <f t="shared" ref="L135:L160" si="43">I135*F135</f>
        <v>4.4935098559786086E-6</v>
      </c>
      <c r="M135" s="78">
        <f t="shared" si="32"/>
        <v>0</v>
      </c>
    </row>
    <row r="136" spans="1:13" s="49" customFormat="1" ht="16">
      <c r="A136" s="10" t="s">
        <v>182</v>
      </c>
      <c r="B136" s="197">
        <v>390.8</v>
      </c>
      <c r="C136" s="11" t="s">
        <v>45</v>
      </c>
      <c r="D136" s="24">
        <v>4.5901863072506524E-3</v>
      </c>
      <c r="E136" s="12">
        <v>5.9308237763998205E-2</v>
      </c>
      <c r="F136" s="16">
        <v>5.6082377639982087E-3</v>
      </c>
      <c r="G136" s="16">
        <v>0.25</v>
      </c>
      <c r="H136" s="57" t="s">
        <v>128</v>
      </c>
      <c r="I136" s="78">
        <f t="shared" ref="I136:I160" si="44">B136/$B$161</f>
        <v>2.2830636751599982E-2</v>
      </c>
      <c r="J136" s="78">
        <f t="shared" si="41"/>
        <v>1.0479687620300775E-4</v>
      </c>
      <c r="K136" s="78">
        <f t="shared" si="42"/>
        <v>1.3540448327673674E-3</v>
      </c>
      <c r="L136" s="78">
        <f t="shared" si="43"/>
        <v>1.2803963920644842E-4</v>
      </c>
      <c r="M136" s="78">
        <f t="shared" si="32"/>
        <v>5.7076591878999954E-3</v>
      </c>
    </row>
    <row r="137" spans="1:13" s="49" customFormat="1" ht="16">
      <c r="A137" s="10" t="s">
        <v>183</v>
      </c>
      <c r="B137" s="197">
        <v>467.96</v>
      </c>
      <c r="C137" s="11" t="s">
        <v>47</v>
      </c>
      <c r="D137" s="24">
        <v>6.9896018769498571E-3</v>
      </c>
      <c r="E137" s="12">
        <v>6.223981659517909E-2</v>
      </c>
      <c r="F137" s="16">
        <v>8.5398165951790905E-3</v>
      </c>
      <c r="G137" s="16">
        <v>0.33989999999999998</v>
      </c>
      <c r="H137" s="57" t="s">
        <v>128</v>
      </c>
      <c r="I137" s="78">
        <f t="shared" si="44"/>
        <v>2.7338343844111379E-2</v>
      </c>
      <c r="J137" s="78">
        <f t="shared" si="41"/>
        <v>1.9108413944550148E-4</v>
      </c>
      <c r="K137" s="78">
        <f t="shared" si="42"/>
        <v>1.7015335068734355E-3</v>
      </c>
      <c r="L137" s="78">
        <f t="shared" si="43"/>
        <v>2.3346444244465449E-4</v>
      </c>
      <c r="M137" s="78">
        <f t="shared" si="32"/>
        <v>9.2923030726134569E-3</v>
      </c>
    </row>
    <row r="138" spans="1:13" s="49" customFormat="1" ht="16">
      <c r="A138" s="10" t="s">
        <v>184</v>
      </c>
      <c r="B138" s="197">
        <v>20.05</v>
      </c>
      <c r="C138" s="11" t="s">
        <v>83</v>
      </c>
      <c r="D138" s="24">
        <v>4.1624644013477513E-2</v>
      </c>
      <c r="E138" s="12">
        <v>0.10455651972352922</v>
      </c>
      <c r="F138" s="16">
        <v>5.0856519723529219E-2</v>
      </c>
      <c r="G138" s="16">
        <v>0.125</v>
      </c>
      <c r="H138" s="57" t="s">
        <v>128</v>
      </c>
      <c r="I138" s="78">
        <f t="shared" si="44"/>
        <v>1.171326169062384E-3</v>
      </c>
      <c r="J138" s="78">
        <f t="shared" si="41"/>
        <v>4.875603481089211E-5</v>
      </c>
      <c r="K138" s="78">
        <f t="shared" si="42"/>
        <v>1.2246978769825707E-4</v>
      </c>
      <c r="L138" s="78">
        <f t="shared" si="43"/>
        <v>5.9569572419607054E-5</v>
      </c>
      <c r="M138" s="78">
        <f t="shared" si="32"/>
        <v>1.46415771132798E-4</v>
      </c>
    </row>
    <row r="139" spans="1:13" s="49" customFormat="1" ht="16">
      <c r="A139" s="10" t="s">
        <v>104</v>
      </c>
      <c r="B139" s="197">
        <v>306.89999999999998</v>
      </c>
      <c r="C139" s="11" t="s">
        <v>48</v>
      </c>
      <c r="D139" s="24">
        <v>0</v>
      </c>
      <c r="E139" s="12">
        <v>5.3699999999999998E-2</v>
      </c>
      <c r="F139" s="16">
        <v>0</v>
      </c>
      <c r="G139" s="16">
        <v>0.22</v>
      </c>
      <c r="H139" s="57" t="s">
        <v>128</v>
      </c>
      <c r="I139" s="78">
        <f t="shared" si="44"/>
        <v>1.7929177121458632E-2</v>
      </c>
      <c r="J139" s="78">
        <f t="shared" si="41"/>
        <v>0</v>
      </c>
      <c r="K139" s="78">
        <f t="shared" si="42"/>
        <v>9.6279681142232855E-4</v>
      </c>
      <c r="L139" s="78">
        <f t="shared" si="43"/>
        <v>0</v>
      </c>
      <c r="M139" s="78">
        <f t="shared" ref="M139:M160" si="45">I139*G139</f>
        <v>3.9444189667208994E-3</v>
      </c>
    </row>
    <row r="140" spans="1:13" s="49" customFormat="1" ht="16">
      <c r="A140" s="10" t="s">
        <v>185</v>
      </c>
      <c r="B140" s="197">
        <v>238.5</v>
      </c>
      <c r="C140" s="11" t="s">
        <v>45</v>
      </c>
      <c r="D140" s="24">
        <v>4.5901863072506524E-3</v>
      </c>
      <c r="E140" s="12">
        <v>5.9308237763998205E-2</v>
      </c>
      <c r="F140" s="16">
        <v>5.6082377639982087E-3</v>
      </c>
      <c r="G140" s="16">
        <v>0.2</v>
      </c>
      <c r="H140" s="57" t="s">
        <v>128</v>
      </c>
      <c r="I140" s="78">
        <f t="shared" si="44"/>
        <v>1.3933231487350551E-2</v>
      </c>
      <c r="J140" s="78">
        <f t="shared" si="41"/>
        <v>6.3956128388990149E-5</v>
      </c>
      <c r="K140" s="78">
        <f t="shared" si="42"/>
        <v>8.2635540587261283E-4</v>
      </c>
      <c r="L140" s="78">
        <f t="shared" si="43"/>
        <v>7.8140875001888295E-5</v>
      </c>
      <c r="M140" s="78">
        <f t="shared" si="45"/>
        <v>2.7866462974701104E-3</v>
      </c>
    </row>
    <row r="141" spans="1:13" s="49" customFormat="1" ht="16">
      <c r="A141" s="10" t="s">
        <v>186</v>
      </c>
      <c r="B141" s="197">
        <v>2465.4499999999998</v>
      </c>
      <c r="C141" s="11" t="s">
        <v>46</v>
      </c>
      <c r="D141" s="24">
        <v>5.7377328840633162E-3</v>
      </c>
      <c r="E141" s="12">
        <v>6.0710297204997758E-2</v>
      </c>
      <c r="F141" s="16">
        <v>7.0102972049977622E-3</v>
      </c>
      <c r="G141" s="16">
        <v>0.33329999999999999</v>
      </c>
      <c r="H141" s="57" t="s">
        <v>128</v>
      </c>
      <c r="I141" s="78">
        <f t="shared" si="44"/>
        <v>0.1440322246142072</v>
      </c>
      <c r="J141" s="78">
        <f t="shared" si="41"/>
        <v>8.264184315337304E-4</v>
      </c>
      <c r="K141" s="78">
        <f t="shared" si="42"/>
        <v>8.7442391634255118E-3</v>
      </c>
      <c r="L141" s="78">
        <f t="shared" si="43"/>
        <v>1.0097087016425867E-3</v>
      </c>
      <c r="M141" s="78">
        <f t="shared" si="45"/>
        <v>4.8005940463915257E-2</v>
      </c>
    </row>
    <row r="142" spans="1:13" s="49" customFormat="1" ht="16">
      <c r="A142" s="10" t="s">
        <v>187</v>
      </c>
      <c r="B142" s="197">
        <v>3477.8</v>
      </c>
      <c r="C142" s="11" t="s">
        <v>48</v>
      </c>
      <c r="D142" s="24">
        <v>0</v>
      </c>
      <c r="E142" s="12">
        <v>5.3699999999999998E-2</v>
      </c>
      <c r="F142" s="16">
        <v>0</v>
      </c>
      <c r="G142" s="16">
        <v>0.2979</v>
      </c>
      <c r="H142" s="57" t="s">
        <v>128</v>
      </c>
      <c r="I142" s="78">
        <f t="shared" si="44"/>
        <v>0.20317397260674111</v>
      </c>
      <c r="J142" s="78">
        <f t="shared" si="41"/>
        <v>0</v>
      </c>
      <c r="K142" s="78">
        <f t="shared" si="42"/>
        <v>1.0910442328981997E-2</v>
      </c>
      <c r="L142" s="78">
        <f t="shared" si="43"/>
        <v>0</v>
      </c>
      <c r="M142" s="78">
        <f t="shared" si="45"/>
        <v>6.0525526439548179E-2</v>
      </c>
    </row>
    <row r="143" spans="1:13" s="49" customFormat="1" ht="16">
      <c r="A143" s="10" t="s">
        <v>188</v>
      </c>
      <c r="B143" s="197">
        <v>192.69</v>
      </c>
      <c r="C143" s="11" t="s">
        <v>80</v>
      </c>
      <c r="D143" s="24">
        <v>7.5216461989266389E-2</v>
      </c>
      <c r="E143" s="12">
        <v>0.14559862336006157</v>
      </c>
      <c r="F143" s="16">
        <v>9.1898623360061577E-2</v>
      </c>
      <c r="G143" s="16">
        <v>0.28999999999999998</v>
      </c>
      <c r="H143" s="57" t="s">
        <v>128</v>
      </c>
      <c r="I143" s="78">
        <f t="shared" si="44"/>
        <v>1.1256999477138692E-2</v>
      </c>
      <c r="J143" s="78">
        <f t="shared" si="41"/>
        <v>8.4671167328539401E-4</v>
      </c>
      <c r="K143" s="78">
        <f t="shared" si="42"/>
        <v>1.6390036270363265E-3</v>
      </c>
      <c r="L143" s="78">
        <f t="shared" si="43"/>
        <v>1.0345027551139788E-3</v>
      </c>
      <c r="M143" s="78">
        <f t="shared" si="45"/>
        <v>3.2645298483702204E-3</v>
      </c>
    </row>
    <row r="144" spans="1:13" s="49" customFormat="1" ht="16">
      <c r="A144" s="10" t="s">
        <v>298</v>
      </c>
      <c r="B144" s="197">
        <v>0.5</v>
      </c>
      <c r="C144" s="11" t="s">
        <v>47</v>
      </c>
      <c r="D144" s="24">
        <v>6.9896018769498571E-3</v>
      </c>
      <c r="E144" s="12">
        <v>6.223981659517909E-2</v>
      </c>
      <c r="F144" s="16">
        <v>8.5398165951790905E-3</v>
      </c>
      <c r="G144" s="16">
        <v>0</v>
      </c>
      <c r="H144" s="57" t="s">
        <v>128</v>
      </c>
      <c r="I144" s="78">
        <f t="shared" si="44"/>
        <v>2.9210128904298853E-5</v>
      </c>
      <c r="J144" s="78">
        <f t="shared" si="41"/>
        <v>2.0416717181543453E-7</v>
      </c>
      <c r="K144" s="78">
        <f t="shared" si="42"/>
        <v>1.8180330657251002E-6</v>
      </c>
      <c r="L144" s="78">
        <f t="shared" si="43"/>
        <v>2.4944914356425175E-7</v>
      </c>
      <c r="M144" s="78">
        <f t="shared" si="45"/>
        <v>0</v>
      </c>
    </row>
    <row r="145" spans="1:13" s="49" customFormat="1" ht="16">
      <c r="A145" s="10" t="s">
        <v>112</v>
      </c>
      <c r="B145" s="197">
        <v>20.05</v>
      </c>
      <c r="C145" s="11" t="s">
        <v>44</v>
      </c>
      <c r="D145" s="24">
        <v>1.3874881337825837E-2</v>
      </c>
      <c r="E145" s="12">
        <v>7.0652173241176397E-2</v>
      </c>
      <c r="F145" s="16">
        <v>1.6952173241176406E-2</v>
      </c>
      <c r="G145" s="16">
        <v>0.2</v>
      </c>
      <c r="H145" s="57" t="s">
        <v>128</v>
      </c>
      <c r="I145" s="78">
        <f t="shared" si="44"/>
        <v>1.171326169062384E-3</v>
      </c>
      <c r="J145" s="78">
        <f t="shared" si="41"/>
        <v>1.6252011603630704E-5</v>
      </c>
      <c r="K145" s="78">
        <f t="shared" si="42"/>
        <v>8.2756739418519027E-5</v>
      </c>
      <c r="L145" s="78">
        <f t="shared" si="43"/>
        <v>1.9856524139869017E-5</v>
      </c>
      <c r="M145" s="78">
        <f t="shared" si="45"/>
        <v>2.3426523381247681E-4</v>
      </c>
    </row>
    <row r="146" spans="1:13" s="49" customFormat="1" ht="16">
      <c r="A146" s="10" t="s">
        <v>189</v>
      </c>
      <c r="B146" s="197">
        <v>304.82</v>
      </c>
      <c r="C146" s="11" t="s">
        <v>43</v>
      </c>
      <c r="D146" s="24">
        <v>9.8063071109445767E-3</v>
      </c>
      <c r="E146" s="12">
        <v>6.5681235223087081E-2</v>
      </c>
      <c r="F146" s="16">
        <v>1.1981235223087083E-2</v>
      </c>
      <c r="G146" s="16">
        <v>0.125</v>
      </c>
      <c r="H146" s="57" t="s">
        <v>128</v>
      </c>
      <c r="I146" s="78">
        <f t="shared" si="44"/>
        <v>1.780766298521675E-2</v>
      </c>
      <c r="J146" s="78">
        <f t="shared" si="41"/>
        <v>1.7462741216123554E-4</v>
      </c>
      <c r="K146" s="78">
        <f t="shared" si="42"/>
        <v>1.1696293013054825E-3</v>
      </c>
      <c r="L146" s="78">
        <f t="shared" si="43"/>
        <v>2.1335779899934302E-4</v>
      </c>
      <c r="M146" s="78">
        <f t="shared" si="45"/>
        <v>2.2259578731520938E-3</v>
      </c>
    </row>
    <row r="147" spans="1:13" s="49" customFormat="1" ht="16">
      <c r="A147" s="10" t="s">
        <v>115</v>
      </c>
      <c r="B147" s="197">
        <v>7.4</v>
      </c>
      <c r="C147" s="11" t="s">
        <v>46</v>
      </c>
      <c r="D147" s="24">
        <v>5.7377328840633162E-3</v>
      </c>
      <c r="E147" s="12">
        <v>6.0710297204997758E-2</v>
      </c>
      <c r="F147" s="16">
        <v>7.0102972049977622E-3</v>
      </c>
      <c r="G147" s="16">
        <v>0</v>
      </c>
      <c r="H147" s="57" t="s">
        <v>128</v>
      </c>
      <c r="I147" s="78">
        <f t="shared" si="44"/>
        <v>4.3230990778362304E-4</v>
      </c>
      <c r="J147" s="78">
        <f t="shared" si="41"/>
        <v>2.4804787739964735E-6</v>
      </c>
      <c r="K147" s="78">
        <f t="shared" si="42"/>
        <v>2.6245662986208929E-5</v>
      </c>
      <c r="L147" s="78">
        <f t="shared" si="43"/>
        <v>3.030620938228373E-6</v>
      </c>
      <c r="M147" s="78">
        <f t="shared" si="45"/>
        <v>0</v>
      </c>
    </row>
    <row r="148" spans="1:13" s="49" customFormat="1" ht="16">
      <c r="A148" s="10" t="s">
        <v>147</v>
      </c>
      <c r="B148" s="197">
        <v>1858.91</v>
      </c>
      <c r="C148" s="11" t="s">
        <v>85</v>
      </c>
      <c r="D148" s="24">
        <v>2.201202979158836E-2</v>
      </c>
      <c r="E148" s="12">
        <v>8.0594049277355057E-2</v>
      </c>
      <c r="F148" s="16">
        <v>2.6894049277355052E-2</v>
      </c>
      <c r="G148" s="16">
        <v>0.24</v>
      </c>
      <c r="H148" s="57" t="s">
        <v>128</v>
      </c>
      <c r="I148" s="78">
        <f t="shared" si="44"/>
        <v>0.10859800144298036</v>
      </c>
      <c r="J148" s="78">
        <f t="shared" si="41"/>
        <v>2.3904624430698394E-3</v>
      </c>
      <c r="K148" s="78">
        <f t="shared" si="42"/>
        <v>8.7523526797178355E-3</v>
      </c>
      <c r="L148" s="78">
        <f t="shared" si="43"/>
        <v>2.9206400022297888E-3</v>
      </c>
      <c r="M148" s="78">
        <f t="shared" si="45"/>
        <v>2.6063520346315285E-2</v>
      </c>
    </row>
    <row r="149" spans="1:13" s="49" customFormat="1" ht="16">
      <c r="A149" s="10" t="s">
        <v>299</v>
      </c>
      <c r="B149" s="197">
        <v>1</v>
      </c>
      <c r="C149" s="11" t="s">
        <v>47</v>
      </c>
      <c r="D149" s="24">
        <v>6.9896018769498571E-3</v>
      </c>
      <c r="E149" s="12">
        <v>6.223981659517909E-2</v>
      </c>
      <c r="F149" s="16">
        <v>8.5398165951790905E-3</v>
      </c>
      <c r="G149" s="16">
        <v>0.2</v>
      </c>
      <c r="H149" s="57" t="s">
        <v>128</v>
      </c>
      <c r="I149" s="78">
        <f t="shared" si="44"/>
        <v>5.8420257808597705E-5</v>
      </c>
      <c r="J149" s="78">
        <f t="shared" si="41"/>
        <v>4.0833434363086906E-7</v>
      </c>
      <c r="K149" s="78">
        <f t="shared" si="42"/>
        <v>3.6360661314502004E-6</v>
      </c>
      <c r="L149" s="78">
        <f t="shared" si="43"/>
        <v>4.9889828712850351E-7</v>
      </c>
      <c r="M149" s="78">
        <f t="shared" si="45"/>
        <v>1.1684051561719541E-5</v>
      </c>
    </row>
    <row r="150" spans="1:13" s="49" customFormat="1" ht="16">
      <c r="A150" s="10" t="s">
        <v>230</v>
      </c>
      <c r="B150" s="197">
        <v>6.7</v>
      </c>
      <c r="C150" s="11" t="s">
        <v>48</v>
      </c>
      <c r="D150" s="24">
        <v>0</v>
      </c>
      <c r="E150" s="12">
        <v>5.3699999999999998E-2</v>
      </c>
      <c r="F150" s="16">
        <v>0</v>
      </c>
      <c r="G150" s="16">
        <v>0.125</v>
      </c>
      <c r="H150" s="57" t="s">
        <v>128</v>
      </c>
      <c r="I150" s="78">
        <f t="shared" si="44"/>
        <v>3.9141572731760463E-4</v>
      </c>
      <c r="J150" s="78">
        <f t="shared" si="41"/>
        <v>0</v>
      </c>
      <c r="K150" s="78">
        <f t="shared" si="42"/>
        <v>2.1019024556955366E-5</v>
      </c>
      <c r="L150" s="78">
        <f t="shared" si="43"/>
        <v>0</v>
      </c>
      <c r="M150" s="78">
        <f t="shared" si="45"/>
        <v>4.8926965914700578E-5</v>
      </c>
    </row>
    <row r="151" spans="1:13" s="49" customFormat="1" ht="16">
      <c r="A151" s="10" t="s">
        <v>191</v>
      </c>
      <c r="B151" s="197">
        <v>58.63</v>
      </c>
      <c r="C151" s="11" t="s">
        <v>48</v>
      </c>
      <c r="D151" s="24">
        <v>0</v>
      </c>
      <c r="E151" s="12">
        <v>5.3699999999999998E-2</v>
      </c>
      <c r="F151" s="16">
        <v>0</v>
      </c>
      <c r="G151" s="16">
        <v>0.27079999999999999</v>
      </c>
      <c r="H151" s="57" t="s">
        <v>128</v>
      </c>
      <c r="I151" s="78">
        <f t="shared" si="44"/>
        <v>3.4251797153180834E-3</v>
      </c>
      <c r="J151" s="78">
        <f t="shared" si="41"/>
        <v>0</v>
      </c>
      <c r="K151" s="78">
        <f t="shared" si="42"/>
        <v>1.8393215071258107E-4</v>
      </c>
      <c r="L151" s="78">
        <f t="shared" si="43"/>
        <v>0</v>
      </c>
      <c r="M151" s="78">
        <f t="shared" si="45"/>
        <v>9.2753866690813689E-4</v>
      </c>
    </row>
    <row r="152" spans="1:13" s="49" customFormat="1" ht="16">
      <c r="A152" s="10" t="s">
        <v>192</v>
      </c>
      <c r="B152" s="197">
        <v>11</v>
      </c>
      <c r="C152" s="11" t="s">
        <v>44</v>
      </c>
      <c r="D152" s="24">
        <v>1.3874881337825837E-2</v>
      </c>
      <c r="E152" s="12">
        <v>7.0652173241176397E-2</v>
      </c>
      <c r="F152" s="16">
        <v>1.6952173241176406E-2</v>
      </c>
      <c r="G152" s="16">
        <v>0.35</v>
      </c>
      <c r="H152" s="57" t="s">
        <v>128</v>
      </c>
      <c r="I152" s="78">
        <f t="shared" si="44"/>
        <v>6.4262283589457472E-4</v>
      </c>
      <c r="J152" s="78">
        <f t="shared" si="41"/>
        <v>8.9163155930143502E-6</v>
      </c>
      <c r="K152" s="78">
        <f t="shared" si="42"/>
        <v>4.5402699930359565E-5</v>
      </c>
      <c r="L152" s="78">
        <f t="shared" si="43"/>
        <v>1.0893853642820907E-5</v>
      </c>
      <c r="M152" s="78">
        <f t="shared" si="45"/>
        <v>2.2491799256310114E-4</v>
      </c>
    </row>
    <row r="153" spans="1:13" s="49" customFormat="1" ht="16">
      <c r="A153" s="10" t="s">
        <v>193</v>
      </c>
      <c r="B153" s="197">
        <v>777.23</v>
      </c>
      <c r="C153" s="11" t="s">
        <v>48</v>
      </c>
      <c r="D153" s="24">
        <v>0</v>
      </c>
      <c r="E153" s="12">
        <v>5.3699999999999998E-2</v>
      </c>
      <c r="F153" s="16">
        <v>0</v>
      </c>
      <c r="G153" s="16">
        <v>0.25</v>
      </c>
      <c r="H153" s="57" t="s">
        <v>128</v>
      </c>
      <c r="I153" s="78">
        <f t="shared" si="44"/>
        <v>4.540597697657639E-2</v>
      </c>
      <c r="J153" s="78">
        <f t="shared" si="41"/>
        <v>0</v>
      </c>
      <c r="K153" s="78">
        <f t="shared" si="42"/>
        <v>2.4383009636421522E-3</v>
      </c>
      <c r="L153" s="78">
        <f t="shared" si="43"/>
        <v>0</v>
      </c>
      <c r="M153" s="78">
        <f t="shared" si="45"/>
        <v>1.1351494244144097E-2</v>
      </c>
    </row>
    <row r="154" spans="1:13" s="49" customFormat="1" ht="16">
      <c r="A154" s="10" t="s">
        <v>23</v>
      </c>
      <c r="B154" s="197">
        <v>371.08</v>
      </c>
      <c r="C154" s="11" t="s">
        <v>48</v>
      </c>
      <c r="D154" s="24">
        <v>0</v>
      </c>
      <c r="E154" s="12">
        <v>5.3699999999999998E-2</v>
      </c>
      <c r="F154" s="16">
        <v>0</v>
      </c>
      <c r="G154" s="16">
        <v>0.24</v>
      </c>
      <c r="H154" s="57" t="s">
        <v>128</v>
      </c>
      <c r="I154" s="78">
        <f t="shared" si="44"/>
        <v>2.1678589267614436E-2</v>
      </c>
      <c r="J154" s="78">
        <f t="shared" si="41"/>
        <v>0</v>
      </c>
      <c r="K154" s="78">
        <f t="shared" si="42"/>
        <v>1.1641402436708952E-3</v>
      </c>
      <c r="L154" s="78">
        <f t="shared" si="43"/>
        <v>0</v>
      </c>
      <c r="M154" s="78">
        <f t="shared" si="45"/>
        <v>5.2028614242274644E-3</v>
      </c>
    </row>
    <row r="155" spans="1:13" s="49" customFormat="1" ht="16">
      <c r="A155" s="10" t="s">
        <v>195</v>
      </c>
      <c r="B155" s="197">
        <v>204.84</v>
      </c>
      <c r="C155" s="11" t="s">
        <v>81</v>
      </c>
      <c r="D155" s="24">
        <v>2.8897309252464341E-2</v>
      </c>
      <c r="E155" s="12">
        <v>8.9006405923352364E-2</v>
      </c>
      <c r="F155" s="16">
        <v>3.5306405923352366E-2</v>
      </c>
      <c r="G155" s="16">
        <v>0.21</v>
      </c>
      <c r="H155" s="57" t="s">
        <v>128</v>
      </c>
      <c r="I155" s="78">
        <f t="shared" si="44"/>
        <v>1.1966805609513154E-2</v>
      </c>
      <c r="J155" s="78">
        <f t="shared" si="41"/>
        <v>3.4580848246222666E-4</v>
      </c>
      <c r="K155" s="78">
        <f t="shared" si="42"/>
        <v>1.0651223576861779E-3</v>
      </c>
      <c r="L155" s="78">
        <f t="shared" si="43"/>
        <v>4.2250489645532152E-4</v>
      </c>
      <c r="M155" s="78">
        <f t="shared" si="45"/>
        <v>2.5130291779977623E-3</v>
      </c>
    </row>
    <row r="156" spans="1:13" s="49" customFormat="1" ht="16">
      <c r="A156" s="10" t="s">
        <v>140</v>
      </c>
      <c r="B156" s="197">
        <v>1237.26</v>
      </c>
      <c r="C156" s="11" t="s">
        <v>84</v>
      </c>
      <c r="D156" s="24">
        <v>1.846506764507649E-2</v>
      </c>
      <c r="E156" s="12">
        <v>7.6260411005174611E-2</v>
      </c>
      <c r="F156" s="16">
        <v>2.2560411005174617E-2</v>
      </c>
      <c r="G156" s="16">
        <v>0.25</v>
      </c>
      <c r="H156" s="57" t="s">
        <v>128</v>
      </c>
      <c r="I156" s="78">
        <f t="shared" si="44"/>
        <v>7.2281048176265586E-2</v>
      </c>
      <c r="J156" s="78">
        <f t="shared" si="41"/>
        <v>1.3346744440317767E-3</v>
      </c>
      <c r="K156" s="78">
        <f t="shared" si="42"/>
        <v>5.5121824418068403E-3</v>
      </c>
      <c r="L156" s="78">
        <f t="shared" si="43"/>
        <v>1.6306901547413787E-3</v>
      </c>
      <c r="M156" s="78">
        <f t="shared" si="45"/>
        <v>1.8070262044066396E-2</v>
      </c>
    </row>
    <row r="157" spans="1:13" s="49" customFormat="1" ht="16">
      <c r="A157" s="10" t="s">
        <v>34</v>
      </c>
      <c r="B157" s="197">
        <v>514.46</v>
      </c>
      <c r="C157" s="11" t="s">
        <v>48</v>
      </c>
      <c r="D157" s="24">
        <v>0</v>
      </c>
      <c r="E157" s="12">
        <v>5.3699999999999998E-2</v>
      </c>
      <c r="F157" s="16">
        <v>0</v>
      </c>
      <c r="G157" s="16">
        <v>0.22</v>
      </c>
      <c r="H157" s="57" t="s">
        <v>128</v>
      </c>
      <c r="I157" s="78">
        <f t="shared" si="44"/>
        <v>3.0054885832211175E-2</v>
      </c>
      <c r="J157" s="78">
        <f t="shared" si="41"/>
        <v>0</v>
      </c>
      <c r="K157" s="78">
        <f t="shared" si="42"/>
        <v>1.6139473691897401E-3</v>
      </c>
      <c r="L157" s="78">
        <f t="shared" si="43"/>
        <v>0</v>
      </c>
      <c r="M157" s="78">
        <f t="shared" si="45"/>
        <v>6.6120748830864589E-3</v>
      </c>
    </row>
    <row r="158" spans="1:13" s="49" customFormat="1" ht="16">
      <c r="A158" s="10" t="s">
        <v>35</v>
      </c>
      <c r="B158" s="197">
        <v>668.85</v>
      </c>
      <c r="C158" s="11" t="s">
        <v>48</v>
      </c>
      <c r="D158" s="24">
        <v>0</v>
      </c>
      <c r="E158" s="12">
        <v>5.3699999999999998E-2</v>
      </c>
      <c r="F158" s="16">
        <v>0</v>
      </c>
      <c r="G158" s="16">
        <v>0.1777</v>
      </c>
      <c r="H158" s="57" t="s">
        <v>128</v>
      </c>
      <c r="I158" s="78">
        <f t="shared" si="44"/>
        <v>3.9074389435280577E-2</v>
      </c>
      <c r="J158" s="78">
        <f t="shared" si="41"/>
        <v>0</v>
      </c>
      <c r="K158" s="78">
        <f t="shared" si="42"/>
        <v>2.098294712674567E-3</v>
      </c>
      <c r="L158" s="78">
        <f t="shared" si="43"/>
        <v>0</v>
      </c>
      <c r="M158" s="78">
        <f t="shared" si="45"/>
        <v>6.9435190026493586E-3</v>
      </c>
    </row>
    <row r="159" spans="1:13" s="49" customFormat="1" ht="16">
      <c r="A159" s="10" t="s">
        <v>67</v>
      </c>
      <c r="B159" s="197">
        <v>863.71</v>
      </c>
      <c r="C159" s="11" t="s">
        <v>82</v>
      </c>
      <c r="D159" s="24">
        <v>3.4739364552601529E-2</v>
      </c>
      <c r="E159" s="12">
        <v>9.6144163077531902E-2</v>
      </c>
      <c r="F159" s="16">
        <v>4.2444163077531898E-2</v>
      </c>
      <c r="G159" s="16">
        <v>0.2</v>
      </c>
      <c r="H159" s="57" t="s">
        <v>128</v>
      </c>
      <c r="I159" s="78">
        <f t="shared" si="44"/>
        <v>5.0458160871863923E-2</v>
      </c>
      <c r="J159" s="78">
        <f t="shared" si="41"/>
        <v>1.7528844451814951E-3</v>
      </c>
      <c r="K159" s="78">
        <f t="shared" si="42"/>
        <v>4.8512576474568246E-3</v>
      </c>
      <c r="L159" s="78">
        <f t="shared" si="43"/>
        <v>2.1416544086377315E-3</v>
      </c>
      <c r="M159" s="78">
        <f t="shared" si="45"/>
        <v>1.0091632174372785E-2</v>
      </c>
    </row>
    <row r="160" spans="1:13" s="49" customFormat="1" ht="16">
      <c r="A160" s="10" t="s">
        <v>58</v>
      </c>
      <c r="B160" s="197">
        <v>2647.9</v>
      </c>
      <c r="C160" s="11" t="s">
        <v>46</v>
      </c>
      <c r="D160" s="24">
        <v>5.7377328840633162E-3</v>
      </c>
      <c r="E160" s="12">
        <v>6.0710297204997758E-2</v>
      </c>
      <c r="F160" s="16">
        <v>7.0102972049977622E-3</v>
      </c>
      <c r="G160" s="16">
        <v>0.2</v>
      </c>
      <c r="H160" s="57" t="s">
        <v>128</v>
      </c>
      <c r="I160" s="78">
        <f t="shared" si="44"/>
        <v>0.15469100065138586</v>
      </c>
      <c r="J160" s="78">
        <f t="shared" si="41"/>
        <v>8.8757564130611654E-4</v>
      </c>
      <c r="K160" s="78">
        <f t="shared" si="42"/>
        <v>9.3913366244841364E-3</v>
      </c>
      <c r="L160" s="78">
        <f t="shared" si="43"/>
        <v>1.0844298895047173E-3</v>
      </c>
      <c r="M160" s="78">
        <f t="shared" si="45"/>
        <v>3.0938200130277173E-2</v>
      </c>
    </row>
    <row r="161" spans="1:11" s="37" customFormat="1" ht="16">
      <c r="A161" s="76" t="s">
        <v>128</v>
      </c>
      <c r="B161" s="69">
        <f>SUM(B135:B160)</f>
        <v>17117.350000000002</v>
      </c>
      <c r="C161" s="69"/>
      <c r="D161" s="80">
        <f>SUM(J135:J160)</f>
        <v>8.999695271948497E-3</v>
      </c>
      <c r="E161" s="80">
        <f>SUM(K135:K160)</f>
        <v>6.4695725992405015E-2</v>
      </c>
      <c r="F161" s="80">
        <f>SUM(L135:L160)</f>
        <v>1.0995725992405034E-2</v>
      </c>
      <c r="G161" s="71">
        <f>SUM(M135:M160)</f>
        <v>0.25513332425871998</v>
      </c>
      <c r="H161" s="76"/>
      <c r="I161" s="79">
        <f>SUM(I135:I160)</f>
        <v>0.99999999999999989</v>
      </c>
    </row>
    <row r="164" spans="1:11">
      <c r="A164" s="83" t="s">
        <v>53</v>
      </c>
      <c r="B164" s="20" t="s">
        <v>286</v>
      </c>
      <c r="C164" s="20" t="s">
        <v>287</v>
      </c>
      <c r="D164" s="20" t="s">
        <v>290</v>
      </c>
      <c r="E164" s="20" t="s">
        <v>367</v>
      </c>
      <c r="F164" s="218" t="s">
        <v>309</v>
      </c>
      <c r="G164" s="218" t="s">
        <v>284</v>
      </c>
      <c r="H164" s="32" t="s">
        <v>310</v>
      </c>
      <c r="I164" s="32" t="s">
        <v>307</v>
      </c>
      <c r="J164" s="32" t="s">
        <v>311</v>
      </c>
      <c r="K164" s="32" t="s">
        <v>370</v>
      </c>
    </row>
    <row r="165" spans="1:11">
      <c r="A165" s="17" t="str">
        <f>A27</f>
        <v>Africa</v>
      </c>
      <c r="B165" s="84">
        <f>E27</f>
        <v>0.1238660039301739</v>
      </c>
      <c r="C165" s="84">
        <f>F27</f>
        <v>7.0166003930173887E-2</v>
      </c>
      <c r="D165" s="84">
        <f>D27</f>
        <v>5.7428918677864128E-2</v>
      </c>
      <c r="E165" s="84">
        <f>G27</f>
        <v>0.27768391036961737</v>
      </c>
      <c r="F165" s="218">
        <f>B27</f>
        <v>1761.01</v>
      </c>
      <c r="G165" s="219">
        <f>F165/$F$174</f>
        <v>2.3454043055838023E-2</v>
      </c>
      <c r="H165" s="58">
        <f t="shared" ref="H165:H173" si="46">G165*B165</f>
        <v>2.9051585893329003E-3</v>
      </c>
      <c r="I165" s="58">
        <f t="shared" ref="I165:I173" si="47">G165*C165</f>
        <v>1.6456764772343983E-3</v>
      </c>
      <c r="J165" s="58">
        <f t="shared" ref="J165:J173" si="48">G165*D165</f>
        <v>1.3469403313208456E-3</v>
      </c>
      <c r="K165" s="58">
        <f>G165*E165</f>
        <v>6.5128103897224721E-3</v>
      </c>
    </row>
    <row r="166" spans="1:11">
      <c r="A166" s="17" t="str">
        <f>A51</f>
        <v>Asia</v>
      </c>
      <c r="B166" s="84">
        <f>E51</f>
        <v>6.8114223430603554E-2</v>
      </c>
      <c r="C166" s="84">
        <f>F51</f>
        <v>1.4414223430603548E-2</v>
      </c>
      <c r="D166" s="84">
        <f>D51</f>
        <v>1.1797640150983633E-2</v>
      </c>
      <c r="E166" s="84">
        <f>G51</f>
        <v>0.25930615864946255</v>
      </c>
      <c r="F166" s="218">
        <f>B51</f>
        <v>24249.31</v>
      </c>
      <c r="G166" s="219">
        <f t="shared" ref="G166:G173" si="49">F166/$F$174</f>
        <v>0.32296486721504336</v>
      </c>
      <c r="H166" s="58">
        <f t="shared" si="46"/>
        <v>2.1998501125720674E-2</v>
      </c>
      <c r="I166" s="58">
        <f t="shared" si="47"/>
        <v>4.6552877562728414E-3</v>
      </c>
      <c r="J166" s="58">
        <f t="shared" si="48"/>
        <v>3.8102232848132933E-3</v>
      </c>
      <c r="K166" s="58">
        <f t="shared" ref="K166:K173" si="50">G166*E166</f>
        <v>8.3746779096266641E-2</v>
      </c>
    </row>
    <row r="167" spans="1:11">
      <c r="A167" s="17" t="str">
        <f>A55</f>
        <v>Australia &amp; New Zealand</v>
      </c>
      <c r="B167" s="84">
        <f>E55</f>
        <v>5.3754877456388121E-2</v>
      </c>
      <c r="C167" s="84">
        <f>F55</f>
        <v>5.4877456388130741E-5</v>
      </c>
      <c r="D167" s="84">
        <f>D55</f>
        <v>4.4915668609235352E-5</v>
      </c>
      <c r="E167" s="84">
        <f>G55</f>
        <v>0.29708122721618646</v>
      </c>
      <c r="F167" s="218">
        <f>B55</f>
        <v>1390.79</v>
      </c>
      <c r="G167" s="219">
        <f t="shared" si="49"/>
        <v>1.8523261390695659E-2</v>
      </c>
      <c r="H167" s="58">
        <f t="shared" si="46"/>
        <v>9.9571564614949057E-4</v>
      </c>
      <c r="I167" s="58">
        <f t="shared" si="47"/>
        <v>1.0165094691338469E-6</v>
      </c>
      <c r="J167" s="58">
        <f t="shared" si="48"/>
        <v>8.3198467018673023E-7</v>
      </c>
      <c r="K167" s="58">
        <f t="shared" si="50"/>
        <v>5.5029132259940714E-3</v>
      </c>
    </row>
    <row r="168" spans="1:11">
      <c r="A168" s="17" t="str">
        <f>A70</f>
        <v>Caribbean</v>
      </c>
      <c r="B168" s="84">
        <f>E70</f>
        <v>0.13146271028240988</v>
      </c>
      <c r="C168" s="84">
        <f>F70</f>
        <v>7.7762710282409886E-2</v>
      </c>
      <c r="D168" s="84">
        <f>D70</f>
        <v>6.3646611105614911E-2</v>
      </c>
      <c r="E168" s="84">
        <f>G70</f>
        <v>0.2441596938540273</v>
      </c>
      <c r="F168" s="218">
        <f>B70</f>
        <v>216.89000000000004</v>
      </c>
      <c r="G168" s="219">
        <f t="shared" si="49"/>
        <v>2.8886533287038173E-3</v>
      </c>
      <c r="H168" s="58">
        <f t="shared" si="46"/>
        <v>3.7975019565770888E-4</v>
      </c>
      <c r="I168" s="58">
        <f t="shared" si="47"/>
        <v>2.2462951190631387E-4</v>
      </c>
      <c r="J168" s="58">
        <f t="shared" si="48"/>
        <v>1.8385299503095187E-4</v>
      </c>
      <c r="K168" s="58">
        <f t="shared" si="50"/>
        <v>7.052927123867409E-4</v>
      </c>
    </row>
    <row r="169" spans="1:11">
      <c r="A169" s="17" t="str">
        <f>A90</f>
        <v>Central and South America</v>
      </c>
      <c r="B169" s="84">
        <f>E90</f>
        <v>0.10130835107918995</v>
      </c>
      <c r="C169" s="84">
        <f>F90</f>
        <v>4.7608351079189981E-2</v>
      </c>
      <c r="D169" s="84">
        <f>D90</f>
        <v>3.8967040909164252E-2</v>
      </c>
      <c r="E169" s="84">
        <f>G90</f>
        <v>0.31733228517314555</v>
      </c>
      <c r="F169" s="218">
        <f>B90</f>
        <v>4820.51</v>
      </c>
      <c r="G169" s="219">
        <f t="shared" si="49"/>
        <v>6.4202048308128715E-2</v>
      </c>
      <c r="H169" s="58">
        <f t="shared" si="46"/>
        <v>6.5042036500030168E-3</v>
      </c>
      <c r="I169" s="58">
        <f t="shared" si="47"/>
        <v>3.0565536558565072E-3</v>
      </c>
      <c r="J169" s="58">
        <f t="shared" si="48"/>
        <v>2.5017638428749913E-3</v>
      </c>
      <c r="K169" s="58">
        <f t="shared" si="50"/>
        <v>2.0373382702415167E-2</v>
      </c>
    </row>
    <row r="170" spans="1:11">
      <c r="A170" s="17" t="str">
        <f>A117</f>
        <v>Eastern Europe &amp; Russia</v>
      </c>
      <c r="B170" s="84">
        <f>E117</f>
        <v>8.6469520178101472E-2</v>
      </c>
      <c r="C170" s="84">
        <f>F117</f>
        <v>3.2769520178101481E-2</v>
      </c>
      <c r="D170" s="84">
        <f>D117</f>
        <v>2.6820938973432476E-2</v>
      </c>
      <c r="E170" s="84">
        <f>G117</f>
        <v>0.18421704232443803</v>
      </c>
      <c r="F170" s="218">
        <f>B117</f>
        <v>3038.67</v>
      </c>
      <c r="G170" s="219">
        <f t="shared" si="49"/>
        <v>4.0470580526222634E-2</v>
      </c>
      <c r="H170" s="58">
        <f t="shared" si="46"/>
        <v>3.4994716794316885E-3</v>
      </c>
      <c r="I170" s="58">
        <f t="shared" si="47"/>
        <v>1.3262015051735334E-3</v>
      </c>
      <c r="J170" s="58">
        <f t="shared" si="48"/>
        <v>1.085458970513202E-3</v>
      </c>
      <c r="K170" s="58">
        <f t="shared" si="50"/>
        <v>7.4553706456937322E-3</v>
      </c>
    </row>
    <row r="171" spans="1:11">
      <c r="A171" s="17" t="str">
        <f>A131</f>
        <v>Middle East</v>
      </c>
      <c r="B171" s="84">
        <f>E131</f>
        <v>7.3522870846684157E-2</v>
      </c>
      <c r="C171" s="84">
        <f>F131</f>
        <v>1.9822870846684146E-2</v>
      </c>
      <c r="D171" s="84">
        <f>D131</f>
        <v>1.6224467321082139E-2</v>
      </c>
      <c r="E171" s="84">
        <f>G131</f>
        <v>0.20562591555087256</v>
      </c>
      <c r="F171" s="218">
        <f>B131</f>
        <v>2334.66</v>
      </c>
      <c r="G171" s="219">
        <f t="shared" si="49"/>
        <v>3.1094210799906187E-2</v>
      </c>
      <c r="H171" s="58">
        <f t="shared" si="46"/>
        <v>2.2861356447210742E-3</v>
      </c>
      <c r="I171" s="58">
        <f t="shared" si="47"/>
        <v>6.1637652476611172E-4</v>
      </c>
      <c r="J171" s="58">
        <f t="shared" si="48"/>
        <v>5.044870069979173E-4</v>
      </c>
      <c r="K171" s="58">
        <f t="shared" si="50"/>
        <v>6.3937755640625388E-3</v>
      </c>
    </row>
    <row r="172" spans="1:11">
      <c r="A172" s="17" t="str">
        <f>A134</f>
        <v>North America</v>
      </c>
      <c r="B172" s="84">
        <f>E134</f>
        <v>5.3699999999999998E-2</v>
      </c>
      <c r="C172" s="84">
        <f>F134</f>
        <v>0</v>
      </c>
      <c r="D172" s="84">
        <f>D134</f>
        <v>0</v>
      </c>
      <c r="E172" s="84">
        <f>G134</f>
        <v>0.21417464513670575</v>
      </c>
      <c r="F172" s="218">
        <f>B134</f>
        <v>20154.239999999998</v>
      </c>
      <c r="G172" s="219">
        <f t="shared" si="49"/>
        <v>0.26842460446998756</v>
      </c>
      <c r="H172" s="58">
        <f t="shared" si="46"/>
        <v>1.4414401260038331E-2</v>
      </c>
      <c r="I172" s="58">
        <f t="shared" si="47"/>
        <v>0</v>
      </c>
      <c r="J172" s="58">
        <f t="shared" si="48"/>
        <v>0</v>
      </c>
      <c r="K172" s="58">
        <f t="shared" si="50"/>
        <v>5.7489744408320186E-2</v>
      </c>
    </row>
    <row r="173" spans="1:11">
      <c r="A173" s="17" t="str">
        <f>A161</f>
        <v>Western Europe</v>
      </c>
      <c r="B173" s="84">
        <f>E161</f>
        <v>6.4695725992405015E-2</v>
      </c>
      <c r="C173" s="84">
        <f>F161</f>
        <v>1.0995725992405034E-2</v>
      </c>
      <c r="D173" s="84">
        <f>D161</f>
        <v>8.999695271948497E-3</v>
      </c>
      <c r="E173" s="84">
        <f>G161</f>
        <v>0.25513332425871998</v>
      </c>
      <c r="F173" s="218">
        <f>B161</f>
        <v>17117.350000000002</v>
      </c>
      <c r="G173" s="219">
        <f t="shared" si="49"/>
        <v>0.22797773090547413</v>
      </c>
      <c r="H173" s="58">
        <f t="shared" si="46"/>
        <v>1.4749184811030798E-2</v>
      </c>
      <c r="I173" s="58">
        <f t="shared" si="47"/>
        <v>2.5067806614068426E-3</v>
      </c>
      <c r="J173" s="58">
        <f t="shared" si="48"/>
        <v>2.0517301069395422E-3</v>
      </c>
      <c r="K173" s="58">
        <f t="shared" si="50"/>
        <v>5.816471634287354E-2</v>
      </c>
    </row>
    <row r="174" spans="1:11">
      <c r="A174" s="17" t="s">
        <v>291</v>
      </c>
      <c r="B174" s="84">
        <f>SUM(H165:H173)</f>
        <v>6.773252260208569E-2</v>
      </c>
      <c r="C174" s="84">
        <f>SUM(I165:I173)</f>
        <v>1.4032522602085682E-2</v>
      </c>
      <c r="D174" s="84">
        <f>SUM(J165:J173)</f>
        <v>1.1485288523160931E-2</v>
      </c>
      <c r="E174" s="84">
        <f>SUM(K165:K173)</f>
        <v>0.24634478508773511</v>
      </c>
      <c r="F174" s="32">
        <f>SUM(F165:F173)</f>
        <v>75083.429999999993</v>
      </c>
      <c r="H174" s="38"/>
    </row>
    <row r="175" spans="1:11">
      <c r="A175" s="22"/>
      <c r="B175" s="82"/>
      <c r="C175" s="82"/>
    </row>
    <row r="176" spans="1:11">
      <c r="A176" s="223" t="s">
        <v>319</v>
      </c>
      <c r="B176" s="223"/>
      <c r="C176" s="223"/>
    </row>
    <row r="177" spans="1:4">
      <c r="A177" s="20"/>
      <c r="B177" s="20" t="s">
        <v>322</v>
      </c>
      <c r="C177" s="20" t="s">
        <v>323</v>
      </c>
      <c r="D177" s="5" t="s">
        <v>324</v>
      </c>
    </row>
    <row r="178" spans="1:4">
      <c r="A178" s="17" t="s">
        <v>315</v>
      </c>
      <c r="B178" s="91">
        <f>(B165*F165+B171*F170)/(F165+F170)</f>
        <v>9.1993844076432019E-2</v>
      </c>
      <c r="C178" s="91">
        <f>(D165*F165+D171*F170)/(F165+F170)</f>
        <v>3.1342444120328473E-2</v>
      </c>
      <c r="D178" s="84">
        <f>(E165*F165+E171*F170)/(F165+F170)</f>
        <v>0.23206410506678982</v>
      </c>
    </row>
    <row r="179" spans="1:4">
      <c r="A179" s="17" t="s">
        <v>321</v>
      </c>
      <c r="B179" s="91">
        <f>(B167*F167+E132*B132)/(F167+B132)</f>
        <v>5.3726133097385775E-2</v>
      </c>
      <c r="C179" s="91">
        <f>(D167*F167+D132*B132)/(F167+B132)</f>
        <v>2.1389211876200864E-5</v>
      </c>
      <c r="D179" s="84">
        <f>(E167*F167+G132*B132)/(F167+B132)</f>
        <v>0.28027734502062968</v>
      </c>
    </row>
    <row r="180" spans="1:4">
      <c r="A180" s="17" t="s">
        <v>316</v>
      </c>
      <c r="B180" s="91">
        <f>B169*(F169/(F169+F168))+B168*F168/(F168+F169)</f>
        <v>0.10260667540673717</v>
      </c>
      <c r="C180" s="91">
        <f>(B180-0.0575)/1.5</f>
        <v>3.0071116937824775E-2</v>
      </c>
      <c r="D180" s="84">
        <v>0.27150000000000002</v>
      </c>
    </row>
    <row r="181" spans="1:4">
      <c r="A181" s="17" t="s">
        <v>118</v>
      </c>
      <c r="B181" s="84">
        <f>E35</f>
        <v>6.3641876036178643E-2</v>
      </c>
      <c r="C181" s="84">
        <f>D35</f>
        <v>8.1371484537625226E-3</v>
      </c>
      <c r="D181" s="84">
        <v>0.35639999999999999</v>
      </c>
    </row>
    <row r="182" spans="1:4">
      <c r="A182" s="17" t="s">
        <v>199</v>
      </c>
      <c r="B182" s="84">
        <f>E133</f>
        <v>5.3699999999999998E-2</v>
      </c>
      <c r="C182" s="84">
        <f>F133</f>
        <v>0</v>
      </c>
      <c r="D182" s="101">
        <v>0.4</v>
      </c>
    </row>
    <row r="183" spans="1:4">
      <c r="A183" s="17" t="s">
        <v>317</v>
      </c>
      <c r="B183" s="84">
        <f>E161</f>
        <v>6.4695725992405015E-2</v>
      </c>
      <c r="C183" s="84">
        <f>D161</f>
        <v>8.999695271948497E-3</v>
      </c>
      <c r="D183" s="101">
        <v>0.3</v>
      </c>
    </row>
    <row r="184" spans="1:4">
      <c r="A184" s="17" t="s">
        <v>318</v>
      </c>
      <c r="B184" s="91">
        <f>(B165*F165+B166*F166+B168*F168+B169*F169+B170*F170+B171*F171-B181*B35)/(F165+F166+F168+F169+F170+F171-B35)</f>
        <v>7.9626886338491867E-2</v>
      </c>
      <c r="C184" s="91">
        <f>(B184-5.75%)/1.5</f>
        <v>1.4751257558994577E-2</v>
      </c>
      <c r="D184" s="101">
        <v>0.25</v>
      </c>
    </row>
    <row r="185" spans="1:4">
      <c r="A185" s="17" t="s">
        <v>320</v>
      </c>
      <c r="B185" s="91">
        <f>(B166*F166-B30*E30-B33*E33-B35*E35)/(F166-(B30+B33+B35))</f>
        <v>7.562830453147032E-2</v>
      </c>
      <c r="C185" s="91">
        <f>(B185-5.75%)/1.5</f>
        <v>1.2085536354313545E-2</v>
      </c>
      <c r="D185" s="101">
        <v>0.2</v>
      </c>
    </row>
    <row r="186" spans="1:4">
      <c r="A186" s="17" t="s">
        <v>113</v>
      </c>
      <c r="B186" s="91">
        <v>9.0499999999999997E-2</v>
      </c>
      <c r="C186" s="91">
        <v>2.1999999999999999E-2</v>
      </c>
      <c r="D186" s="101">
        <v>0.34</v>
      </c>
    </row>
    <row r="187" spans="1:4">
      <c r="A187" s="17" t="s">
        <v>99</v>
      </c>
      <c r="B187" s="84">
        <f>E30</f>
        <v>6.3641876036178643E-2</v>
      </c>
      <c r="C187" s="84">
        <v>6.0000000000000001E-3</v>
      </c>
      <c r="D187" s="101">
        <v>0.25</v>
      </c>
    </row>
    <row r="188" spans="1:4">
      <c r="A188" s="17" t="s">
        <v>291</v>
      </c>
      <c r="B188" s="84">
        <f>B174</f>
        <v>6.773252260208569E-2</v>
      </c>
      <c r="C188" s="84">
        <f>D174</f>
        <v>1.1485288523160931E-2</v>
      </c>
      <c r="D188" s="101">
        <v>0.3</v>
      </c>
    </row>
  </sheetData>
  <mergeCells count="1">
    <mergeCell ref="A176:C176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2"/>
  <sheetViews>
    <sheetView topLeftCell="A136" zoomScaleNormal="100" workbookViewId="0">
      <selection sqref="A1:F1048576"/>
    </sheetView>
  </sheetViews>
  <sheetFormatPr baseColWidth="10" defaultRowHeight="12"/>
  <cols>
    <col min="1" max="1" width="23.33203125" style="66" bestFit="1" customWidth="1"/>
    <col min="2" max="2" width="23.33203125" style="198" customWidth="1"/>
    <col min="3" max="3" width="16.33203125" style="28" bestFit="1" customWidth="1"/>
    <col min="4" max="4" width="17.5" bestFit="1" customWidth="1"/>
    <col min="5" max="5" width="17.33203125" bestFit="1" customWidth="1"/>
    <col min="6" max="6" width="20.1640625" bestFit="1" customWidth="1"/>
    <col min="7" max="7" width="20.1640625" customWidth="1"/>
    <col min="8" max="8" width="20.83203125" style="3" bestFit="1" customWidth="1"/>
  </cols>
  <sheetData>
    <row r="1" spans="1:8" s="1" customFormat="1" ht="16">
      <c r="A1" s="65" t="str">
        <f>'Sovereign Ratings (Moody''s,S&amp;P)'!A1</f>
        <v>Country</v>
      </c>
      <c r="B1" s="197" t="str">
        <f>'Country GDP'!B1</f>
        <v>GDP (in billions)</v>
      </c>
      <c r="C1" s="11" t="str">
        <f>'Sovereign Ratings (Moody''s,S&amp;P)'!C1</f>
        <v>Moody's rating</v>
      </c>
      <c r="D1" s="65" t="s">
        <v>36</v>
      </c>
      <c r="E1" s="65" t="s">
        <v>571</v>
      </c>
      <c r="F1" s="67" t="s">
        <v>38</v>
      </c>
      <c r="G1" s="67" t="s">
        <v>368</v>
      </c>
      <c r="H1" s="68" t="s">
        <v>53</v>
      </c>
    </row>
    <row r="2" spans="1:8" ht="16">
      <c r="A2" s="10" t="str">
        <f>'Sovereign Ratings (Moody''s,S&amp;P)'!A2</f>
        <v>Abu Dhabi</v>
      </c>
      <c r="B2" s="197">
        <f>'Country GDP'!B2</f>
        <v>390</v>
      </c>
      <c r="C2" s="11" t="str">
        <f>'Sovereign Ratings (Moody''s,S&amp;P)'!C2</f>
        <v>Aa2</v>
      </c>
      <c r="D2" s="24">
        <f>'ERPs by country'!D8</f>
        <v>5.7377328840633162E-3</v>
      </c>
      <c r="E2" s="12">
        <f>'ERPs by country'!E8</f>
        <v>6.0710297204997758E-2</v>
      </c>
      <c r="F2" s="16">
        <f>'ERPs by country'!F8</f>
        <v>7.0102972049977622E-3</v>
      </c>
      <c r="G2" s="16">
        <f>'Country Tax Rates'!B2</f>
        <v>0</v>
      </c>
      <c r="H2" s="17" t="str">
        <f>VLOOKUP(A2,'Regional lookup table'!$A$2:$B$156,2)</f>
        <v>Middle East</v>
      </c>
    </row>
    <row r="3" spans="1:8" ht="16">
      <c r="A3" s="10" t="str">
        <f>'Sovereign Ratings (Moody''s,S&amp;P)'!A3</f>
        <v>Albania</v>
      </c>
      <c r="B3" s="197">
        <f>'Country GDP'!B3</f>
        <v>11.86</v>
      </c>
      <c r="C3" s="11" t="str">
        <f>'Sovereign Ratings (Moody''s,S&amp;P)'!C3</f>
        <v>B1</v>
      </c>
      <c r="D3" s="24">
        <f>'ERPs by country'!D9</f>
        <v>5.2056885620865363E-2</v>
      </c>
      <c r="E3" s="12">
        <f>'ERPs by country'!E9</f>
        <v>0.11730251464170696</v>
      </c>
      <c r="F3" s="16">
        <f>'ERPs by country'!F9</f>
        <v>6.3602514641706964E-2</v>
      </c>
      <c r="G3" s="16">
        <f>'Country Tax Rates'!B3</f>
        <v>0.15</v>
      </c>
      <c r="H3" s="17" t="str">
        <f>VLOOKUP(A3,'Regional lookup table'!$A$2:$B$156,2)</f>
        <v>Eastern Europe &amp; Russia</v>
      </c>
    </row>
    <row r="4" spans="1:8" ht="16">
      <c r="A4" s="10" t="str">
        <f>'Sovereign Ratings (Moody''s,S&amp;P)'!A4</f>
        <v>Andorra (Principality of)</v>
      </c>
      <c r="B4" s="197">
        <f>'Country GDP'!B4</f>
        <v>2.86</v>
      </c>
      <c r="C4" s="11" t="str">
        <f>'Sovereign Ratings (Moody''s,S&amp;P)'!C4</f>
        <v>Baa2</v>
      </c>
      <c r="D4" s="24">
        <f>'ERPs by country'!D10</f>
        <v>2.201202979158836E-2</v>
      </c>
      <c r="E4" s="12">
        <f>'ERPs by country'!E10</f>
        <v>8.0594049277355057E-2</v>
      </c>
      <c r="F4" s="16">
        <f>'ERPs by country'!F10</f>
        <v>2.6894049277355052E-2</v>
      </c>
      <c r="G4" s="16">
        <f>'Country Tax Rates'!B4</f>
        <v>0</v>
      </c>
      <c r="H4" s="17" t="str">
        <f>VLOOKUP(A4,'Regional lookup table'!$A$2:$B$156,2)</f>
        <v>Western Europe</v>
      </c>
    </row>
    <row r="5" spans="1:8" ht="16">
      <c r="A5" s="10" t="str">
        <f>'Sovereign Ratings (Moody''s,S&amp;P)'!A5</f>
        <v>Angola</v>
      </c>
      <c r="B5" s="197">
        <f>'Country GDP'!B5</f>
        <v>102.6</v>
      </c>
      <c r="C5" s="11" t="str">
        <f>'Sovereign Ratings (Moody''s,S&amp;P)'!C5</f>
        <v>B3</v>
      </c>
      <c r="D5" s="24">
        <f>'ERPs by country'!D11</f>
        <v>7.5216461989266389E-2</v>
      </c>
      <c r="E5" s="12">
        <f>'ERPs by country'!E11</f>
        <v>0.14559862336006157</v>
      </c>
      <c r="F5" s="16">
        <f>'ERPs by country'!F11</f>
        <v>9.1898623360061577E-2</v>
      </c>
      <c r="G5" s="16">
        <f>'Country Tax Rates'!B5</f>
        <v>0.3</v>
      </c>
      <c r="H5" s="17" t="str">
        <f>VLOOKUP(A5,'Regional lookup table'!$A$2:$B$156,2)</f>
        <v>Africa</v>
      </c>
    </row>
    <row r="6" spans="1:8" ht="16">
      <c r="A6" s="10" t="str">
        <f>'Sovereign Ratings (Moody''s,S&amp;P)'!A6</f>
        <v>Argentina</v>
      </c>
      <c r="B6" s="197">
        <f>'Country GDP'!B6</f>
        <v>545.48</v>
      </c>
      <c r="C6" s="11" t="str">
        <f>'Sovereign Ratings (Moody''s,S&amp;P)'!C6</f>
        <v>B2</v>
      </c>
      <c r="D6" s="24">
        <f>'ERPs by country'!D12</f>
        <v>6.3636673805065866E-2</v>
      </c>
      <c r="E6" s="12">
        <f>'ERPs by country'!E12</f>
        <v>0.13145056900088425</v>
      </c>
      <c r="F6" s="16">
        <f>'ERPs by country'!F12</f>
        <v>7.7750569000884256E-2</v>
      </c>
      <c r="G6" s="16">
        <f>'Country Tax Rates'!B6</f>
        <v>0.35</v>
      </c>
      <c r="H6" s="17" t="str">
        <f>VLOOKUP(A6,'Regional lookup table'!$A$2:$B$156,2)</f>
        <v>Central and South America</v>
      </c>
    </row>
    <row r="7" spans="1:8" ht="16">
      <c r="A7" s="10" t="str">
        <f>'Sovereign Ratings (Moody''s,S&amp;P)'!A7</f>
        <v>Armenia</v>
      </c>
      <c r="B7" s="197">
        <f>'Country GDP'!B7</f>
        <v>10.57</v>
      </c>
      <c r="C7" s="11" t="str">
        <f>'Sovereign Ratings (Moody''s,S&amp;P)'!C7</f>
        <v>B1</v>
      </c>
      <c r="D7" s="24">
        <f>'ERPs by country'!D13</f>
        <v>5.2056885620865363E-2</v>
      </c>
      <c r="E7" s="12">
        <f>'ERPs by country'!E13</f>
        <v>0.11730251464170696</v>
      </c>
      <c r="F7" s="16">
        <f>'ERPs by country'!F13</f>
        <v>6.3602514641706964E-2</v>
      </c>
      <c r="G7" s="16">
        <f>'Country Tax Rates'!B7</f>
        <v>0.2</v>
      </c>
      <c r="H7" s="17" t="str">
        <f>VLOOKUP(A7,'Regional lookup table'!$A$2:$B$156,2)</f>
        <v>Eastern Europe &amp; Russia</v>
      </c>
    </row>
    <row r="8" spans="1:8" ht="16">
      <c r="A8" s="10" t="str">
        <f>'Sovereign Ratings (Moody''s,S&amp;P)'!A8</f>
        <v>Aruba</v>
      </c>
      <c r="B8" s="197">
        <f>'Country GDP'!B8</f>
        <v>2.6</v>
      </c>
      <c r="C8" s="11" t="str">
        <f>'Sovereign Ratings (Moody''s,S&amp;P)'!C8</f>
        <v>Baa1</v>
      </c>
      <c r="D8" s="24">
        <f>'ERPs by country'!D14</f>
        <v>1.846506764507649E-2</v>
      </c>
      <c r="E8" s="12">
        <f>'ERPs by country'!E14</f>
        <v>7.6260411005174611E-2</v>
      </c>
      <c r="F8" s="16">
        <f>'ERPs by country'!F14</f>
        <v>2.2560411005174617E-2</v>
      </c>
      <c r="G8" s="16">
        <f>'Country Tax Rates'!B8</f>
        <v>0</v>
      </c>
      <c r="H8" s="17" t="str">
        <f>VLOOKUP(A8,'Regional lookup table'!$A$2:$B$156,2)</f>
        <v>Caribbean</v>
      </c>
    </row>
    <row r="9" spans="1:8" ht="16">
      <c r="A9" s="10" t="str">
        <f>'Sovereign Ratings (Moody''s,S&amp;P)'!A9</f>
        <v>Australia</v>
      </c>
      <c r="B9" s="197">
        <f>'Country GDP'!B9</f>
        <v>1204.6199999999999</v>
      </c>
      <c r="C9" s="11" t="str">
        <f>'Sovereign Ratings (Moody''s,S&amp;P)'!C9</f>
        <v>Aaa</v>
      </c>
      <c r="D9" s="24">
        <f>'ERPs by country'!D15</f>
        <v>0</v>
      </c>
      <c r="E9" s="12">
        <f>'ERPs by country'!E15</f>
        <v>5.3699999999999998E-2</v>
      </c>
      <c r="F9" s="16">
        <f>'ERPs by country'!F15</f>
        <v>0</v>
      </c>
      <c r="G9" s="16">
        <f>'Country Tax Rates'!B9</f>
        <v>0.3</v>
      </c>
      <c r="H9" s="17" t="str">
        <f>VLOOKUP(A9,'Regional lookup table'!$A$2:$B$156,2)</f>
        <v>Australia &amp; New Zealand</v>
      </c>
    </row>
    <row r="10" spans="1:8" ht="16">
      <c r="A10" s="10" t="str">
        <f>'Sovereign Ratings (Moody''s,S&amp;P)'!A10</f>
        <v>Austria</v>
      </c>
      <c r="B10" s="197">
        <f>'Country GDP'!B10</f>
        <v>390.8</v>
      </c>
      <c r="C10" s="11" t="str">
        <f>'Sovereign Ratings (Moody''s,S&amp;P)'!C10</f>
        <v>Aa1</v>
      </c>
      <c r="D10" s="24">
        <f>'ERPs by country'!D16</f>
        <v>4.5901863072506524E-3</v>
      </c>
      <c r="E10" s="12">
        <f>'ERPs by country'!E16</f>
        <v>5.9308237763998205E-2</v>
      </c>
      <c r="F10" s="16">
        <f>'ERPs by country'!F16</f>
        <v>5.6082377639982087E-3</v>
      </c>
      <c r="G10" s="16">
        <f>'Country Tax Rates'!B10</f>
        <v>0.25</v>
      </c>
      <c r="H10" s="17" t="str">
        <f>VLOOKUP(A10,'Regional lookup table'!$A$2:$B$156,2)</f>
        <v>Western Europe</v>
      </c>
    </row>
    <row r="11" spans="1:8" ht="16">
      <c r="A11" s="10" t="str">
        <f>'Sovereign Ratings (Moody''s,S&amp;P)'!A11</f>
        <v>Azerbaijan</v>
      </c>
      <c r="B11" s="197">
        <f>'Country GDP'!B11</f>
        <v>37.85</v>
      </c>
      <c r="C11" s="11" t="str">
        <f>'Sovereign Ratings (Moody''s,S&amp;P)'!C11</f>
        <v>Ba2</v>
      </c>
      <c r="D11" s="24">
        <f>'ERPs by country'!D17</f>
        <v>3.4739364552601529E-2</v>
      </c>
      <c r="E11" s="12">
        <f>'ERPs by country'!E17</f>
        <v>9.6144163077531902E-2</v>
      </c>
      <c r="F11" s="16">
        <f>'ERPs by country'!F17</f>
        <v>4.2444163077531898E-2</v>
      </c>
      <c r="G11" s="16">
        <f>'Country Tax Rates'!B11</f>
        <v>0.2</v>
      </c>
      <c r="H11" s="17" t="str">
        <f>VLOOKUP(A11,'Regional lookup table'!$A$2:$B$156,2)</f>
        <v>Eastern Europe &amp; Russia</v>
      </c>
    </row>
    <row r="12" spans="1:8" ht="16">
      <c r="A12" s="10" t="str">
        <f>'Sovereign Ratings (Moody''s,S&amp;P)'!A12</f>
        <v>Bahamas</v>
      </c>
      <c r="B12" s="197">
        <f>'Country GDP'!B12</f>
        <v>11.26</v>
      </c>
      <c r="C12" s="11" t="str">
        <f>'Sovereign Ratings (Moody''s,S&amp;P)'!C12</f>
        <v>Baa3</v>
      </c>
      <c r="D12" s="24">
        <f>'ERPs by country'!D18</f>
        <v>2.5454669522026348E-2</v>
      </c>
      <c r="E12" s="12">
        <f>'ERPs by country'!E18</f>
        <v>8.4800227600353703E-2</v>
      </c>
      <c r="F12" s="16">
        <f>'ERPs by country'!F18</f>
        <v>3.1100227600353709E-2</v>
      </c>
      <c r="G12" s="16">
        <f>'Country Tax Rates'!B12</f>
        <v>0</v>
      </c>
      <c r="H12" s="17" t="str">
        <f>VLOOKUP(A12,'Regional lookup table'!$A$2:$B$156,2)</f>
        <v>Caribbean</v>
      </c>
    </row>
    <row r="13" spans="1:8" ht="16">
      <c r="A13" s="10" t="str">
        <f>'Sovereign Ratings (Moody''s,S&amp;P)'!A13</f>
        <v>Bahrain</v>
      </c>
      <c r="B13" s="197">
        <f>'Country GDP'!B13</f>
        <v>32.18</v>
      </c>
      <c r="C13" s="11" t="str">
        <f>'Sovereign Ratings (Moody''s,S&amp;P)'!C13</f>
        <v>B1</v>
      </c>
      <c r="D13" s="24">
        <f>'ERPs by country'!D19</f>
        <v>5.2056885620865363E-2</v>
      </c>
      <c r="E13" s="12">
        <f>'ERPs by country'!E19</f>
        <v>0.11730251464170696</v>
      </c>
      <c r="F13" s="16">
        <f>'ERPs by country'!F19</f>
        <v>6.3602514641706964E-2</v>
      </c>
      <c r="G13" s="16">
        <f>'Country Tax Rates'!B13</f>
        <v>0</v>
      </c>
      <c r="H13" s="17" t="str">
        <f>VLOOKUP(A13,'Regional lookup table'!$A$2:$B$156,2)</f>
        <v>Middle East</v>
      </c>
    </row>
    <row r="14" spans="1:8" ht="16">
      <c r="A14" s="10" t="str">
        <f>'Sovereign Ratings (Moody''s,S&amp;P)'!A14</f>
        <v>Bangladesh</v>
      </c>
      <c r="B14" s="197">
        <f>'Country GDP'!B14</f>
        <v>221.42</v>
      </c>
      <c r="C14" s="11" t="str">
        <f>'Sovereign Ratings (Moody''s,S&amp;P)'!C14</f>
        <v>Ba3</v>
      </c>
      <c r="D14" s="24">
        <f>'ERPs by country'!D20</f>
        <v>4.1624644013477513E-2</v>
      </c>
      <c r="E14" s="12">
        <f>'ERPs by country'!E20</f>
        <v>0.10455651972352922</v>
      </c>
      <c r="F14" s="16">
        <f>'ERPs by country'!F20</f>
        <v>5.0856519723529219E-2</v>
      </c>
      <c r="G14" s="16">
        <f>'Country Tax Rates'!B14</f>
        <v>0.25</v>
      </c>
      <c r="H14" s="17" t="str">
        <f>VLOOKUP(A14,'Regional lookup table'!$A$2:$B$156,2)</f>
        <v>Asia</v>
      </c>
    </row>
    <row r="15" spans="1:8" ht="16">
      <c r="A15" s="10" t="str">
        <f>'Sovereign Ratings (Moody''s,S&amp;P)'!A15</f>
        <v>Barbados</v>
      </c>
      <c r="B15" s="197">
        <f>'Country GDP'!B15</f>
        <v>4.53</v>
      </c>
      <c r="C15" s="11" t="str">
        <f>'Sovereign Ratings (Moody''s,S&amp;P)'!C15</f>
        <v>Caa3</v>
      </c>
      <c r="D15" s="24">
        <f>'ERPs by country'!D21</f>
        <v>0.11558923700985736</v>
      </c>
      <c r="E15" s="12">
        <f>'ERPs by country'!E21</f>
        <v>0.19492562369340946</v>
      </c>
      <c r="F15" s="16">
        <f>'ERPs by country'!F21</f>
        <v>0.14122562369340946</v>
      </c>
      <c r="G15" s="16">
        <f>'Country Tax Rates'!B15</f>
        <v>0.25</v>
      </c>
      <c r="H15" s="17" t="str">
        <f>VLOOKUP(A15,'Regional lookup table'!$A$2:$B$156,2)</f>
        <v>Caribbean</v>
      </c>
    </row>
    <row r="16" spans="1:8" ht="16">
      <c r="A16" s="10" t="str">
        <f>'Sovereign Ratings (Moody''s,S&amp;P)'!A16</f>
        <v>Belarus</v>
      </c>
      <c r="B16" s="197">
        <f>'Country GDP'!B16</f>
        <v>47.41</v>
      </c>
      <c r="C16" s="11" t="str">
        <f>'Sovereign Ratings (Moody''s,S&amp;P)'!C16</f>
        <v>B3</v>
      </c>
      <c r="D16" s="24">
        <f>'ERPs by country'!D22</f>
        <v>7.5216461989266389E-2</v>
      </c>
      <c r="E16" s="12">
        <f>'ERPs by country'!E22</f>
        <v>0.14559862336006157</v>
      </c>
      <c r="F16" s="16">
        <f>'ERPs by country'!F22</f>
        <v>9.1898623360061577E-2</v>
      </c>
      <c r="G16" s="16">
        <f>'Country Tax Rates'!B16</f>
        <v>0.18</v>
      </c>
      <c r="H16" s="17" t="str">
        <f>VLOOKUP(A16,'Regional lookup table'!$A$2:$B$156,2)</f>
        <v>Eastern Europe &amp; Russia</v>
      </c>
    </row>
    <row r="17" spans="1:8" ht="16">
      <c r="A17" s="10" t="str">
        <f>'Sovereign Ratings (Moody''s,S&amp;P)'!A17</f>
        <v>Belgium</v>
      </c>
      <c r="B17" s="197">
        <f>'Country GDP'!B17</f>
        <v>467.96</v>
      </c>
      <c r="C17" s="11" t="str">
        <f>'Sovereign Ratings (Moody''s,S&amp;P)'!C17</f>
        <v>Aa3</v>
      </c>
      <c r="D17" s="24">
        <f>'ERPs by country'!D23</f>
        <v>6.9896018769498571E-3</v>
      </c>
      <c r="E17" s="12">
        <f>'ERPs by country'!E23</f>
        <v>6.223981659517909E-2</v>
      </c>
      <c r="F17" s="16">
        <f>'ERPs by country'!F23</f>
        <v>8.5398165951790905E-3</v>
      </c>
      <c r="G17" s="16">
        <f>'Country Tax Rates'!B17</f>
        <v>0.33989999999999998</v>
      </c>
      <c r="H17" s="17" t="str">
        <f>VLOOKUP(A17,'Regional lookup table'!$A$2:$B$156,2)</f>
        <v>Western Europe</v>
      </c>
    </row>
    <row r="18" spans="1:8" ht="16">
      <c r="A18" s="10" t="str">
        <f>'Sovereign Ratings (Moody''s,S&amp;P)'!A18</f>
        <v>Belize</v>
      </c>
      <c r="B18" s="197">
        <f>'Country GDP'!B18</f>
        <v>1.74</v>
      </c>
      <c r="C18" s="11" t="str">
        <f>'Sovereign Ratings (Moody''s,S&amp;P)'!C18</f>
        <v>B3</v>
      </c>
      <c r="D18" s="24">
        <f>'ERPs by country'!D24</f>
        <v>7.5216461989266389E-2</v>
      </c>
      <c r="E18" s="12">
        <f>'ERPs by country'!E24</f>
        <v>0.14559862336006157</v>
      </c>
      <c r="F18" s="16">
        <f>'ERPs by country'!F24</f>
        <v>9.1898623360061577E-2</v>
      </c>
      <c r="G18" s="16">
        <f>'Country Tax Rates'!B18</f>
        <v>0.28210000000000002</v>
      </c>
      <c r="H18" s="17" t="str">
        <f>VLOOKUP(A18,'Regional lookup table'!$A$2:$B$156,2)</f>
        <v>Central and South America</v>
      </c>
    </row>
    <row r="19" spans="1:8" ht="16">
      <c r="A19" s="10" t="str">
        <f>'Sovereign Ratings (Moody''s,S&amp;P)'!A19</f>
        <v>Bermuda</v>
      </c>
      <c r="B19" s="197">
        <f>'Country GDP'!B19</f>
        <v>5.6</v>
      </c>
      <c r="C19" s="11" t="str">
        <f>'Sovereign Ratings (Moody''s,S&amp;P)'!C19</f>
        <v>A2</v>
      </c>
      <c r="D19" s="24">
        <f>'ERPs by country'!D25</f>
        <v>9.8063071109445767E-3</v>
      </c>
      <c r="E19" s="12">
        <f>'ERPs by country'!E25</f>
        <v>6.5681235223087081E-2</v>
      </c>
      <c r="F19" s="16">
        <f>'ERPs by country'!F25</f>
        <v>1.1981235223087083E-2</v>
      </c>
      <c r="G19" s="16">
        <f>'Country Tax Rates'!B19</f>
        <v>0</v>
      </c>
      <c r="H19" s="17" t="str">
        <f>VLOOKUP(A19,'Regional lookup table'!$A$2:$B$156,2)</f>
        <v>Caribbean</v>
      </c>
    </row>
    <row r="20" spans="1:8" ht="16">
      <c r="A20" s="10" t="str">
        <f>'Sovereign Ratings (Moody''s,S&amp;P)'!A20</f>
        <v>Bolivia</v>
      </c>
      <c r="B20" s="197">
        <f>'Country GDP'!B20</f>
        <v>33.81</v>
      </c>
      <c r="C20" s="11" t="str">
        <f>'Sovereign Ratings (Moody''s,S&amp;P)'!C20</f>
        <v>Ba3</v>
      </c>
      <c r="D20" s="24">
        <f>'ERPs by country'!D26</f>
        <v>4.1624644013477513E-2</v>
      </c>
      <c r="E20" s="12">
        <f>'ERPs by country'!E26</f>
        <v>0.10455651972352922</v>
      </c>
      <c r="F20" s="16">
        <f>'ERPs by country'!F26</f>
        <v>5.0856519723529219E-2</v>
      </c>
      <c r="G20" s="16">
        <f>'Country Tax Rates'!B20</f>
        <v>0.25</v>
      </c>
      <c r="H20" s="17" t="str">
        <f>VLOOKUP(A20,'Regional lookup table'!$A$2:$B$156,2)</f>
        <v>Central and South America</v>
      </c>
    </row>
    <row r="21" spans="1:8" ht="16">
      <c r="A21" s="10" t="str">
        <f>'Sovereign Ratings (Moody''s,S&amp;P)'!A21</f>
        <v>Bosnia and Herzegovina</v>
      </c>
      <c r="B21" s="197">
        <f>'Country GDP'!B21</f>
        <v>16.91</v>
      </c>
      <c r="C21" s="11" t="str">
        <f>'Sovereign Ratings (Moody''s,S&amp;P)'!C21</f>
        <v>B3</v>
      </c>
      <c r="D21" s="24">
        <f>'ERPs by country'!D27</f>
        <v>7.5216461989266389E-2</v>
      </c>
      <c r="E21" s="12">
        <f>'ERPs by country'!E27</f>
        <v>0.14559862336006157</v>
      </c>
      <c r="F21" s="16">
        <f>'ERPs by country'!F27</f>
        <v>9.1898623360061577E-2</v>
      </c>
      <c r="G21" s="16">
        <f>'Country Tax Rates'!B21</f>
        <v>0.1</v>
      </c>
      <c r="H21" s="17" t="str">
        <f>VLOOKUP(A21,'Regional lookup table'!$A$2:$B$156,2)</f>
        <v>Eastern Europe &amp; Russia</v>
      </c>
    </row>
    <row r="22" spans="1:8" ht="16">
      <c r="A22" s="10" t="str">
        <f>'Sovereign Ratings (Moody''s,S&amp;P)'!A22</f>
        <v>Botswana</v>
      </c>
      <c r="B22" s="197">
        <f>'Country GDP'!B22</f>
        <v>15.58</v>
      </c>
      <c r="C22" s="11" t="str">
        <f>'Sovereign Ratings (Moody''s,S&amp;P)'!C22</f>
        <v>A2</v>
      </c>
      <c r="D22" s="24">
        <f>'ERPs by country'!D28</f>
        <v>9.8063071109445767E-3</v>
      </c>
      <c r="E22" s="12">
        <f>'ERPs by country'!E28</f>
        <v>6.5681235223087081E-2</v>
      </c>
      <c r="F22" s="16">
        <f>'ERPs by country'!F28</f>
        <v>1.1981235223087083E-2</v>
      </c>
      <c r="G22" s="16">
        <f>'Country Tax Rates'!B22</f>
        <v>0.22</v>
      </c>
      <c r="H22" s="17" t="str">
        <f>VLOOKUP(A22,'Regional lookup table'!$A$2:$B$156,2)</f>
        <v>Africa</v>
      </c>
    </row>
    <row r="23" spans="1:8" ht="16">
      <c r="A23" s="10" t="str">
        <f>'Sovereign Ratings (Moody''s,S&amp;P)'!A23</f>
        <v>Brazil</v>
      </c>
      <c r="B23" s="197">
        <f>'Country GDP'!B23</f>
        <v>1796.19</v>
      </c>
      <c r="C23" s="11" t="str">
        <f>'Sovereign Ratings (Moody''s,S&amp;P)'!C23</f>
        <v>Ba2</v>
      </c>
      <c r="D23" s="24">
        <f>'ERPs by country'!D29</f>
        <v>3.4739364552601529E-2</v>
      </c>
      <c r="E23" s="12">
        <f>'ERPs by country'!E29</f>
        <v>9.6144163077531902E-2</v>
      </c>
      <c r="F23" s="16">
        <f>'ERPs by country'!F29</f>
        <v>4.2444163077531898E-2</v>
      </c>
      <c r="G23" s="16">
        <f>'Country Tax Rates'!B23</f>
        <v>0.34</v>
      </c>
      <c r="H23" s="17" t="str">
        <f>VLOOKUP(A23,'Regional lookup table'!$A$2:$B$156,2)</f>
        <v>Central and South America</v>
      </c>
    </row>
    <row r="24" spans="1:8" ht="16">
      <c r="A24" s="10" t="str">
        <f>'Sovereign Ratings (Moody''s,S&amp;P)'!A24</f>
        <v>Bulgaria</v>
      </c>
      <c r="B24" s="197">
        <f>'Country GDP'!B24</f>
        <v>53.24</v>
      </c>
      <c r="C24" s="11" t="str">
        <f>'Sovereign Ratings (Moody''s,S&amp;P)'!C24</f>
        <v>Baa2</v>
      </c>
      <c r="D24" s="24">
        <f>'ERPs by country'!D30</f>
        <v>2.201202979158836E-2</v>
      </c>
      <c r="E24" s="12">
        <f>'ERPs by country'!E30</f>
        <v>8.0594049277355057E-2</v>
      </c>
      <c r="F24" s="16">
        <f>'ERPs by country'!F30</f>
        <v>2.6894049277355052E-2</v>
      </c>
      <c r="G24" s="16">
        <f>'Country Tax Rates'!B24</f>
        <v>0.1</v>
      </c>
      <c r="H24" s="17" t="str">
        <f>VLOOKUP(A24,'Regional lookup table'!$A$2:$B$156,2)</f>
        <v>Eastern Europe &amp; Russia</v>
      </c>
    </row>
    <row r="25" spans="1:8" ht="16">
      <c r="A25" s="10" t="str">
        <f>'Sovereign Ratings (Moody''s,S&amp;P)'!A25</f>
        <v>Burkina Faso</v>
      </c>
      <c r="B25" s="197">
        <f>'Country GDP'!B25</f>
        <v>11.69</v>
      </c>
      <c r="C25" s="11" t="str">
        <f>'Sovereign Ratings (Moody''s,S&amp;P)'!C25</f>
        <v>B2</v>
      </c>
      <c r="D25" s="24">
        <f>'ERPs by country'!D31</f>
        <v>6.3636673805065866E-2</v>
      </c>
      <c r="E25" s="12">
        <f>'ERPs by country'!E31</f>
        <v>0.13145056900088425</v>
      </c>
      <c r="F25" s="16">
        <f>'ERPs by country'!F31</f>
        <v>7.7750569000884256E-2</v>
      </c>
      <c r="G25" s="16">
        <f>'Country Tax Rates'!B25</f>
        <v>0.27500000000000002</v>
      </c>
      <c r="H25" s="17" t="str">
        <f>VLOOKUP(A25,'Regional lookup table'!$A$2:$B$156,2)</f>
        <v>Africa</v>
      </c>
    </row>
    <row r="26" spans="1:8" ht="16">
      <c r="A26" s="10" t="str">
        <f>'Sovereign Ratings (Moody''s,S&amp;P)'!A26</f>
        <v>Cambodia</v>
      </c>
      <c r="B26" s="197">
        <f>'Country GDP'!B26</f>
        <v>20.02</v>
      </c>
      <c r="C26" s="11" t="str">
        <f>'Sovereign Ratings (Moody''s,S&amp;P)'!C26</f>
        <v>B2</v>
      </c>
      <c r="D26" s="24">
        <f>'ERPs by country'!D32</f>
        <v>6.3636673805065866E-2</v>
      </c>
      <c r="E26" s="12">
        <f>'ERPs by country'!E32</f>
        <v>0.13145056900088425</v>
      </c>
      <c r="F26" s="16">
        <f>'ERPs by country'!F32</f>
        <v>7.7750569000884256E-2</v>
      </c>
      <c r="G26" s="16">
        <f>'Country Tax Rates'!B26</f>
        <v>0.2</v>
      </c>
      <c r="H26" s="17" t="str">
        <f>VLOOKUP(A26,'Regional lookup table'!$A$2:$B$156,2)</f>
        <v>Asia</v>
      </c>
    </row>
    <row r="27" spans="1:8" ht="16">
      <c r="A27" s="10" t="str">
        <f>'Sovereign Ratings (Moody''s,S&amp;P)'!A27</f>
        <v>Cameroon</v>
      </c>
      <c r="B27" s="197">
        <f>'Country GDP'!B27</f>
        <v>32.22</v>
      </c>
      <c r="C27" s="11" t="str">
        <f>'Sovereign Ratings (Moody''s,S&amp;P)'!C27</f>
        <v>B2</v>
      </c>
      <c r="D27" s="24">
        <f>'ERPs by country'!D33</f>
        <v>6.3636673805065866E-2</v>
      </c>
      <c r="E27" s="12">
        <f>'ERPs by country'!E33</f>
        <v>0.13145056900088425</v>
      </c>
      <c r="F27" s="16">
        <f>'ERPs by country'!F33</f>
        <v>7.7750569000884256E-2</v>
      </c>
      <c r="G27" s="16">
        <f>'Country Tax Rates'!B27</f>
        <v>0.33</v>
      </c>
      <c r="H27" s="17" t="str">
        <f>VLOOKUP(A27,'Regional lookup table'!$A$2:$B$156,2)</f>
        <v>Africa</v>
      </c>
    </row>
    <row r="28" spans="1:8" ht="16">
      <c r="A28" s="10" t="str">
        <f>'Sovereign Ratings (Moody''s,S&amp;P)'!A28</f>
        <v>Canada</v>
      </c>
      <c r="B28" s="197">
        <f>'Country GDP'!B28</f>
        <v>1529.76</v>
      </c>
      <c r="C28" s="11" t="str">
        <f>'Sovereign Ratings (Moody''s,S&amp;P)'!C28</f>
        <v>Aaa</v>
      </c>
      <c r="D28" s="24">
        <f>'ERPs by country'!D34</f>
        <v>0</v>
      </c>
      <c r="E28" s="12">
        <f>'ERPs by country'!E34</f>
        <v>5.3699999999999998E-2</v>
      </c>
      <c r="F28" s="16">
        <f>'ERPs by country'!F34</f>
        <v>0</v>
      </c>
      <c r="G28" s="16">
        <f>'Country Tax Rates'!B28</f>
        <v>0.26500000000000001</v>
      </c>
      <c r="H28" s="17" t="str">
        <f>VLOOKUP(A28,'Regional lookup table'!$A$2:$B$156,2)</f>
        <v>North America</v>
      </c>
    </row>
    <row r="29" spans="1:8" ht="16">
      <c r="A29" s="10" t="str">
        <f>'Sovereign Ratings (Moody''s,S&amp;P)'!A29</f>
        <v>Cape Verde</v>
      </c>
      <c r="B29" s="197">
        <f>'Country GDP'!B29</f>
        <v>3.2</v>
      </c>
      <c r="C29" s="11" t="str">
        <f>'Sovereign Ratings (Moody''s,S&amp;P)'!C29</f>
        <v>B2</v>
      </c>
      <c r="D29" s="24">
        <f>'ERPs by country'!D35</f>
        <v>6.3636673805065866E-2</v>
      </c>
      <c r="E29" s="12">
        <f>'ERPs by country'!E35</f>
        <v>0.13145056900088425</v>
      </c>
      <c r="F29" s="16">
        <f>'ERPs by country'!F35</f>
        <v>7.7750569000884256E-2</v>
      </c>
      <c r="G29" s="16">
        <f>'Country Tax Rates'!B29</f>
        <v>0</v>
      </c>
      <c r="H29" s="17" t="s">
        <v>130</v>
      </c>
    </row>
    <row r="30" spans="1:8" ht="16">
      <c r="A30" s="10" t="str">
        <f>'Sovereign Ratings (Moody''s,S&amp;P)'!A30</f>
        <v>Cayman Islands</v>
      </c>
      <c r="B30" s="197">
        <f>'Country GDP'!B30</f>
        <v>1.9</v>
      </c>
      <c r="C30" s="11" t="str">
        <f>'Sovereign Ratings (Moody''s,S&amp;P)'!C30</f>
        <v>Aa3</v>
      </c>
      <c r="D30" s="24">
        <f>'ERPs by country'!D36</f>
        <v>6.9896018769498571E-3</v>
      </c>
      <c r="E30" s="12">
        <f>'ERPs by country'!E36</f>
        <v>6.223981659517909E-2</v>
      </c>
      <c r="F30" s="16">
        <f>'ERPs by country'!F36</f>
        <v>8.5398165951790905E-3</v>
      </c>
      <c r="G30" s="16">
        <f>'Country Tax Rates'!B30</f>
        <v>0.28210000000000002</v>
      </c>
      <c r="H30" s="17" t="str">
        <f>VLOOKUP(A30,'Regional lookup table'!$A$2:$B$156,2)</f>
        <v>Caribbean</v>
      </c>
    </row>
    <row r="31" spans="1:8" ht="16">
      <c r="A31" s="10" t="str">
        <f>'Sovereign Ratings (Moody''s,S&amp;P)'!A31</f>
        <v>Chile</v>
      </c>
      <c r="B31" s="197">
        <f>'Country GDP'!B31</f>
        <v>247.03</v>
      </c>
      <c r="C31" s="11" t="str">
        <f>'Sovereign Ratings (Moody''s,S&amp;P)'!C31</f>
        <v>Aa3</v>
      </c>
      <c r="D31" s="24">
        <f>'ERPs by country'!D37</f>
        <v>6.9896018769498571E-3</v>
      </c>
      <c r="E31" s="12">
        <f>'ERPs by country'!E37</f>
        <v>6.223981659517909E-2</v>
      </c>
      <c r="F31" s="16">
        <f>'ERPs by country'!F37</f>
        <v>8.5398165951790905E-3</v>
      </c>
      <c r="G31" s="16">
        <f>'Country Tax Rates'!B31</f>
        <v>0.255</v>
      </c>
      <c r="H31" s="17" t="str">
        <f>VLOOKUP(A31,'Regional lookup table'!$A$2:$B$156,2)</f>
        <v>Central and South America</v>
      </c>
    </row>
    <row r="32" spans="1:8" ht="16">
      <c r="A32" s="10" t="str">
        <f>'Sovereign Ratings (Moody''s,S&amp;P)'!A32</f>
        <v>China</v>
      </c>
      <c r="B32" s="197">
        <f>'Country GDP'!B32</f>
        <v>11199.15</v>
      </c>
      <c r="C32" s="11" t="str">
        <f>'Sovereign Ratings (Moody''s,S&amp;P)'!C32</f>
        <v>A1</v>
      </c>
      <c r="D32" s="24">
        <f>'ERPs by country'!D38</f>
        <v>8.1371484537625226E-3</v>
      </c>
      <c r="E32" s="12">
        <f>'ERPs by country'!E38</f>
        <v>6.3641876036178643E-2</v>
      </c>
      <c r="F32" s="16">
        <f>'ERPs by country'!F38</f>
        <v>9.9418760361786457E-3</v>
      </c>
      <c r="G32" s="16">
        <f>'Country Tax Rates'!B32</f>
        <v>0.25</v>
      </c>
      <c r="H32" s="17" t="str">
        <f>VLOOKUP(A32,'Regional lookup table'!$A$2:$B$156,2)</f>
        <v>Asia</v>
      </c>
    </row>
    <row r="33" spans="1:8" ht="16">
      <c r="A33" s="10" t="str">
        <f>'Sovereign Ratings (Moody''s,S&amp;P)'!A33</f>
        <v>Colombia</v>
      </c>
      <c r="B33" s="197">
        <f>'Country GDP'!B33</f>
        <v>282.45999999999998</v>
      </c>
      <c r="C33" s="11" t="str">
        <f>'Sovereign Ratings (Moody''s,S&amp;P)'!C33</f>
        <v>Baa2</v>
      </c>
      <c r="D33" s="24">
        <f>'ERPs by country'!D39</f>
        <v>2.201202979158836E-2</v>
      </c>
      <c r="E33" s="12">
        <f>'ERPs by country'!E39</f>
        <v>8.0594049277355057E-2</v>
      </c>
      <c r="F33" s="16">
        <f>'ERPs by country'!F39</f>
        <v>2.6894049277355052E-2</v>
      </c>
      <c r="G33" s="16">
        <f>'Country Tax Rates'!B33</f>
        <v>0.34</v>
      </c>
      <c r="H33" s="17" t="str">
        <f>VLOOKUP(A33,'Regional lookup table'!$A$2:$B$156,2)</f>
        <v>Central and South America</v>
      </c>
    </row>
    <row r="34" spans="1:8" ht="16">
      <c r="A34" s="10" t="str">
        <f>'Sovereign Ratings (Moody''s,S&amp;P)'!A34</f>
        <v>Congo (Democratic Republic of)</v>
      </c>
      <c r="B34" s="197">
        <f>'Country GDP'!B34</f>
        <v>31.93</v>
      </c>
      <c r="C34" s="11" t="str">
        <f>'Sovereign Ratings (Moody''s,S&amp;P)'!C34</f>
        <v>B3</v>
      </c>
      <c r="D34" s="24">
        <f>'ERPs by country'!D40</f>
        <v>7.5216461989266389E-2</v>
      </c>
      <c r="E34" s="12">
        <f>'ERPs by country'!E40</f>
        <v>0.14559862336006157</v>
      </c>
      <c r="F34" s="16">
        <f>'ERPs by country'!F40</f>
        <v>9.1898623360061577E-2</v>
      </c>
      <c r="G34" s="16">
        <f>'Country Tax Rates'!B34</f>
        <v>0.35</v>
      </c>
      <c r="H34" s="17" t="str">
        <f>VLOOKUP(A34,'Regional lookup table'!$A$2:$B$156,2)</f>
        <v>Africa</v>
      </c>
    </row>
    <row r="35" spans="1:8" ht="16">
      <c r="A35" s="10" t="str">
        <f>'Sovereign Ratings (Moody''s,S&amp;P)'!A35</f>
        <v>Congo (Republic of)</v>
      </c>
      <c r="B35" s="197">
        <f>'Country GDP'!B35</f>
        <v>7.83</v>
      </c>
      <c r="C35" s="11" t="str">
        <f>'Sovereign Ratings (Moody''s,S&amp;P)'!C35</f>
        <v>Caa2</v>
      </c>
      <c r="D35" s="24">
        <f>'ERPs by country'!D41</f>
        <v>0.10411377124173073</v>
      </c>
      <c r="E35" s="12">
        <f>'ERPs by country'!E41</f>
        <v>0.18090502928341393</v>
      </c>
      <c r="F35" s="16">
        <f>'ERPs by country'!F41</f>
        <v>0.12720502928341393</v>
      </c>
      <c r="G35" s="16">
        <f>'Country Tax Rates'!B35</f>
        <v>0.28210000000000002</v>
      </c>
      <c r="H35" s="17" t="str">
        <f>VLOOKUP(A35,'Regional lookup table'!$A$2:$B$156,2)</f>
        <v>Africa</v>
      </c>
    </row>
    <row r="36" spans="1:8" ht="16">
      <c r="A36" s="10" t="str">
        <f>'Sovereign Ratings (Moody''s,S&amp;P)'!A36</f>
        <v>Cook Islands</v>
      </c>
      <c r="B36" s="197">
        <f>'Country GDP'!B36</f>
        <v>1.2</v>
      </c>
      <c r="C36" s="11" t="str">
        <f>'Sovereign Ratings (Moody''s,S&amp;P)'!C36</f>
        <v>B1</v>
      </c>
      <c r="D36" s="24">
        <f>'ERPs by country'!D42</f>
        <v>5.2056885620865363E-2</v>
      </c>
      <c r="E36" s="12">
        <f>'ERPs by country'!E42</f>
        <v>0.11730251464170696</v>
      </c>
      <c r="F36" s="16">
        <f>'ERPs by country'!F42</f>
        <v>6.3602514641706964E-2</v>
      </c>
      <c r="G36" s="16">
        <f>'Country Tax Rates'!B36</f>
        <v>0</v>
      </c>
      <c r="H36" s="17" t="str">
        <f>VLOOKUP(A36,'Regional lookup table'!$A$2:$B$156,2)</f>
        <v>Australia &amp; New Zealand</v>
      </c>
    </row>
    <row r="37" spans="1:8" ht="16">
      <c r="A37" s="10" t="str">
        <f>'Sovereign Ratings (Moody''s,S&amp;P)'!A37</f>
        <v>Costa Rica</v>
      </c>
      <c r="B37" s="197">
        <f>'Country GDP'!B37</f>
        <v>57.44</v>
      </c>
      <c r="C37" s="11" t="str">
        <f>'Sovereign Ratings (Moody''s,S&amp;P)'!C37</f>
        <v>Ba2</v>
      </c>
      <c r="D37" s="24">
        <f>'ERPs by country'!D43</f>
        <v>3.4739364552601529E-2</v>
      </c>
      <c r="E37" s="12">
        <f>'ERPs by country'!E43</f>
        <v>9.6144163077531902E-2</v>
      </c>
      <c r="F37" s="16">
        <f>'ERPs by country'!F43</f>
        <v>4.2444163077531898E-2</v>
      </c>
      <c r="G37" s="16">
        <f>'Country Tax Rates'!B37</f>
        <v>0.3</v>
      </c>
      <c r="H37" s="17" t="str">
        <f>VLOOKUP(A37,'Regional lookup table'!$A$2:$B$156,2)</f>
        <v>Central and South America</v>
      </c>
    </row>
    <row r="38" spans="1:8" ht="16">
      <c r="A38" s="10" t="str">
        <f>'Sovereign Ratings (Moody''s,S&amp;P)'!A38</f>
        <v>Côte d'Ivoire</v>
      </c>
      <c r="B38" s="197">
        <f>'Country GDP'!B38</f>
        <v>36.369999999999997</v>
      </c>
      <c r="C38" s="11" t="str">
        <f>'Sovereign Ratings (Moody''s,S&amp;P)'!C38</f>
        <v>Ba3</v>
      </c>
      <c r="D38" s="24">
        <f>'ERPs by country'!D44</f>
        <v>4.1624644013477513E-2</v>
      </c>
      <c r="E38" s="12">
        <f>'ERPs by country'!E44</f>
        <v>0.10455651972352922</v>
      </c>
      <c r="F38" s="16">
        <f>'ERPs by country'!F44</f>
        <v>5.0856519723529219E-2</v>
      </c>
      <c r="G38" s="16">
        <f>'Country Tax Rates'!B38</f>
        <v>0.25</v>
      </c>
      <c r="H38" s="17" t="str">
        <f>VLOOKUP(A38,'Regional lookup table'!$A$2:$B$156,2)</f>
        <v>Africa</v>
      </c>
    </row>
    <row r="39" spans="1:8" ht="16">
      <c r="A39" s="10" t="str">
        <f>'Sovereign Ratings (Moody''s,S&amp;P)'!A39</f>
        <v>Croatia</v>
      </c>
      <c r="B39" s="197">
        <f>'Country GDP'!B39</f>
        <v>50.71</v>
      </c>
      <c r="C39" s="11" t="str">
        <f>'Sovereign Ratings (Moody''s,S&amp;P)'!C39</f>
        <v>Ba2</v>
      </c>
      <c r="D39" s="24">
        <f>'ERPs by country'!D45</f>
        <v>3.4739364552601529E-2</v>
      </c>
      <c r="E39" s="12">
        <f>'ERPs by country'!E45</f>
        <v>9.6144163077531902E-2</v>
      </c>
      <c r="F39" s="16">
        <f>'ERPs by country'!F45</f>
        <v>4.2444163077531898E-2</v>
      </c>
      <c r="G39" s="16">
        <f>'Country Tax Rates'!B39</f>
        <v>0.2</v>
      </c>
      <c r="H39" s="17" t="str">
        <f>VLOOKUP(A39,'Regional lookup table'!$A$2:$B$156,2)</f>
        <v>Eastern Europe &amp; Russia</v>
      </c>
    </row>
    <row r="40" spans="1:8" ht="16">
      <c r="A40" s="10" t="str">
        <f>'Sovereign Ratings (Moody''s,S&amp;P)'!A40</f>
        <v>Cuba</v>
      </c>
      <c r="B40" s="197">
        <f>'Country GDP'!B40</f>
        <v>77.2</v>
      </c>
      <c r="C40" s="11" t="str">
        <f>'Sovereign Ratings (Moody''s,S&amp;P)'!C40</f>
        <v>Caa2</v>
      </c>
      <c r="D40" s="24">
        <f>'ERPs by country'!D46</f>
        <v>0.10411377124173073</v>
      </c>
      <c r="E40" s="12">
        <f>'ERPs by country'!E46</f>
        <v>0.18090502928341393</v>
      </c>
      <c r="F40" s="16">
        <f>'ERPs by country'!F46</f>
        <v>0.12720502928341393</v>
      </c>
      <c r="G40" s="16">
        <f>'Country Tax Rates'!B40</f>
        <v>0.27979999999999999</v>
      </c>
      <c r="H40" s="17" t="str">
        <f>VLOOKUP(A40,'Regional lookup table'!$A$2:$B$156,2)</f>
        <v>Caribbean</v>
      </c>
    </row>
    <row r="41" spans="1:8" ht="16">
      <c r="A41" s="10" t="str">
        <f>'Sovereign Ratings (Moody''s,S&amp;P)'!A41</f>
        <v>Curacao</v>
      </c>
      <c r="B41" s="197">
        <f>'Country GDP'!B41</f>
        <v>1</v>
      </c>
      <c r="C41" s="11" t="str">
        <f>'Sovereign Ratings (Moody''s,S&amp;P)'!C41</f>
        <v>A3</v>
      </c>
      <c r="D41" s="24">
        <f>'ERPs by country'!D47</f>
        <v>1.3874881337825837E-2</v>
      </c>
      <c r="E41" s="12">
        <f>'ERPs by country'!E47</f>
        <v>7.0652173241176397E-2</v>
      </c>
      <c r="F41" s="16">
        <f>'ERPs by country'!F47</f>
        <v>1.6952173241176406E-2</v>
      </c>
      <c r="G41" s="16">
        <f>'Country Tax Rates'!B41</f>
        <v>0.22</v>
      </c>
      <c r="H41" s="17" t="str">
        <f>VLOOKUP(A41,'Regional lookup table'!$A$2:$B$156,2)</f>
        <v>Caribbean</v>
      </c>
    </row>
    <row r="42" spans="1:8" ht="16">
      <c r="A42" s="10" t="str">
        <f>'Sovereign Ratings (Moody''s,S&amp;P)'!A42</f>
        <v>Cyprus</v>
      </c>
      <c r="B42" s="197">
        <f>'Country GDP'!B42</f>
        <v>20.05</v>
      </c>
      <c r="C42" s="11" t="str">
        <f>'Sovereign Ratings (Moody''s,S&amp;P)'!C42</f>
        <v>Ba3</v>
      </c>
      <c r="D42" s="24">
        <f>'ERPs by country'!D48</f>
        <v>4.1624644013477513E-2</v>
      </c>
      <c r="E42" s="12">
        <f>'ERPs by country'!E48</f>
        <v>0.10455651972352922</v>
      </c>
      <c r="F42" s="16">
        <f>'ERPs by country'!F48</f>
        <v>5.0856519723529219E-2</v>
      </c>
      <c r="G42" s="16">
        <f>'Country Tax Rates'!B42</f>
        <v>0.125</v>
      </c>
      <c r="H42" s="17" t="str">
        <f>VLOOKUP(A42,'Regional lookup table'!$A$2:$B$156,2)</f>
        <v>Western Europe</v>
      </c>
    </row>
    <row r="43" spans="1:8" ht="16">
      <c r="A43" s="10" t="str">
        <f>'Sovereign Ratings (Moody''s,S&amp;P)'!A43</f>
        <v>Czech Republic</v>
      </c>
      <c r="B43" s="197">
        <f>'Country GDP'!B43</f>
        <v>195.31</v>
      </c>
      <c r="C43" s="11" t="str">
        <f>'Sovereign Ratings (Moody''s,S&amp;P)'!C43</f>
        <v>A1</v>
      </c>
      <c r="D43" s="24">
        <f>'ERPs by country'!D49</f>
        <v>8.1371484537625226E-3</v>
      </c>
      <c r="E43" s="12">
        <f>'ERPs by country'!E49</f>
        <v>6.3641876036178643E-2</v>
      </c>
      <c r="F43" s="16">
        <f>'ERPs by country'!F49</f>
        <v>9.9418760361786457E-3</v>
      </c>
      <c r="G43" s="16">
        <f>'Country Tax Rates'!B43</f>
        <v>0.19</v>
      </c>
      <c r="H43" s="17" t="str">
        <f>VLOOKUP(A43,'Regional lookup table'!$A$2:$B$156,2)</f>
        <v>Eastern Europe &amp; Russia</v>
      </c>
    </row>
    <row r="44" spans="1:8" ht="16">
      <c r="A44" s="10" t="str">
        <f>'Sovereign Ratings (Moody''s,S&amp;P)'!A44</f>
        <v>Denmark</v>
      </c>
      <c r="B44" s="197">
        <f>'Country GDP'!B44</f>
        <v>306.89999999999998</v>
      </c>
      <c r="C44" s="11" t="str">
        <f>'Sovereign Ratings (Moody''s,S&amp;P)'!C44</f>
        <v>Aaa</v>
      </c>
      <c r="D44" s="24">
        <f>'ERPs by country'!D50</f>
        <v>0</v>
      </c>
      <c r="E44" s="12">
        <f>'ERPs by country'!E50</f>
        <v>5.3699999999999998E-2</v>
      </c>
      <c r="F44" s="16">
        <f>'ERPs by country'!F50</f>
        <v>0</v>
      </c>
      <c r="G44" s="16">
        <f>'Country Tax Rates'!B44</f>
        <v>0.22</v>
      </c>
      <c r="H44" s="17" t="str">
        <f>VLOOKUP(A44,'Regional lookup table'!$A$2:$B$156,2)</f>
        <v>Western Europe</v>
      </c>
    </row>
    <row r="45" spans="1:8" ht="16">
      <c r="A45" s="10" t="str">
        <f>'Sovereign Ratings (Moody''s,S&amp;P)'!A45</f>
        <v>Dominican Republic</v>
      </c>
      <c r="B45" s="197">
        <f>'Country GDP'!B45</f>
        <v>71.58</v>
      </c>
      <c r="C45" s="11" t="str">
        <f>'Sovereign Ratings (Moody''s,S&amp;P)'!C45</f>
        <v>Ba3</v>
      </c>
      <c r="D45" s="24">
        <f>'ERPs by country'!D51</f>
        <v>4.1624644013477513E-2</v>
      </c>
      <c r="E45" s="12">
        <f>'ERPs by country'!E51</f>
        <v>0.10455651972352922</v>
      </c>
      <c r="F45" s="16">
        <f>'ERPs by country'!F51</f>
        <v>5.0856519723529219E-2</v>
      </c>
      <c r="G45" s="16">
        <f>'Country Tax Rates'!B45</f>
        <v>0.27</v>
      </c>
      <c r="H45" s="17" t="str">
        <f>VLOOKUP(A45,'Regional lookup table'!$A$2:$B$156,2)</f>
        <v>Caribbean</v>
      </c>
    </row>
    <row r="46" spans="1:8" ht="16">
      <c r="A46" s="10" t="str">
        <f>'Sovereign Ratings (Moody''s,S&amp;P)'!A46</f>
        <v>Ecuador</v>
      </c>
      <c r="B46" s="197">
        <f>'Country GDP'!B46</f>
        <v>98.61</v>
      </c>
      <c r="C46" s="11" t="str">
        <f>'Sovereign Ratings (Moody''s,S&amp;P)'!C46</f>
        <v>B3</v>
      </c>
      <c r="D46" s="24">
        <f>'ERPs by country'!D52</f>
        <v>7.5216461989266389E-2</v>
      </c>
      <c r="E46" s="12">
        <f>'ERPs by country'!E52</f>
        <v>0.14559862336006157</v>
      </c>
      <c r="F46" s="16">
        <f>'ERPs by country'!F52</f>
        <v>9.1898623360061577E-2</v>
      </c>
      <c r="G46" s="16">
        <f>'Country Tax Rates'!B46</f>
        <v>0.22</v>
      </c>
      <c r="H46" s="17" t="str">
        <f>VLOOKUP(A46,'Regional lookup table'!$A$2:$B$156,2)</f>
        <v>Central and South America</v>
      </c>
    </row>
    <row r="47" spans="1:8" ht="16">
      <c r="A47" s="10" t="str">
        <f>'Sovereign Ratings (Moody''s,S&amp;P)'!A47</f>
        <v>Egypt</v>
      </c>
      <c r="B47" s="197">
        <f>'Country GDP'!B47</f>
        <v>332.79</v>
      </c>
      <c r="C47" s="11" t="str">
        <f>'Sovereign Ratings (Moody''s,S&amp;P)'!C47</f>
        <v>B3</v>
      </c>
      <c r="D47" s="24">
        <f>'ERPs by country'!D53</f>
        <v>7.5216461989266389E-2</v>
      </c>
      <c r="E47" s="12">
        <f>'ERPs by country'!E53</f>
        <v>0.14559862336006157</v>
      </c>
      <c r="F47" s="16">
        <f>'ERPs by country'!F53</f>
        <v>9.1898623360061577E-2</v>
      </c>
      <c r="G47" s="16">
        <f>'Country Tax Rates'!B47</f>
        <v>0.22500000000000001</v>
      </c>
      <c r="H47" s="17" t="str">
        <f>VLOOKUP(A47,'Regional lookup table'!$A$2:$B$156,2)</f>
        <v>Africa</v>
      </c>
    </row>
    <row r="48" spans="1:8" ht="16">
      <c r="A48" s="10" t="str">
        <f>'Sovereign Ratings (Moody''s,S&amp;P)'!A48</f>
        <v>El Salvador</v>
      </c>
      <c r="B48" s="197">
        <f>'Country GDP'!B48</f>
        <v>26.8</v>
      </c>
      <c r="C48" s="11" t="str">
        <f>'Sovereign Ratings (Moody''s,S&amp;P)'!C48</f>
        <v>Caa1</v>
      </c>
      <c r="D48" s="24">
        <f>'ERPs by country'!D54</f>
        <v>8.6691927757393011E-2</v>
      </c>
      <c r="E48" s="12">
        <f>'ERPs by country'!E54</f>
        <v>0.15961921777005708</v>
      </c>
      <c r="F48" s="16">
        <f>'ERPs by country'!F54</f>
        <v>0.10591921777005708</v>
      </c>
      <c r="G48" s="16">
        <f>'Country Tax Rates'!B48</f>
        <v>0.3</v>
      </c>
      <c r="H48" s="17" t="str">
        <f>VLOOKUP(A48,'Regional lookup table'!$A$2:$B$156,2)</f>
        <v>Central and South America</v>
      </c>
    </row>
    <row r="49" spans="1:8" ht="16">
      <c r="A49" s="10" t="str">
        <f>'Sovereign Ratings (Moody''s,S&amp;P)'!A49</f>
        <v>Estonia</v>
      </c>
      <c r="B49" s="197">
        <f>'Country GDP'!B49</f>
        <v>23.34</v>
      </c>
      <c r="C49" s="11" t="str">
        <f>'Sovereign Ratings (Moody''s,S&amp;P)'!C49</f>
        <v>A1</v>
      </c>
      <c r="D49" s="24">
        <f>'ERPs by country'!D55</f>
        <v>8.1371484537625226E-3</v>
      </c>
      <c r="E49" s="12">
        <f>'ERPs by country'!E55</f>
        <v>6.3641876036178643E-2</v>
      </c>
      <c r="F49" s="16">
        <f>'ERPs by country'!F55</f>
        <v>9.9418760361786457E-3</v>
      </c>
      <c r="G49" s="16">
        <f>'Country Tax Rates'!B49</f>
        <v>0.2</v>
      </c>
      <c r="H49" s="17" t="str">
        <f>VLOOKUP(A49,'Regional lookup table'!$A$2:$B$156,2)</f>
        <v>Eastern Europe &amp; Russia</v>
      </c>
    </row>
    <row r="50" spans="1:8" ht="16">
      <c r="A50" s="10" t="str">
        <f>'Sovereign Ratings (Moody''s,S&amp;P)'!A50</f>
        <v>Ethiopia</v>
      </c>
      <c r="B50" s="197">
        <f>'Country GDP'!B50</f>
        <v>72.37</v>
      </c>
      <c r="C50" s="11" t="str">
        <f>'Sovereign Ratings (Moody''s,S&amp;P)'!C50</f>
        <v>B1</v>
      </c>
      <c r="D50" s="24">
        <f>'ERPs by country'!D56</f>
        <v>5.2056885620865363E-2</v>
      </c>
      <c r="E50" s="12">
        <f>'ERPs by country'!E56</f>
        <v>0.11730251464170696</v>
      </c>
      <c r="F50" s="16">
        <f>'ERPs by country'!F56</f>
        <v>6.3602514641706964E-2</v>
      </c>
      <c r="G50" s="16">
        <f>'Country Tax Rates'!B50</f>
        <v>0.3</v>
      </c>
      <c r="H50" s="17" t="str">
        <f>VLOOKUP(A50,'Regional lookup table'!$A$2:$B$156,2)</f>
        <v>Africa</v>
      </c>
    </row>
    <row r="51" spans="1:8" ht="16">
      <c r="A51" s="10" t="str">
        <f>'Sovereign Ratings (Moody''s,S&amp;P)'!A51</f>
        <v>Fiji</v>
      </c>
      <c r="B51" s="197">
        <f>'Country GDP'!B51</f>
        <v>4.7</v>
      </c>
      <c r="C51" s="11" t="str">
        <f>'Sovereign Ratings (Moody''s,S&amp;P)'!C51</f>
        <v>Ba3</v>
      </c>
      <c r="D51" s="24">
        <f>'ERPs by country'!D57</f>
        <v>4.1624644013477513E-2</v>
      </c>
      <c r="E51" s="12">
        <f>'ERPs by country'!E57</f>
        <v>0.10455651972352922</v>
      </c>
      <c r="F51" s="16">
        <f>'ERPs by country'!F57</f>
        <v>5.0856519723529219E-2</v>
      </c>
      <c r="G51" s="16">
        <f>'Country Tax Rates'!B51</f>
        <v>0.2</v>
      </c>
      <c r="H51" s="17" t="str">
        <f>VLOOKUP(A51,'Regional lookup table'!$A$2:$B$156,2)</f>
        <v>Asia</v>
      </c>
    </row>
    <row r="52" spans="1:8" ht="16">
      <c r="A52" s="10" t="str">
        <f>'Sovereign Ratings (Moody''s,S&amp;P)'!A52</f>
        <v>Finland</v>
      </c>
      <c r="B52" s="197">
        <f>'Country GDP'!B52</f>
        <v>238.5</v>
      </c>
      <c r="C52" s="11" t="str">
        <f>'Sovereign Ratings (Moody''s,S&amp;P)'!C52</f>
        <v>Aa1</v>
      </c>
      <c r="D52" s="24">
        <f>'ERPs by country'!D58</f>
        <v>4.5901863072506524E-3</v>
      </c>
      <c r="E52" s="12">
        <f>'ERPs by country'!E58</f>
        <v>5.9308237763998205E-2</v>
      </c>
      <c r="F52" s="16">
        <f>'ERPs by country'!F58</f>
        <v>5.6082377639982087E-3</v>
      </c>
      <c r="G52" s="16">
        <f>'Country Tax Rates'!B52</f>
        <v>0.2</v>
      </c>
      <c r="H52" s="17" t="str">
        <f>VLOOKUP(A52,'Regional lookup table'!$A$2:$B$156,2)</f>
        <v>Western Europe</v>
      </c>
    </row>
    <row r="53" spans="1:8" ht="16">
      <c r="A53" s="10" t="str">
        <f>'Sovereign Ratings (Moody''s,S&amp;P)'!A53</f>
        <v>France</v>
      </c>
      <c r="B53" s="197">
        <f>'Country GDP'!B53</f>
        <v>2465.4499999999998</v>
      </c>
      <c r="C53" s="11" t="str">
        <f>'Sovereign Ratings (Moody''s,S&amp;P)'!C53</f>
        <v>Aa2</v>
      </c>
      <c r="D53" s="24">
        <f>'ERPs by country'!D59</f>
        <v>5.7377328840633162E-3</v>
      </c>
      <c r="E53" s="12">
        <f>'ERPs by country'!E59</f>
        <v>6.0710297204997758E-2</v>
      </c>
      <c r="F53" s="16">
        <f>'ERPs by country'!F59</f>
        <v>7.0102972049977622E-3</v>
      </c>
      <c r="G53" s="16">
        <f>'Country Tax Rates'!B53</f>
        <v>0.33329999999999999</v>
      </c>
      <c r="H53" s="17" t="str">
        <f>VLOOKUP(A53,'Regional lookup table'!$A$2:$B$156,2)</f>
        <v>Western Europe</v>
      </c>
    </row>
    <row r="54" spans="1:8" ht="16">
      <c r="A54" s="10" t="str">
        <f>'Sovereign Ratings (Moody''s,S&amp;P)'!A54</f>
        <v>Gabon</v>
      </c>
      <c r="B54" s="197">
        <f>'Country GDP'!B54</f>
        <v>14.21</v>
      </c>
      <c r="C54" s="11" t="str">
        <f>'Sovereign Ratings (Moody''s,S&amp;P)'!C54</f>
        <v>Caa1</v>
      </c>
      <c r="D54" s="24">
        <f>'ERPs by country'!D60</f>
        <v>8.6691927757393011E-2</v>
      </c>
      <c r="E54" s="12">
        <f>'ERPs by country'!E60</f>
        <v>0.15961921777005708</v>
      </c>
      <c r="F54" s="16">
        <f>'ERPs by country'!F60</f>
        <v>0.10591921777005708</v>
      </c>
      <c r="G54" s="16">
        <f>'Country Tax Rates'!B54</f>
        <v>0.3</v>
      </c>
      <c r="H54" s="17" t="str">
        <f>VLOOKUP(A54,'Regional lookup table'!$A$2:$B$156,2)</f>
        <v>Africa</v>
      </c>
    </row>
    <row r="55" spans="1:8" ht="16">
      <c r="A55" s="10" t="str">
        <f>'Sovereign Ratings (Moody''s,S&amp;P)'!A55</f>
        <v>Georgia</v>
      </c>
      <c r="B55" s="197">
        <f>'Country GDP'!B55</f>
        <v>14.38</v>
      </c>
      <c r="C55" s="11" t="str">
        <f>'Sovereign Ratings (Moody''s,S&amp;P)'!C55</f>
        <v>Ba2</v>
      </c>
      <c r="D55" s="24">
        <f>'ERPs by country'!D61</f>
        <v>3.4739364552601529E-2</v>
      </c>
      <c r="E55" s="12">
        <f>'ERPs by country'!E61</f>
        <v>9.6144163077531902E-2</v>
      </c>
      <c r="F55" s="16">
        <f>'ERPs by country'!F61</f>
        <v>4.2444163077531898E-2</v>
      </c>
      <c r="G55" s="16">
        <f>'Country Tax Rates'!B55</f>
        <v>0.15</v>
      </c>
      <c r="H55" s="17" t="str">
        <f>VLOOKUP(A55,'Regional lookup table'!$A$2:$B$156,2)</f>
        <v>Eastern Europe &amp; Russia</v>
      </c>
    </row>
    <row r="56" spans="1:8" ht="16">
      <c r="A56" s="10" t="str">
        <f>'Sovereign Ratings (Moody''s,S&amp;P)'!A56</f>
        <v>Germany</v>
      </c>
      <c r="B56" s="197">
        <f>'Country GDP'!B56</f>
        <v>3477.8</v>
      </c>
      <c r="C56" s="11" t="str">
        <f>'Sovereign Ratings (Moody''s,S&amp;P)'!C56</f>
        <v>Aaa</v>
      </c>
      <c r="D56" s="24">
        <f>'ERPs by country'!D62</f>
        <v>0</v>
      </c>
      <c r="E56" s="12">
        <f>'ERPs by country'!E62</f>
        <v>5.3699999999999998E-2</v>
      </c>
      <c r="F56" s="16">
        <f>'ERPs by country'!F62</f>
        <v>0</v>
      </c>
      <c r="G56" s="16">
        <f>'Country Tax Rates'!B56</f>
        <v>0.2979</v>
      </c>
      <c r="H56" s="17" t="str">
        <f>VLOOKUP(A56,'Regional lookup table'!$A$2:$B$156,2)</f>
        <v>Western Europe</v>
      </c>
    </row>
    <row r="57" spans="1:8" ht="16">
      <c r="A57" s="10" t="str">
        <f>'Sovereign Ratings (Moody''s,S&amp;P)'!A57</f>
        <v>Ghana</v>
      </c>
      <c r="B57" s="197">
        <f>'Country GDP'!B57</f>
        <v>42.69</v>
      </c>
      <c r="C57" s="11" t="str">
        <f>'Sovereign Ratings (Moody''s,S&amp;P)'!C57</f>
        <v>B3</v>
      </c>
      <c r="D57" s="24">
        <f>'ERPs by country'!D63</f>
        <v>7.5216461989266389E-2</v>
      </c>
      <c r="E57" s="12">
        <f>'ERPs by country'!E63</f>
        <v>0.14559862336006157</v>
      </c>
      <c r="F57" s="16">
        <f>'ERPs by country'!F63</f>
        <v>9.1898623360061577E-2</v>
      </c>
      <c r="G57" s="16">
        <f>'Country Tax Rates'!B57</f>
        <v>0.25</v>
      </c>
      <c r="H57" s="17" t="str">
        <f>VLOOKUP(A57,'Regional lookup table'!$A$2:$B$156,2)</f>
        <v>Africa</v>
      </c>
    </row>
    <row r="58" spans="1:8" ht="16">
      <c r="A58" s="10" t="str">
        <f>'Sovereign Ratings (Moody''s,S&amp;P)'!A58</f>
        <v>Greece</v>
      </c>
      <c r="B58" s="197">
        <f>'Country GDP'!B58</f>
        <v>192.69</v>
      </c>
      <c r="C58" s="11" t="str">
        <f>'Sovereign Ratings (Moody''s,S&amp;P)'!C58</f>
        <v>B3</v>
      </c>
      <c r="D58" s="24">
        <f>'ERPs by country'!D64</f>
        <v>7.5216461989266389E-2</v>
      </c>
      <c r="E58" s="12">
        <f>'ERPs by country'!E64</f>
        <v>0.14559862336006157</v>
      </c>
      <c r="F58" s="16">
        <f>'ERPs by country'!F64</f>
        <v>9.1898623360061577E-2</v>
      </c>
      <c r="G58" s="16">
        <f>'Country Tax Rates'!B58</f>
        <v>0.28999999999999998</v>
      </c>
      <c r="H58" s="17" t="str">
        <f>VLOOKUP(A58,'Regional lookup table'!$A$2:$B$156,2)</f>
        <v>Western Europe</v>
      </c>
    </row>
    <row r="59" spans="1:8" ht="16">
      <c r="A59" s="10" t="str">
        <f>'Sovereign Ratings (Moody''s,S&amp;P)'!A59</f>
        <v>Guatemala</v>
      </c>
      <c r="B59" s="197">
        <f>'Country GDP'!B59</f>
        <v>68.760000000000005</v>
      </c>
      <c r="C59" s="11" t="str">
        <f>'Sovereign Ratings (Moody''s,S&amp;P)'!C59</f>
        <v>Ba1</v>
      </c>
      <c r="D59" s="24">
        <f>'ERPs by country'!D65</f>
        <v>2.8897309252464341E-2</v>
      </c>
      <c r="E59" s="12">
        <f>'ERPs by country'!E65</f>
        <v>8.9006405923352364E-2</v>
      </c>
      <c r="F59" s="16">
        <f>'ERPs by country'!F65</f>
        <v>3.5306405923352366E-2</v>
      </c>
      <c r="G59" s="16">
        <f>'Country Tax Rates'!B59</f>
        <v>0.25</v>
      </c>
      <c r="H59" s="17" t="str">
        <f>VLOOKUP(A59,'Regional lookup table'!$A$2:$B$156,2)</f>
        <v>Central and South America</v>
      </c>
    </row>
    <row r="60" spans="1:8" ht="16">
      <c r="A60" s="10" t="str">
        <f>'Sovereign Ratings (Moody''s,S&amp;P)'!A60</f>
        <v>Guernsey (States of)</v>
      </c>
      <c r="B60" s="197">
        <f>'Country GDP'!B60</f>
        <v>0.5</v>
      </c>
      <c r="C60" s="11" t="str">
        <f>'Sovereign Ratings (Moody''s,S&amp;P)'!C60</f>
        <v>Aa3</v>
      </c>
      <c r="D60" s="24">
        <f>'ERPs by country'!D66</f>
        <v>6.9896018769498571E-3</v>
      </c>
      <c r="E60" s="12">
        <f>'ERPs by country'!E66</f>
        <v>6.223981659517909E-2</v>
      </c>
      <c r="F60" s="16">
        <f>'ERPs by country'!F66</f>
        <v>8.5398165951790905E-3</v>
      </c>
      <c r="G60" s="16">
        <f>'Country Tax Rates'!B60</f>
        <v>0</v>
      </c>
      <c r="H60" s="17" t="str">
        <f>VLOOKUP(A60,'Regional lookup table'!$A$2:$B$156,2)</f>
        <v>Western Europe</v>
      </c>
    </row>
    <row r="61" spans="1:8" ht="16">
      <c r="A61" s="10" t="str">
        <f>'Sovereign Ratings (Moody''s,S&amp;P)'!A61</f>
        <v>Honduras</v>
      </c>
      <c r="B61" s="197">
        <f>'Country GDP'!B61</f>
        <v>21.52</v>
      </c>
      <c r="C61" s="11" t="str">
        <f>'Sovereign Ratings (Moody''s,S&amp;P)'!C61</f>
        <v>B1</v>
      </c>
      <c r="D61" s="24">
        <f>'ERPs by country'!D67</f>
        <v>5.2056885620865363E-2</v>
      </c>
      <c r="E61" s="12">
        <f>'ERPs by country'!E67</f>
        <v>0.11730251464170696</v>
      </c>
      <c r="F61" s="16">
        <f>'ERPs by country'!F67</f>
        <v>6.3602514641706964E-2</v>
      </c>
      <c r="G61" s="16">
        <f>'Country Tax Rates'!B61</f>
        <v>0.25</v>
      </c>
      <c r="H61" s="17" t="str">
        <f>VLOOKUP(A61,'Regional lookup table'!$A$2:$B$156,2)</f>
        <v>Central and South America</v>
      </c>
    </row>
    <row r="62" spans="1:8" ht="16">
      <c r="A62" s="10" t="str">
        <f>'Sovereign Ratings (Moody''s,S&amp;P)'!A62</f>
        <v>Hong Kong</v>
      </c>
      <c r="B62" s="197">
        <f>'Country GDP'!B62</f>
        <v>320.91000000000003</v>
      </c>
      <c r="C62" s="11" t="str">
        <f>'Sovereign Ratings (Moody''s,S&amp;P)'!C62</f>
        <v>Aa2</v>
      </c>
      <c r="D62" s="24">
        <f>'ERPs by country'!D68</f>
        <v>5.7377328840633162E-3</v>
      </c>
      <c r="E62" s="12">
        <f>'ERPs by country'!E68</f>
        <v>6.0710297204997758E-2</v>
      </c>
      <c r="F62" s="16">
        <f>'ERPs by country'!F68</f>
        <v>7.0102972049977622E-3</v>
      </c>
      <c r="G62" s="16">
        <f>'Country Tax Rates'!B62</f>
        <v>0.16500000000000001</v>
      </c>
      <c r="H62" s="17" t="str">
        <f>VLOOKUP(A62,'Regional lookup table'!$A$2:$B$156,2)</f>
        <v>Asia</v>
      </c>
    </row>
    <row r="63" spans="1:8" ht="16">
      <c r="A63" s="10" t="str">
        <f>'Sovereign Ratings (Moody''s,S&amp;P)'!A63</f>
        <v>Hungary</v>
      </c>
      <c r="B63" s="197">
        <f>'Country GDP'!B63</f>
        <v>125.82</v>
      </c>
      <c r="C63" s="11" t="str">
        <f>'Sovereign Ratings (Moody''s,S&amp;P)'!C63</f>
        <v>Baa3</v>
      </c>
      <c r="D63" s="24">
        <f>'ERPs by country'!D69</f>
        <v>2.5454669522026348E-2</v>
      </c>
      <c r="E63" s="12">
        <f>'ERPs by country'!E69</f>
        <v>8.4800227600353703E-2</v>
      </c>
      <c r="F63" s="16">
        <f>'ERPs by country'!F69</f>
        <v>3.1100227600353709E-2</v>
      </c>
      <c r="G63" s="16">
        <f>'Country Tax Rates'!B63</f>
        <v>0.09</v>
      </c>
      <c r="H63" s="17" t="str">
        <f>VLOOKUP(A63,'Regional lookup table'!$A$2:$B$156,2)</f>
        <v>Eastern Europe &amp; Russia</v>
      </c>
    </row>
    <row r="64" spans="1:8" ht="16">
      <c r="A64" s="10" t="str">
        <f>'Sovereign Ratings (Moody''s,S&amp;P)'!A64</f>
        <v>Iceland</v>
      </c>
      <c r="B64" s="197">
        <f>'Country GDP'!B64</f>
        <v>20.05</v>
      </c>
      <c r="C64" s="11" t="str">
        <f>'Sovereign Ratings (Moody''s,S&amp;P)'!C64</f>
        <v>A3</v>
      </c>
      <c r="D64" s="24">
        <f>'ERPs by country'!D70</f>
        <v>1.3874881337825837E-2</v>
      </c>
      <c r="E64" s="12">
        <f>'ERPs by country'!E70</f>
        <v>7.0652173241176397E-2</v>
      </c>
      <c r="F64" s="16">
        <f>'ERPs by country'!F70</f>
        <v>1.6952173241176406E-2</v>
      </c>
      <c r="G64" s="16">
        <f>'Country Tax Rates'!B64</f>
        <v>0.2</v>
      </c>
      <c r="H64" s="17" t="str">
        <f>VLOOKUP(A64,'Regional lookup table'!$A$2:$B$156,2)</f>
        <v>Western Europe</v>
      </c>
    </row>
    <row r="65" spans="1:8" ht="16">
      <c r="A65" s="10" t="str">
        <f>'Sovereign Ratings (Moody''s,S&amp;P)'!A65</f>
        <v>India</v>
      </c>
      <c r="B65" s="197">
        <f>'Country GDP'!B65</f>
        <v>2263.79</v>
      </c>
      <c r="C65" s="11" t="str">
        <f>'Sovereign Ratings (Moody''s,S&amp;P)'!C65</f>
        <v>Baa2</v>
      </c>
      <c r="D65" s="24">
        <f>'ERPs by country'!D71</f>
        <v>2.201202979158836E-2</v>
      </c>
      <c r="E65" s="12">
        <f>'ERPs by country'!E71</f>
        <v>8.0594049277355057E-2</v>
      </c>
      <c r="F65" s="16">
        <f>'ERPs by country'!F71</f>
        <v>2.6894049277355052E-2</v>
      </c>
      <c r="G65" s="16">
        <f>'Country Tax Rates'!B65</f>
        <v>0.3</v>
      </c>
      <c r="H65" s="17" t="str">
        <f>VLOOKUP(A65,'Regional lookup table'!$A$2:$B$156,2)</f>
        <v>Asia</v>
      </c>
    </row>
    <row r="66" spans="1:8" ht="16">
      <c r="A66" s="10" t="str">
        <f>'Sovereign Ratings (Moody''s,S&amp;P)'!A66</f>
        <v>Indonesia</v>
      </c>
      <c r="B66" s="197">
        <f>'Country GDP'!B66</f>
        <v>932.26</v>
      </c>
      <c r="C66" s="11" t="str">
        <f>'Sovereign Ratings (Moody''s,S&amp;P)'!C66</f>
        <v>Baa2</v>
      </c>
      <c r="D66" s="24">
        <f>'ERPs by country'!D72</f>
        <v>2.201202979158836E-2</v>
      </c>
      <c r="E66" s="12">
        <f>'ERPs by country'!E72</f>
        <v>8.0594049277355057E-2</v>
      </c>
      <c r="F66" s="16">
        <f>'ERPs by country'!F72</f>
        <v>2.6894049277355052E-2</v>
      </c>
      <c r="G66" s="16">
        <f>'Country Tax Rates'!B66</f>
        <v>0.25</v>
      </c>
      <c r="H66" s="17" t="str">
        <f>VLOOKUP(A66,'Regional lookup table'!$A$2:$B$156,2)</f>
        <v>Asia</v>
      </c>
    </row>
    <row r="67" spans="1:8" ht="16">
      <c r="A67" s="10" t="str">
        <f>'Sovereign Ratings (Moody''s,S&amp;P)'!A67</f>
        <v>Iraq</v>
      </c>
      <c r="B67" s="197">
        <f>'Country GDP'!B67</f>
        <v>171.49</v>
      </c>
      <c r="C67" s="11" t="str">
        <f>'Sovereign Ratings (Moody''s,S&amp;P)'!C67</f>
        <v>Caa1</v>
      </c>
      <c r="D67" s="24">
        <f>'ERPs by country'!D73</f>
        <v>8.6691927757393011E-2</v>
      </c>
      <c r="E67" s="12">
        <f>'ERPs by country'!E73</f>
        <v>0.15961921777005708</v>
      </c>
      <c r="F67" s="16">
        <f>'ERPs by country'!F73</f>
        <v>0.10591921777005708</v>
      </c>
      <c r="G67" s="16">
        <f>'Country Tax Rates'!B67</f>
        <v>0.15</v>
      </c>
      <c r="H67" s="17" t="str">
        <f>VLOOKUP(A67,'Regional lookup table'!$A$2:$B$156,2)</f>
        <v>Middle East</v>
      </c>
    </row>
    <row r="68" spans="1:8" ht="16">
      <c r="A68" s="10" t="str">
        <f>'Sovereign Ratings (Moody''s,S&amp;P)'!A68</f>
        <v>Ireland</v>
      </c>
      <c r="B68" s="197">
        <f>'Country GDP'!B68</f>
        <v>304.82</v>
      </c>
      <c r="C68" s="11" t="str">
        <f>'Sovereign Ratings (Moody''s,S&amp;P)'!C68</f>
        <v>A2</v>
      </c>
      <c r="D68" s="24">
        <f>'ERPs by country'!D74</f>
        <v>9.8063071109445767E-3</v>
      </c>
      <c r="E68" s="12">
        <f>'ERPs by country'!E74</f>
        <v>6.5681235223087081E-2</v>
      </c>
      <c r="F68" s="16">
        <f>'ERPs by country'!F74</f>
        <v>1.1981235223087083E-2</v>
      </c>
      <c r="G68" s="16">
        <f>'Country Tax Rates'!B68</f>
        <v>0.125</v>
      </c>
      <c r="H68" s="17" t="str">
        <f>VLOOKUP(A68,'Regional lookup table'!$A$2:$B$156,2)</f>
        <v>Western Europe</v>
      </c>
    </row>
    <row r="69" spans="1:8" ht="16">
      <c r="A69" s="10" t="str">
        <f>'Sovereign Ratings (Moody''s,S&amp;P)'!A69</f>
        <v>Isle of Man</v>
      </c>
      <c r="B69" s="197">
        <f>'Country GDP'!B69</f>
        <v>7.4</v>
      </c>
      <c r="C69" s="11" t="str">
        <f>'Sovereign Ratings (Moody''s,S&amp;P)'!C69</f>
        <v>Aa2</v>
      </c>
      <c r="D69" s="24">
        <f>'ERPs by country'!D75</f>
        <v>5.7377328840633162E-3</v>
      </c>
      <c r="E69" s="12">
        <f>'ERPs by country'!E75</f>
        <v>6.0710297204997758E-2</v>
      </c>
      <c r="F69" s="16">
        <f>'ERPs by country'!F75</f>
        <v>7.0102972049977622E-3</v>
      </c>
      <c r="G69" s="16">
        <f>'Country Tax Rates'!B69</f>
        <v>0</v>
      </c>
      <c r="H69" s="17" t="str">
        <f>VLOOKUP(A69,'Regional lookup table'!$A$2:$B$156,2)</f>
        <v>Western Europe</v>
      </c>
    </row>
    <row r="70" spans="1:8" ht="16">
      <c r="A70" s="10" t="str">
        <f>'Sovereign Ratings (Moody''s,S&amp;P)'!A70</f>
        <v>Israel</v>
      </c>
      <c r="B70" s="197">
        <f>'Country GDP'!B70</f>
        <v>317.74</v>
      </c>
      <c r="C70" s="11" t="str">
        <f>'Sovereign Ratings (Moody''s,S&amp;P)'!C70</f>
        <v>A1</v>
      </c>
      <c r="D70" s="24">
        <f>'ERPs by country'!D76</f>
        <v>8.1371484537625226E-3</v>
      </c>
      <c r="E70" s="12">
        <f>'ERPs by country'!E76</f>
        <v>6.3641876036178643E-2</v>
      </c>
      <c r="F70" s="16">
        <f>'ERPs by country'!F76</f>
        <v>9.9418760361786457E-3</v>
      </c>
      <c r="G70" s="16">
        <f>'Country Tax Rates'!B70</f>
        <v>0.24</v>
      </c>
      <c r="H70" s="17" t="str">
        <f>VLOOKUP(A70,'Regional lookup table'!$A$2:$B$156,2)</f>
        <v>Middle East</v>
      </c>
    </row>
    <row r="71" spans="1:8" ht="16">
      <c r="A71" s="10" t="str">
        <f>'Sovereign Ratings (Moody''s,S&amp;P)'!A71</f>
        <v>Italy</v>
      </c>
      <c r="B71" s="197">
        <f>'Country GDP'!B71</f>
        <v>1858.91</v>
      </c>
      <c r="C71" s="11" t="str">
        <f>'Sovereign Ratings (Moody''s,S&amp;P)'!C71</f>
        <v>Baa2</v>
      </c>
      <c r="D71" s="24">
        <f>'ERPs by country'!D77</f>
        <v>2.201202979158836E-2</v>
      </c>
      <c r="E71" s="12">
        <f>'ERPs by country'!E77</f>
        <v>8.0594049277355057E-2</v>
      </c>
      <c r="F71" s="16">
        <f>'ERPs by country'!F77</f>
        <v>2.6894049277355052E-2</v>
      </c>
      <c r="G71" s="16">
        <f>'Country Tax Rates'!B71</f>
        <v>0.24</v>
      </c>
      <c r="H71" s="17" t="str">
        <f>VLOOKUP(A71,'Regional lookup table'!$A$2:$B$156,2)</f>
        <v>Western Europe</v>
      </c>
    </row>
    <row r="72" spans="1:8" ht="16">
      <c r="A72" s="10" t="str">
        <f>'Sovereign Ratings (Moody''s,S&amp;P)'!A72</f>
        <v>Jamaica</v>
      </c>
      <c r="B72" s="197">
        <f>'Country GDP'!B72</f>
        <v>14.06</v>
      </c>
      <c r="C72" s="11" t="str">
        <f>'Sovereign Ratings (Moody''s,S&amp;P)'!C72</f>
        <v>B3</v>
      </c>
      <c r="D72" s="24">
        <f>'ERPs by country'!D78</f>
        <v>7.5216461989266389E-2</v>
      </c>
      <c r="E72" s="12">
        <f>'ERPs by country'!E78</f>
        <v>0.14559862336006157</v>
      </c>
      <c r="F72" s="16">
        <f>'ERPs by country'!F78</f>
        <v>9.1898623360061577E-2</v>
      </c>
      <c r="G72" s="16">
        <f>'Country Tax Rates'!B72</f>
        <v>0.25</v>
      </c>
      <c r="H72" s="17" t="str">
        <f>VLOOKUP(A72,'Regional lookup table'!$A$2:$B$156,2)</f>
        <v>Caribbean</v>
      </c>
    </row>
    <row r="73" spans="1:8" ht="16">
      <c r="A73" s="10" t="str">
        <f>'Sovereign Ratings (Moody''s,S&amp;P)'!A73</f>
        <v>Japan</v>
      </c>
      <c r="B73" s="197">
        <f>'Country GDP'!B73</f>
        <v>4940.16</v>
      </c>
      <c r="C73" s="11" t="str">
        <f>'Sovereign Ratings (Moody''s,S&amp;P)'!C73</f>
        <v>A1</v>
      </c>
      <c r="D73" s="24">
        <f>'ERPs by country'!D79</f>
        <v>8.1371484537625226E-3</v>
      </c>
      <c r="E73" s="12">
        <f>'ERPs by country'!E79</f>
        <v>6.3641876036178643E-2</v>
      </c>
      <c r="F73" s="16">
        <f>'ERPs by country'!F79</f>
        <v>9.9418760361786457E-3</v>
      </c>
      <c r="G73" s="16">
        <f>'Country Tax Rates'!B73</f>
        <v>0.30859999999999999</v>
      </c>
      <c r="H73" s="17" t="str">
        <f>VLOOKUP(A73,'Regional lookup table'!$A$2:$B$156,2)</f>
        <v>Asia</v>
      </c>
    </row>
    <row r="74" spans="1:8" ht="16">
      <c r="A74" s="10" t="str">
        <f>'Sovereign Ratings (Moody''s,S&amp;P)'!A74</f>
        <v>Jersey (States of)</v>
      </c>
      <c r="B74" s="197">
        <f>'Country GDP'!B74</f>
        <v>1</v>
      </c>
      <c r="C74" s="11" t="str">
        <f>'Sovereign Ratings (Moody''s,S&amp;P)'!C74</f>
        <v>Aa3</v>
      </c>
      <c r="D74" s="24">
        <f>'ERPs by country'!D80</f>
        <v>6.9896018769498571E-3</v>
      </c>
      <c r="E74" s="12">
        <f>'ERPs by country'!E80</f>
        <v>6.223981659517909E-2</v>
      </c>
      <c r="F74" s="16">
        <f>'ERPs by country'!F80</f>
        <v>8.5398165951790905E-3</v>
      </c>
      <c r="G74" s="16">
        <f>'Country Tax Rates'!B74</f>
        <v>0.2</v>
      </c>
      <c r="H74" s="17" t="str">
        <f>VLOOKUP(A74,'Regional lookup table'!$A$2:$B$156,2)</f>
        <v>Western Europe</v>
      </c>
    </row>
    <row r="75" spans="1:8" ht="16">
      <c r="A75" s="10" t="str">
        <f>'Sovereign Ratings (Moody''s,S&amp;P)'!A75</f>
        <v>Jordan</v>
      </c>
      <c r="B75" s="197">
        <f>'Country GDP'!B75</f>
        <v>38.65</v>
      </c>
      <c r="C75" s="11" t="str">
        <f>'Sovereign Ratings (Moody''s,S&amp;P)'!C75</f>
        <v>B1</v>
      </c>
      <c r="D75" s="24">
        <f>'ERPs by country'!D81</f>
        <v>5.2056885620865363E-2</v>
      </c>
      <c r="E75" s="12">
        <f>'ERPs by country'!E81</f>
        <v>0.11730251464170696</v>
      </c>
      <c r="F75" s="16">
        <f>'ERPs by country'!F81</f>
        <v>6.3602514641706964E-2</v>
      </c>
      <c r="G75" s="16">
        <f>'Country Tax Rates'!B75</f>
        <v>0.2</v>
      </c>
      <c r="H75" s="17" t="str">
        <f>VLOOKUP(A75,'Regional lookup table'!$A$2:$B$156,2)</f>
        <v>Middle East</v>
      </c>
    </row>
    <row r="76" spans="1:8" ht="16">
      <c r="A76" s="10" t="str">
        <f>'Sovereign Ratings (Moody''s,S&amp;P)'!A76</f>
        <v>Kazakhstan</v>
      </c>
      <c r="B76" s="197">
        <f>'Country GDP'!B76</f>
        <v>137.28</v>
      </c>
      <c r="C76" s="11" t="str">
        <f>'Sovereign Ratings (Moody''s,S&amp;P)'!C76</f>
        <v>Baa3</v>
      </c>
      <c r="D76" s="24">
        <f>'ERPs by country'!D82</f>
        <v>2.5454669522026348E-2</v>
      </c>
      <c r="E76" s="12">
        <f>'ERPs by country'!E82</f>
        <v>8.4800227600353703E-2</v>
      </c>
      <c r="F76" s="16">
        <f>'ERPs by country'!F82</f>
        <v>3.1100227600353709E-2</v>
      </c>
      <c r="G76" s="16">
        <f>'Country Tax Rates'!B76</f>
        <v>0.2</v>
      </c>
      <c r="H76" s="17" t="str">
        <f>VLOOKUP(A76,'Regional lookup table'!$A$2:$B$156,2)</f>
        <v>Eastern Europe &amp; Russia</v>
      </c>
    </row>
    <row r="77" spans="1:8" ht="16">
      <c r="A77" s="10" t="str">
        <f>'Sovereign Ratings (Moody''s,S&amp;P)'!A77</f>
        <v>Kenya</v>
      </c>
      <c r="B77" s="197">
        <f>'Country GDP'!B77</f>
        <v>70.53</v>
      </c>
      <c r="C77" s="11" t="str">
        <f>'Sovereign Ratings (Moody''s,S&amp;P)'!C77</f>
        <v>B2</v>
      </c>
      <c r="D77" s="24">
        <f>'ERPs by country'!D83</f>
        <v>6.3636673805065866E-2</v>
      </c>
      <c r="E77" s="12">
        <f>'ERPs by country'!E83</f>
        <v>0.13145056900088425</v>
      </c>
      <c r="F77" s="16">
        <f>'ERPs by country'!F83</f>
        <v>7.7750569000884256E-2</v>
      </c>
      <c r="G77" s="16">
        <f>'Country Tax Rates'!B77</f>
        <v>0.3</v>
      </c>
      <c r="H77" s="17" t="str">
        <f>VLOOKUP(A77,'Regional lookup table'!$A$2:$B$156,2)</f>
        <v>Africa</v>
      </c>
    </row>
    <row r="78" spans="1:8" ht="16">
      <c r="A78" s="10" t="str">
        <f>'Sovereign Ratings (Moody''s,S&amp;P)'!A78</f>
        <v>Korea</v>
      </c>
      <c r="B78" s="197">
        <f>'Country GDP'!B78</f>
        <v>1411.25</v>
      </c>
      <c r="C78" s="11" t="str">
        <f>'Sovereign Ratings (Moody''s,S&amp;P)'!C78</f>
        <v>Aa2</v>
      </c>
      <c r="D78" s="24">
        <f>'ERPs by country'!D84</f>
        <v>5.7377328840633162E-3</v>
      </c>
      <c r="E78" s="12">
        <f>'ERPs by country'!E84</f>
        <v>6.0710297204997758E-2</v>
      </c>
      <c r="F78" s="16">
        <f>'ERPs by country'!F84</f>
        <v>7.0102972049977622E-3</v>
      </c>
      <c r="G78" s="16">
        <f>'Country Tax Rates'!B78</f>
        <v>0.22</v>
      </c>
      <c r="H78" s="17" t="str">
        <f>VLOOKUP(A78,'Regional lookup table'!$A$2:$B$156,2)</f>
        <v>Asia</v>
      </c>
    </row>
    <row r="79" spans="1:8" ht="16">
      <c r="A79" s="10" t="str">
        <f>'Sovereign Ratings (Moody''s,S&amp;P)'!A79</f>
        <v>Kuwait</v>
      </c>
      <c r="B79" s="197">
        <f>'Country GDP'!B79</f>
        <v>110.88</v>
      </c>
      <c r="C79" s="11" t="str">
        <f>'Sovereign Ratings (Moody''s,S&amp;P)'!C79</f>
        <v>Aa2</v>
      </c>
      <c r="D79" s="24">
        <f>'ERPs by country'!D85</f>
        <v>5.7377328840633162E-3</v>
      </c>
      <c r="E79" s="12">
        <f>'ERPs by country'!E85</f>
        <v>6.0710297204997758E-2</v>
      </c>
      <c r="F79" s="16">
        <f>'ERPs by country'!F85</f>
        <v>7.0102972049977622E-3</v>
      </c>
      <c r="G79" s="16">
        <f>'Country Tax Rates'!B79</f>
        <v>0.15</v>
      </c>
      <c r="H79" s="17" t="str">
        <f>VLOOKUP(A79,'Regional lookup table'!$A$2:$B$156,2)</f>
        <v>Middle East</v>
      </c>
    </row>
    <row r="80" spans="1:8" ht="16">
      <c r="A80" s="10" t="str">
        <f>'Sovereign Ratings (Moody''s,S&amp;P)'!A80</f>
        <v>Kyrgyzstan</v>
      </c>
      <c r="B80" s="197">
        <f>'Country GDP'!B80</f>
        <v>6.55</v>
      </c>
      <c r="C80" s="11" t="str">
        <f>'Sovereign Ratings (Moody''s,S&amp;P)'!C80</f>
        <v>B2</v>
      </c>
      <c r="D80" s="24">
        <f>'ERPs by country'!D86</f>
        <v>6.3636673805065866E-2</v>
      </c>
      <c r="E80" s="12">
        <f>'ERPs by country'!E86</f>
        <v>0.13145056900088425</v>
      </c>
      <c r="F80" s="16">
        <f>'ERPs by country'!F86</f>
        <v>7.7750569000884256E-2</v>
      </c>
      <c r="G80" s="16">
        <f>'Country Tax Rates'!B80</f>
        <v>0.15</v>
      </c>
      <c r="H80" s="17" t="str">
        <f>VLOOKUP(A80,'Regional lookup table'!$A$2:$B$156,2)</f>
        <v>Eastern Europe &amp; Russia</v>
      </c>
    </row>
    <row r="81" spans="1:8" ht="16">
      <c r="A81" s="10" t="str">
        <f>'Sovereign Ratings (Moody''s,S&amp;P)'!A81</f>
        <v>Latvia</v>
      </c>
      <c r="B81" s="197">
        <f>'Country GDP'!B81</f>
        <v>27.57</v>
      </c>
      <c r="C81" s="11" t="str">
        <f>'Sovereign Ratings (Moody''s,S&amp;P)'!C81</f>
        <v>A3</v>
      </c>
      <c r="D81" s="24">
        <f>'ERPs by country'!D87</f>
        <v>1.3874881337825837E-2</v>
      </c>
      <c r="E81" s="12">
        <f>'ERPs by country'!E87</f>
        <v>7.0652173241176397E-2</v>
      </c>
      <c r="F81" s="16">
        <f>'ERPs by country'!F87</f>
        <v>1.6952173241176406E-2</v>
      </c>
      <c r="G81" s="16">
        <f>'Country Tax Rates'!B81</f>
        <v>0.15</v>
      </c>
      <c r="H81" s="17" t="str">
        <f>VLOOKUP(A81,'Regional lookup table'!$A$2:$B$156,2)</f>
        <v>Eastern Europe &amp; Russia</v>
      </c>
    </row>
    <row r="82" spans="1:8" ht="16">
      <c r="A82" s="10" t="str">
        <f>'Sovereign Ratings (Moody''s,S&amp;P)'!A82</f>
        <v>Lebanon</v>
      </c>
      <c r="B82" s="197">
        <f>'Country GDP'!B82</f>
        <v>49.6</v>
      </c>
      <c r="C82" s="11" t="str">
        <f>'Sovereign Ratings (Moody''s,S&amp;P)'!C82</f>
        <v>B3</v>
      </c>
      <c r="D82" s="24">
        <f>'ERPs by country'!D88</f>
        <v>7.5216461989266389E-2</v>
      </c>
      <c r="E82" s="12">
        <f>'ERPs by country'!E88</f>
        <v>0.14559862336006157</v>
      </c>
      <c r="F82" s="16">
        <f>'ERPs by country'!F88</f>
        <v>9.1898623360061577E-2</v>
      </c>
      <c r="G82" s="16">
        <f>'Country Tax Rates'!B82</f>
        <v>0.15</v>
      </c>
      <c r="H82" s="17" t="str">
        <f>VLOOKUP(A82,'Regional lookup table'!$A$2:$B$156,2)</f>
        <v>Middle East</v>
      </c>
    </row>
    <row r="83" spans="1:8" ht="16">
      <c r="A83" s="10" t="str">
        <f>'Sovereign Ratings (Moody''s,S&amp;P)'!A83</f>
        <v>Liechtenstein</v>
      </c>
      <c r="B83" s="197">
        <f>'Country GDP'!B83</f>
        <v>6.7</v>
      </c>
      <c r="C83" s="11" t="str">
        <f>'Sovereign Ratings (Moody''s,S&amp;P)'!C83</f>
        <v>Aaa</v>
      </c>
      <c r="D83" s="24">
        <f>'ERPs by country'!D89</f>
        <v>0</v>
      </c>
      <c r="E83" s="12">
        <f>'ERPs by country'!E89</f>
        <v>5.3699999999999998E-2</v>
      </c>
      <c r="F83" s="16">
        <f>'ERPs by country'!F89</f>
        <v>0</v>
      </c>
      <c r="G83" s="16">
        <f>'Country Tax Rates'!B83</f>
        <v>0.125</v>
      </c>
      <c r="H83" s="17" t="str">
        <f>VLOOKUP(A83,'Regional lookup table'!$A$2:$B$156,2)</f>
        <v>Western Europe</v>
      </c>
    </row>
    <row r="84" spans="1:8" ht="16">
      <c r="A84" s="10" t="str">
        <f>'Sovereign Ratings (Moody''s,S&amp;P)'!A84</f>
        <v>Lithuania</v>
      </c>
      <c r="B84" s="197">
        <f>'Country GDP'!B84</f>
        <v>42.74</v>
      </c>
      <c r="C84" s="11" t="str">
        <f>'Sovereign Ratings (Moody''s,S&amp;P)'!C84</f>
        <v>A3</v>
      </c>
      <c r="D84" s="24">
        <f>'ERPs by country'!D90</f>
        <v>1.3874881337825837E-2</v>
      </c>
      <c r="E84" s="12">
        <f>'ERPs by country'!E90</f>
        <v>7.0652173241176397E-2</v>
      </c>
      <c r="F84" s="16">
        <f>'ERPs by country'!F90</f>
        <v>1.6952173241176406E-2</v>
      </c>
      <c r="G84" s="16">
        <f>'Country Tax Rates'!B84</f>
        <v>0.15</v>
      </c>
      <c r="H84" s="17" t="str">
        <f>VLOOKUP(A84,'Regional lookup table'!$A$2:$B$156,2)</f>
        <v>Eastern Europe &amp; Russia</v>
      </c>
    </row>
    <row r="85" spans="1:8" ht="16">
      <c r="A85" s="10" t="str">
        <f>'Sovereign Ratings (Moody''s,S&amp;P)'!A85</f>
        <v>Luxembourg</v>
      </c>
      <c r="B85" s="197">
        <f>'Country GDP'!B85</f>
        <v>58.63</v>
      </c>
      <c r="C85" s="11" t="str">
        <f>'Sovereign Ratings (Moody''s,S&amp;P)'!C85</f>
        <v>Aaa</v>
      </c>
      <c r="D85" s="24">
        <f>'ERPs by country'!D91</f>
        <v>0</v>
      </c>
      <c r="E85" s="12">
        <f>'ERPs by country'!E91</f>
        <v>5.3699999999999998E-2</v>
      </c>
      <c r="F85" s="16">
        <f>'ERPs by country'!F91</f>
        <v>0</v>
      </c>
      <c r="G85" s="16">
        <f>'Country Tax Rates'!B85</f>
        <v>0.27079999999999999</v>
      </c>
      <c r="H85" s="17" t="str">
        <f>VLOOKUP(A85,'Regional lookup table'!$A$2:$B$156,2)</f>
        <v>Western Europe</v>
      </c>
    </row>
    <row r="86" spans="1:8" ht="16">
      <c r="A86" s="10" t="str">
        <f>'Sovereign Ratings (Moody''s,S&amp;P)'!A86</f>
        <v>Macao</v>
      </c>
      <c r="B86" s="197">
        <f>'Country GDP'!B86</f>
        <v>44.8</v>
      </c>
      <c r="C86" s="11" t="str">
        <f>'Sovereign Ratings (Moody''s,S&amp;P)'!C86</f>
        <v>Aa3</v>
      </c>
      <c r="D86" s="24">
        <f>'ERPs by country'!D92</f>
        <v>6.9896018769498571E-3</v>
      </c>
      <c r="E86" s="12">
        <f>'ERPs by country'!E92</f>
        <v>6.223981659517909E-2</v>
      </c>
      <c r="F86" s="16">
        <f>'ERPs by country'!F92</f>
        <v>8.5398165951790905E-3</v>
      </c>
      <c r="G86" s="16">
        <f>'Country Tax Rates'!B86</f>
        <v>0.12</v>
      </c>
      <c r="H86" s="17" t="str">
        <f>VLOOKUP(A86,'Regional lookup table'!$A$2:$B$156,2)</f>
        <v>Asia</v>
      </c>
    </row>
    <row r="87" spans="1:8" ht="16">
      <c r="A87" s="10" t="str">
        <f>'Sovereign Ratings (Moody''s,S&amp;P)'!A87</f>
        <v>Macedonia</v>
      </c>
      <c r="B87" s="197">
        <f>'Country GDP'!B87</f>
        <v>10.9</v>
      </c>
      <c r="C87" s="11" t="str">
        <f>'Sovereign Ratings (Moody''s,S&amp;P)'!C87</f>
        <v>Ba3</v>
      </c>
      <c r="D87" s="24">
        <f>'ERPs by country'!D93</f>
        <v>4.1624644013477513E-2</v>
      </c>
      <c r="E87" s="12">
        <f>'ERPs by country'!E93</f>
        <v>0.10455651972352922</v>
      </c>
      <c r="F87" s="16">
        <f>'ERPs by country'!F93</f>
        <v>5.0856519723529219E-2</v>
      </c>
      <c r="G87" s="16">
        <f>'Country Tax Rates'!B87</f>
        <v>0.1</v>
      </c>
      <c r="H87" s="17" t="str">
        <f>VLOOKUP(A87,'Regional lookup table'!$A$2:$B$156,2)</f>
        <v>Eastern Europe &amp; Russia</v>
      </c>
    </row>
    <row r="88" spans="1:8" ht="16">
      <c r="A88" s="10" t="str">
        <f>'Sovereign Ratings (Moody''s,S&amp;P)'!A88</f>
        <v>Malaysia</v>
      </c>
      <c r="B88" s="197">
        <f>'Country GDP'!B88</f>
        <v>296.54000000000002</v>
      </c>
      <c r="C88" s="11" t="str">
        <f>'Sovereign Ratings (Moody''s,S&amp;P)'!C88</f>
        <v>A3</v>
      </c>
      <c r="D88" s="24">
        <f>'ERPs by country'!D94</f>
        <v>1.3874881337825837E-2</v>
      </c>
      <c r="E88" s="12">
        <f>'ERPs by country'!E94</f>
        <v>7.0652173241176397E-2</v>
      </c>
      <c r="F88" s="16">
        <f>'ERPs by country'!F94</f>
        <v>1.6952173241176406E-2</v>
      </c>
      <c r="G88" s="16">
        <f>'Country Tax Rates'!B88</f>
        <v>0.24</v>
      </c>
      <c r="H88" s="17" t="str">
        <f>VLOOKUP(A88,'Regional lookup table'!$A$2:$B$156,2)</f>
        <v>Asia</v>
      </c>
    </row>
    <row r="89" spans="1:8" ht="16">
      <c r="A89" s="10" t="str">
        <f>'Sovereign Ratings (Moody''s,S&amp;P)'!A89</f>
        <v>Maldives</v>
      </c>
      <c r="B89" s="197">
        <f>'Country GDP'!B89</f>
        <v>4.22</v>
      </c>
      <c r="C89" s="11" t="str">
        <f>'Sovereign Ratings (Moody''s,S&amp;P)'!C89</f>
        <v>B2</v>
      </c>
      <c r="D89" s="24">
        <f>'ERPs by country'!D96</f>
        <v>1.3874881337825837E-2</v>
      </c>
      <c r="E89" s="12">
        <f>'ERPs by country'!E96</f>
        <v>7.0652173241176397E-2</v>
      </c>
      <c r="F89" s="16">
        <f>'ERPs by country'!F96</f>
        <v>1.6952173241176406E-2</v>
      </c>
      <c r="G89" s="16">
        <f>'Country Tax Rates'!B89</f>
        <v>0.35</v>
      </c>
      <c r="H89" s="17" t="str">
        <f>VLOOKUP(A89,'Regional lookup table'!$A$2:$B$156,2)</f>
        <v>Asia</v>
      </c>
    </row>
    <row r="90" spans="1:8" ht="16">
      <c r="A90" s="10" t="str">
        <f>'Sovereign Ratings (Moody''s,S&amp;P)'!A90</f>
        <v>Malta</v>
      </c>
      <c r="B90" s="197">
        <f>'Country GDP'!B90</f>
        <v>11</v>
      </c>
      <c r="C90" s="11" t="str">
        <f>'Sovereign Ratings (Moody''s,S&amp;P)'!C90</f>
        <v>A3</v>
      </c>
      <c r="D90" s="24">
        <f>'ERPs by country'!D96</f>
        <v>1.3874881337825837E-2</v>
      </c>
      <c r="E90" s="12">
        <f>'ERPs by country'!E96</f>
        <v>7.0652173241176397E-2</v>
      </c>
      <c r="F90" s="16">
        <f>'ERPs by country'!F96</f>
        <v>1.6952173241176406E-2</v>
      </c>
      <c r="G90" s="16">
        <f>'Country Tax Rates'!B89</f>
        <v>0.35</v>
      </c>
      <c r="H90" s="17" t="str">
        <f>VLOOKUP(A90,'Regional lookup table'!$A$2:$B$156,2)</f>
        <v>Western Europe</v>
      </c>
    </row>
    <row r="91" spans="1:8" ht="16">
      <c r="A91" s="10" t="str">
        <f>'Sovereign Ratings (Moody''s,S&amp;P)'!A91</f>
        <v>Mauritius</v>
      </c>
      <c r="B91" s="197">
        <f>'Country GDP'!B91</f>
        <v>12.17</v>
      </c>
      <c r="C91" s="11" t="str">
        <f>'Sovereign Ratings (Moody''s,S&amp;P)'!C91</f>
        <v>Baa1</v>
      </c>
      <c r="D91" s="24">
        <f>'ERPs by country'!D97</f>
        <v>1.846506764507649E-2</v>
      </c>
      <c r="E91" s="12">
        <f>'ERPs by country'!E97</f>
        <v>7.6260411005174611E-2</v>
      </c>
      <c r="F91" s="16">
        <f>'ERPs by country'!F97</f>
        <v>2.2560411005174617E-2</v>
      </c>
      <c r="G91" s="16">
        <f>'Country Tax Rates'!B90</f>
        <v>0.15</v>
      </c>
      <c r="H91" s="17" t="str">
        <f>VLOOKUP(A91,'Regional lookup table'!$A$2:$B$156,2)</f>
        <v>Asia</v>
      </c>
    </row>
    <row r="92" spans="1:8" ht="16">
      <c r="A92" s="10" t="str">
        <f>'Sovereign Ratings (Moody''s,S&amp;P)'!A92</f>
        <v>Mexico</v>
      </c>
      <c r="B92" s="197">
        <f>'Country GDP'!B92</f>
        <v>1046.92</v>
      </c>
      <c r="C92" s="11" t="str">
        <f>'Sovereign Ratings (Moody''s,S&amp;P)'!C92</f>
        <v>A3</v>
      </c>
      <c r="D92" s="24">
        <f>'ERPs by country'!D98</f>
        <v>1.3874881337825837E-2</v>
      </c>
      <c r="E92" s="12">
        <f>'ERPs by country'!E98</f>
        <v>7.0652173241176397E-2</v>
      </c>
      <c r="F92" s="16">
        <f>'ERPs by country'!F98</f>
        <v>1.6952173241176406E-2</v>
      </c>
      <c r="G92" s="16">
        <f>'Country Tax Rates'!B91</f>
        <v>0.3</v>
      </c>
      <c r="H92" s="17" t="str">
        <f>VLOOKUP(A92,'Regional lookup table'!$A$2:$B$156,2)</f>
        <v>Central and South America</v>
      </c>
    </row>
    <row r="93" spans="1:8" ht="16">
      <c r="A93" s="10" t="str">
        <f>'Sovereign Ratings (Moody''s,S&amp;P)'!A93</f>
        <v>Moldova</v>
      </c>
      <c r="B93" s="197">
        <f>'Country GDP'!B93</f>
        <v>6.75</v>
      </c>
      <c r="C93" s="11" t="str">
        <f>'Sovereign Ratings (Moody''s,S&amp;P)'!C93</f>
        <v>B3</v>
      </c>
      <c r="D93" s="24">
        <f>'ERPs by country'!D99</f>
        <v>7.5216461989266389E-2</v>
      </c>
      <c r="E93" s="12">
        <f>'ERPs by country'!E99</f>
        <v>0.14559862336006157</v>
      </c>
      <c r="F93" s="16">
        <f>'ERPs by country'!F99</f>
        <v>9.1898623360061577E-2</v>
      </c>
      <c r="G93" s="16">
        <f>'Country Tax Rates'!B92</f>
        <v>0.12</v>
      </c>
      <c r="H93" s="17" t="str">
        <f>VLOOKUP(A93,'Regional lookup table'!$A$2:$B$156,2)</f>
        <v>Eastern Europe &amp; Russia</v>
      </c>
    </row>
    <row r="94" spans="1:8" ht="16">
      <c r="A94" s="10" t="str">
        <f>'Sovereign Ratings (Moody''s,S&amp;P)'!A94</f>
        <v>Mongolia</v>
      </c>
      <c r="B94" s="197">
        <f>'Country GDP'!B94</f>
        <v>11.18</v>
      </c>
      <c r="C94" s="11" t="str">
        <f>'Sovereign Ratings (Moody''s,S&amp;P)'!C94</f>
        <v>B3</v>
      </c>
      <c r="D94" s="24">
        <f>'ERPs by country'!D100</f>
        <v>7.5216461989266389E-2</v>
      </c>
      <c r="E94" s="12">
        <f>'ERPs by country'!E100</f>
        <v>0.14559862336006157</v>
      </c>
      <c r="F94" s="16">
        <f>'ERPs by country'!F100</f>
        <v>9.1898623360061577E-2</v>
      </c>
      <c r="G94" s="16">
        <f>'Country Tax Rates'!B93</f>
        <v>0.25</v>
      </c>
      <c r="H94" s="17" t="str">
        <f>VLOOKUP(A94,'Regional lookup table'!$A$2:$B$156,2)</f>
        <v>Asia</v>
      </c>
    </row>
    <row r="95" spans="1:8" ht="16">
      <c r="A95" s="10" t="str">
        <f>'Sovereign Ratings (Moody''s,S&amp;P)'!A95</f>
        <v>Montenegro</v>
      </c>
      <c r="B95" s="197">
        <f>'Country GDP'!B95</f>
        <v>4.37</v>
      </c>
      <c r="C95" s="11" t="str">
        <f>'Sovereign Ratings (Moody''s,S&amp;P)'!C95</f>
        <v>B1</v>
      </c>
      <c r="D95" s="24">
        <f>'ERPs by country'!D101</f>
        <v>5.2056885620865363E-2</v>
      </c>
      <c r="E95" s="12">
        <f>'ERPs by country'!E101</f>
        <v>0.11730251464170696</v>
      </c>
      <c r="F95" s="16">
        <f>'ERPs by country'!F101</f>
        <v>6.3602514641706964E-2</v>
      </c>
      <c r="G95" s="16">
        <f>'Country Tax Rates'!B94</f>
        <v>0.09</v>
      </c>
      <c r="H95" s="17" t="str">
        <f>VLOOKUP(A95,'Regional lookup table'!$A$2:$B$156,2)</f>
        <v>Eastern Europe &amp; Russia</v>
      </c>
    </row>
    <row r="96" spans="1:8" ht="16">
      <c r="A96" s="10" t="str">
        <f>'Sovereign Ratings (Moody''s,S&amp;P)'!A96</f>
        <v>Montserrat</v>
      </c>
      <c r="B96" s="197">
        <f>'Country GDP'!B96</f>
        <v>1.5</v>
      </c>
      <c r="C96" s="11" t="str">
        <f>'Sovereign Ratings (Moody''s,S&amp;P)'!C96</f>
        <v>Baa3</v>
      </c>
      <c r="D96" s="24">
        <f>'ERPs by country'!D102</f>
        <v>2.5454669522026348E-2</v>
      </c>
      <c r="E96" s="12">
        <f>'ERPs by country'!E102</f>
        <v>8.4800227600353703E-2</v>
      </c>
      <c r="F96" s="16">
        <f>'ERPs by country'!F102</f>
        <v>3.1100227600353709E-2</v>
      </c>
      <c r="G96" s="16">
        <f>'Country Tax Rates'!B95</f>
        <v>0.27979999999999999</v>
      </c>
      <c r="H96" s="17" t="str">
        <f>VLOOKUP(A96,'Regional lookup table'!$A$2:$B$156,2)</f>
        <v>Caribbean</v>
      </c>
    </row>
    <row r="97" spans="1:8" ht="16">
      <c r="A97" s="10" t="str">
        <f>'Sovereign Ratings (Moody''s,S&amp;P)'!A97</f>
        <v>Morocco</v>
      </c>
      <c r="B97" s="197">
        <f>'Country GDP'!B97</f>
        <v>103.61</v>
      </c>
      <c r="C97" s="11" t="str">
        <f>'Sovereign Ratings (Moody''s,S&amp;P)'!C97</f>
        <v>Ba1</v>
      </c>
      <c r="D97" s="24">
        <f>'ERPs by country'!D103</f>
        <v>2.8897309252464341E-2</v>
      </c>
      <c r="E97" s="12">
        <f>'ERPs by country'!E103</f>
        <v>8.9006405923352364E-2</v>
      </c>
      <c r="F97" s="16">
        <f>'ERPs by country'!F103</f>
        <v>3.5306405923352366E-2</v>
      </c>
      <c r="G97" s="16">
        <f>'Country Tax Rates'!B96</f>
        <v>0.31</v>
      </c>
      <c r="H97" s="17" t="str">
        <f>VLOOKUP(A97,'Regional lookup table'!$A$2:$B$156,2)</f>
        <v>Africa</v>
      </c>
    </row>
    <row r="98" spans="1:8" ht="16">
      <c r="A98" s="10" t="str">
        <f>'Sovereign Ratings (Moody''s,S&amp;P)'!A98</f>
        <v>Mozambique</v>
      </c>
      <c r="B98" s="197">
        <f>'Country GDP'!B98</f>
        <v>11.01</v>
      </c>
      <c r="C98" s="11" t="str">
        <f>'Sovereign Ratings (Moody''s,S&amp;P)'!C98</f>
        <v>Caa3</v>
      </c>
      <c r="D98" s="24">
        <f>'ERPs by country'!D104</f>
        <v>0.11558923700985736</v>
      </c>
      <c r="E98" s="12">
        <f>'ERPs by country'!E104</f>
        <v>0.19492562369340946</v>
      </c>
      <c r="F98" s="16">
        <f>'ERPs by country'!F104</f>
        <v>0.14122562369340946</v>
      </c>
      <c r="G98" s="16">
        <f>'Country Tax Rates'!B97</f>
        <v>0.32</v>
      </c>
      <c r="H98" s="17" t="str">
        <f>VLOOKUP(A98,'Regional lookup table'!$A$2:$B$156,2)</f>
        <v>Africa</v>
      </c>
    </row>
    <row r="99" spans="1:8" ht="16">
      <c r="A99" s="10" t="str">
        <f>'Sovereign Ratings (Moody''s,S&amp;P)'!A99</f>
        <v>Namibia</v>
      </c>
      <c r="B99" s="197">
        <f>'Country GDP'!B99</f>
        <v>10.95</v>
      </c>
      <c r="C99" s="11" t="str">
        <f>'Sovereign Ratings (Moody''s,S&amp;P)'!C99</f>
        <v>Ba1</v>
      </c>
      <c r="D99" s="24">
        <f>'ERPs by country'!D105</f>
        <v>2.8897309252464341E-2</v>
      </c>
      <c r="E99" s="12">
        <f>'ERPs by country'!E105</f>
        <v>8.9006405923352364E-2</v>
      </c>
      <c r="F99" s="16">
        <f>'ERPs by country'!F105</f>
        <v>3.5306405923352366E-2</v>
      </c>
      <c r="G99" s="16">
        <f>'Country Tax Rates'!B98</f>
        <v>0.32</v>
      </c>
      <c r="H99" s="17" t="str">
        <f>VLOOKUP(A99,'Regional lookup table'!$A$2:$B$156,2)</f>
        <v>Africa</v>
      </c>
    </row>
    <row r="100" spans="1:8" ht="16">
      <c r="A100" s="10" t="str">
        <f>'Sovereign Ratings (Moody''s,S&amp;P)'!A100</f>
        <v>Netherlands</v>
      </c>
      <c r="B100" s="197">
        <f>'Country GDP'!B100</f>
        <v>777.23</v>
      </c>
      <c r="C100" s="11" t="str">
        <f>'Sovereign Ratings (Moody''s,S&amp;P)'!C100</f>
        <v>Aaa</v>
      </c>
      <c r="D100" s="24">
        <f>'ERPs by country'!D106</f>
        <v>0</v>
      </c>
      <c r="E100" s="12">
        <f>'ERPs by country'!E106</f>
        <v>5.3699999999999998E-2</v>
      </c>
      <c r="F100" s="16">
        <f>'ERPs by country'!F106</f>
        <v>0</v>
      </c>
      <c r="G100" s="16">
        <f>'Country Tax Rates'!B100</f>
        <v>0.25</v>
      </c>
      <c r="H100" s="17" t="str">
        <f>VLOOKUP(A100,'Regional lookup table'!$A$2:$B$156,2)</f>
        <v>Western Europe</v>
      </c>
    </row>
    <row r="101" spans="1:8" ht="16">
      <c r="A101" s="10" t="str">
        <f>'Sovereign Ratings (Moody''s,S&amp;P)'!A101</f>
        <v>New Zealand</v>
      </c>
      <c r="B101" s="197">
        <f>'Country GDP'!B101</f>
        <v>184.97</v>
      </c>
      <c r="C101" s="11" t="str">
        <f>'Sovereign Ratings (Moody''s,S&amp;P)'!C101</f>
        <v>Aaa</v>
      </c>
      <c r="D101" s="24">
        <f>'ERPs by country'!D107</f>
        <v>0</v>
      </c>
      <c r="E101" s="12">
        <f>'ERPs by country'!E107</f>
        <v>5.3699999999999998E-2</v>
      </c>
      <c r="F101" s="16">
        <f>'ERPs by country'!F107</f>
        <v>0</v>
      </c>
      <c r="G101" s="16">
        <f>'Country Tax Rates'!B101</f>
        <v>0.28000000000000003</v>
      </c>
      <c r="H101" s="17" t="str">
        <f>VLOOKUP(A101,'Regional lookup table'!$A$2:$B$156,2)</f>
        <v>Australia &amp; New Zealand</v>
      </c>
    </row>
    <row r="102" spans="1:8" ht="16">
      <c r="A102" s="10" t="str">
        <f>'Sovereign Ratings (Moody''s,S&amp;P)'!A102</f>
        <v>Nicaragua</v>
      </c>
      <c r="B102" s="197">
        <f>'Country GDP'!B102</f>
        <v>13.23</v>
      </c>
      <c r="C102" s="11" t="str">
        <f>'Sovereign Ratings (Moody''s,S&amp;P)'!C102</f>
        <v>B2</v>
      </c>
      <c r="D102" s="24">
        <f>'ERPs by country'!D108</f>
        <v>6.3636673805065866E-2</v>
      </c>
      <c r="E102" s="12">
        <f>'ERPs by country'!E108</f>
        <v>0.13145056900088425</v>
      </c>
      <c r="F102" s="16">
        <f>'ERPs by country'!F108</f>
        <v>7.7750569000884256E-2</v>
      </c>
      <c r="G102" s="16">
        <f>'Country Tax Rates'!B102</f>
        <v>0.3</v>
      </c>
      <c r="H102" s="17" t="str">
        <f>VLOOKUP(A102,'Regional lookup table'!$A$2:$B$156,2)</f>
        <v>Central and South America</v>
      </c>
    </row>
    <row r="103" spans="1:8" ht="16">
      <c r="A103" s="10" t="str">
        <f>'Sovereign Ratings (Moody''s,S&amp;P)'!A103</f>
        <v>Nigeria</v>
      </c>
      <c r="B103" s="197">
        <f>'Country GDP'!B103</f>
        <v>404.65</v>
      </c>
      <c r="C103" s="11" t="str">
        <f>'Sovereign Ratings (Moody''s,S&amp;P)'!C103</f>
        <v>B2</v>
      </c>
      <c r="D103" s="24">
        <f>'ERPs by country'!D109</f>
        <v>6.3636673805065866E-2</v>
      </c>
      <c r="E103" s="12">
        <f>'ERPs by country'!E109</f>
        <v>0.13145056900088425</v>
      </c>
      <c r="F103" s="16">
        <f>'ERPs by country'!F109</f>
        <v>7.7750569000884256E-2</v>
      </c>
      <c r="G103" s="16">
        <f>'Country Tax Rates'!B103</f>
        <v>0.3</v>
      </c>
      <c r="H103" s="17" t="str">
        <f>VLOOKUP(A103,'Regional lookup table'!$A$2:$B$156,2)</f>
        <v>Africa</v>
      </c>
    </row>
    <row r="104" spans="1:8" ht="16">
      <c r="A104" s="10" t="str">
        <f>'Sovereign Ratings (Moody''s,S&amp;P)'!A104</f>
        <v>Norway</v>
      </c>
      <c r="B104" s="197">
        <f>'Country GDP'!B104</f>
        <v>371.08</v>
      </c>
      <c r="C104" s="11" t="str">
        <f>'Sovereign Ratings (Moody''s,S&amp;P)'!C104</f>
        <v>Aaa</v>
      </c>
      <c r="D104" s="24">
        <f>'ERPs by country'!D110</f>
        <v>0</v>
      </c>
      <c r="E104" s="12">
        <f>'ERPs by country'!E110</f>
        <v>5.3699999999999998E-2</v>
      </c>
      <c r="F104" s="16">
        <f>'ERPs by country'!F110</f>
        <v>0</v>
      </c>
      <c r="G104" s="16">
        <f>'Country Tax Rates'!B104</f>
        <v>0.24</v>
      </c>
      <c r="H104" s="17" t="str">
        <f>VLOOKUP(A104,'Regional lookup table'!$A$2:$B$156,2)</f>
        <v>Western Europe</v>
      </c>
    </row>
    <row r="105" spans="1:8" ht="16">
      <c r="A105" s="10" t="str">
        <f>'Sovereign Ratings (Moody''s,S&amp;P)'!A105</f>
        <v>Oman</v>
      </c>
      <c r="B105" s="197">
        <f>'Country GDP'!B105</f>
        <v>66.290000000000006</v>
      </c>
      <c r="C105" s="11" t="str">
        <f>'Sovereign Ratings (Moody''s,S&amp;P)'!C105</f>
        <v>Baa3</v>
      </c>
      <c r="D105" s="24">
        <f>'ERPs by country'!D111</f>
        <v>2.5454669522026348E-2</v>
      </c>
      <c r="E105" s="12">
        <f>'ERPs by country'!E111</f>
        <v>8.4800227600353703E-2</v>
      </c>
      <c r="F105" s="16">
        <f>'ERPs by country'!F111</f>
        <v>3.1100227600353709E-2</v>
      </c>
      <c r="G105" s="16">
        <f>'Country Tax Rates'!B105</f>
        <v>0.15</v>
      </c>
      <c r="H105" s="17" t="str">
        <f>VLOOKUP(A105,'Regional lookup table'!$A$2:$B$156,2)</f>
        <v>Middle East</v>
      </c>
    </row>
    <row r="106" spans="1:8" ht="16">
      <c r="A106" s="10" t="str">
        <f>'Sovereign Ratings (Moody''s,S&amp;P)'!A106</f>
        <v>Pakistan</v>
      </c>
      <c r="B106" s="197">
        <f>'Country GDP'!B106</f>
        <v>278.91000000000003</v>
      </c>
      <c r="C106" s="11" t="str">
        <f>'Sovereign Ratings (Moody''s,S&amp;P)'!C106</f>
        <v>B3</v>
      </c>
      <c r="D106" s="24">
        <f>'ERPs by country'!D112</f>
        <v>7.5216461989266389E-2</v>
      </c>
      <c r="E106" s="12">
        <f>'ERPs by country'!E112</f>
        <v>0.14559862336006157</v>
      </c>
      <c r="F106" s="16">
        <f>'ERPs by country'!F112</f>
        <v>9.1898623360061577E-2</v>
      </c>
      <c r="G106" s="16">
        <f>'Country Tax Rates'!B106</f>
        <v>0.31</v>
      </c>
      <c r="H106" s="17" t="str">
        <f>VLOOKUP(A106,'Regional lookup table'!$A$2:$B$156,2)</f>
        <v>Asia</v>
      </c>
    </row>
    <row r="107" spans="1:8" ht="16">
      <c r="A107" s="10" t="str">
        <f>'Sovereign Ratings (Moody''s,S&amp;P)'!A107</f>
        <v>Panama</v>
      </c>
      <c r="B107" s="197">
        <f>'Country GDP'!B107</f>
        <v>55.19</v>
      </c>
      <c r="C107" s="11" t="str">
        <f>'Sovereign Ratings (Moody''s,S&amp;P)'!C107</f>
        <v>Baa2</v>
      </c>
      <c r="D107" s="24">
        <f>'ERPs by country'!D113</f>
        <v>2.201202979158836E-2</v>
      </c>
      <c r="E107" s="12">
        <f>'ERPs by country'!E113</f>
        <v>8.0594049277355057E-2</v>
      </c>
      <c r="F107" s="16">
        <f>'ERPs by country'!F113</f>
        <v>2.6894049277355052E-2</v>
      </c>
      <c r="G107" s="16">
        <f>'Country Tax Rates'!B107</f>
        <v>0.25</v>
      </c>
      <c r="H107" s="17" t="str">
        <f>VLOOKUP(A107,'Regional lookup table'!$A$2:$B$156,2)</f>
        <v>Central and South America</v>
      </c>
    </row>
    <row r="108" spans="1:8" ht="16">
      <c r="A108" s="10" t="str">
        <f>'Sovereign Ratings (Moody''s,S&amp;P)'!A108</f>
        <v>Papua New Guinea</v>
      </c>
      <c r="B108" s="197">
        <f>'Country GDP'!B108</f>
        <v>20.21</v>
      </c>
      <c r="C108" s="11" t="str">
        <f>'Sovereign Ratings (Moody''s,S&amp;P)'!C108</f>
        <v>B2</v>
      </c>
      <c r="D108" s="24">
        <f>'ERPs by country'!D114</f>
        <v>6.3636673805065866E-2</v>
      </c>
      <c r="E108" s="12">
        <f>'ERPs by country'!E114</f>
        <v>0.13145056900088425</v>
      </c>
      <c r="F108" s="16">
        <f>'ERPs by country'!F114</f>
        <v>7.7750569000884256E-2</v>
      </c>
      <c r="G108" s="16">
        <f>'Country Tax Rates'!B108</f>
        <v>0.3</v>
      </c>
      <c r="H108" s="17" t="str">
        <f>VLOOKUP(A108,'Regional lookup table'!$A$2:$B$156,2)</f>
        <v>Asia</v>
      </c>
    </row>
    <row r="109" spans="1:8" ht="16">
      <c r="A109" s="10" t="str">
        <f>'Sovereign Ratings (Moody''s,S&amp;P)'!A109</f>
        <v>Paraguay</v>
      </c>
      <c r="B109" s="197">
        <f>'Country GDP'!B109</f>
        <v>27.42</v>
      </c>
      <c r="C109" s="11" t="str">
        <f>'Sovereign Ratings (Moody''s,S&amp;P)'!C109</f>
        <v>Ba1</v>
      </c>
      <c r="D109" s="24">
        <f>'ERPs by country'!D115</f>
        <v>2.8897309252464341E-2</v>
      </c>
      <c r="E109" s="12">
        <f>'ERPs by country'!E115</f>
        <v>8.9006405923352364E-2</v>
      </c>
      <c r="F109" s="16">
        <f>'ERPs by country'!F115</f>
        <v>3.5306405923352366E-2</v>
      </c>
      <c r="G109" s="16">
        <f>'Country Tax Rates'!B109</f>
        <v>0.1</v>
      </c>
      <c r="H109" s="17" t="str">
        <f>VLOOKUP(A109,'Regional lookup table'!$A$2:$B$156,2)</f>
        <v>Central and South America</v>
      </c>
    </row>
    <row r="110" spans="1:8" ht="16">
      <c r="A110" s="10" t="str">
        <f>'Sovereign Ratings (Moody''s,S&amp;P)'!A110</f>
        <v>Peru</v>
      </c>
      <c r="B110" s="197">
        <f>'Country GDP'!B110</f>
        <v>192.21</v>
      </c>
      <c r="C110" s="11" t="str">
        <f>'Sovereign Ratings (Moody''s,S&amp;P)'!C110</f>
        <v>A3</v>
      </c>
      <c r="D110" s="24">
        <f>'ERPs by country'!D116</f>
        <v>1.3874881337825837E-2</v>
      </c>
      <c r="E110" s="12">
        <f>'ERPs by country'!E116</f>
        <v>7.0652173241176397E-2</v>
      </c>
      <c r="F110" s="16">
        <f>'ERPs by country'!F116</f>
        <v>1.6952173241176406E-2</v>
      </c>
      <c r="G110" s="16">
        <f>'Country Tax Rates'!B110</f>
        <v>0.29499999999999998</v>
      </c>
      <c r="H110" s="17" t="str">
        <f>VLOOKUP(A110,'Regional lookup table'!$A$2:$B$156,2)</f>
        <v>Central and South America</v>
      </c>
    </row>
    <row r="111" spans="1:8" ht="16">
      <c r="A111" s="10" t="str">
        <f>'Sovereign Ratings (Moody''s,S&amp;P)'!A111</f>
        <v>Philippines</v>
      </c>
      <c r="B111" s="197">
        <f>'Country GDP'!B111</f>
        <v>304.91000000000003</v>
      </c>
      <c r="C111" s="11" t="str">
        <f>'Sovereign Ratings (Moody''s,S&amp;P)'!C111</f>
        <v>Baa2</v>
      </c>
      <c r="D111" s="24">
        <f>'ERPs by country'!D117</f>
        <v>2.201202979158836E-2</v>
      </c>
      <c r="E111" s="12">
        <f>'ERPs by country'!E117</f>
        <v>8.0594049277355057E-2</v>
      </c>
      <c r="F111" s="16">
        <f>'ERPs by country'!F117</f>
        <v>2.6894049277355052E-2</v>
      </c>
      <c r="G111" s="16">
        <f>'Country Tax Rates'!B111</f>
        <v>0.3</v>
      </c>
      <c r="H111" s="17" t="str">
        <f>VLOOKUP(A111,'Regional lookup table'!$A$2:$B$156,2)</f>
        <v>Asia</v>
      </c>
    </row>
    <row r="112" spans="1:8" ht="16">
      <c r="A112" s="10" t="str">
        <f>'Sovereign Ratings (Moody''s,S&amp;P)'!A112</f>
        <v>Poland</v>
      </c>
      <c r="B112" s="197">
        <f>'Country GDP'!B112</f>
        <v>471.36</v>
      </c>
      <c r="C112" s="11" t="str">
        <f>'Sovereign Ratings (Moody''s,S&amp;P)'!C112</f>
        <v>A2</v>
      </c>
      <c r="D112" s="24">
        <f>'ERPs by country'!D118</f>
        <v>9.8063071109445767E-3</v>
      </c>
      <c r="E112" s="12">
        <f>'ERPs by country'!E118</f>
        <v>6.5681235223087081E-2</v>
      </c>
      <c r="F112" s="16">
        <f>'ERPs by country'!F118</f>
        <v>1.1981235223087083E-2</v>
      </c>
      <c r="G112" s="16">
        <f>'Country Tax Rates'!B112</f>
        <v>0.19</v>
      </c>
      <c r="H112" s="17" t="str">
        <f>VLOOKUP(A112,'Regional lookup table'!$A$2:$B$156,2)</f>
        <v>Eastern Europe &amp; Russia</v>
      </c>
    </row>
    <row r="113" spans="1:8" ht="16">
      <c r="A113" s="10" t="str">
        <f>'Sovereign Ratings (Moody''s,S&amp;P)'!A113</f>
        <v>Portugal</v>
      </c>
      <c r="B113" s="197">
        <f>'Country GDP'!B113</f>
        <v>204.84</v>
      </c>
      <c r="C113" s="11" t="str">
        <f>'Sovereign Ratings (Moody''s,S&amp;P)'!C113</f>
        <v>Ba1</v>
      </c>
      <c r="D113" s="24">
        <f>'ERPs by country'!D119</f>
        <v>2.8897309252464341E-2</v>
      </c>
      <c r="E113" s="12">
        <f>'ERPs by country'!E119</f>
        <v>8.9006405923352364E-2</v>
      </c>
      <c r="F113" s="16">
        <f>'ERPs by country'!F119</f>
        <v>3.5306405923352366E-2</v>
      </c>
      <c r="G113" s="16">
        <f>'Country Tax Rates'!B113</f>
        <v>0.21</v>
      </c>
      <c r="H113" s="17" t="str">
        <f>VLOOKUP(A113,'Regional lookup table'!$A$2:$B$156,2)</f>
        <v>Western Europe</v>
      </c>
    </row>
    <row r="114" spans="1:8" ht="16">
      <c r="A114" s="10" t="str">
        <f>'Sovereign Ratings (Moody''s,S&amp;P)'!A114</f>
        <v>Qatar</v>
      </c>
      <c r="B114" s="197">
        <f>'Country GDP'!B114</f>
        <v>152.44999999999999</v>
      </c>
      <c r="C114" s="11" t="str">
        <f>'Sovereign Ratings (Moody''s,S&amp;P)'!C114</f>
        <v>Aa3</v>
      </c>
      <c r="D114" s="24">
        <f>'ERPs by country'!D120</f>
        <v>6.9896018769498571E-3</v>
      </c>
      <c r="E114" s="12">
        <f>'ERPs by country'!E120</f>
        <v>6.223981659517909E-2</v>
      </c>
      <c r="F114" s="16">
        <f>'ERPs by country'!F120</f>
        <v>8.5398165951790905E-3</v>
      </c>
      <c r="G114" s="16">
        <f>'Country Tax Rates'!B114</f>
        <v>0.1</v>
      </c>
      <c r="H114" s="17" t="str">
        <f>VLOOKUP(A114,'Regional lookup table'!$A$2:$B$156,2)</f>
        <v>Middle East</v>
      </c>
    </row>
    <row r="115" spans="1:8" ht="16">
      <c r="A115" s="10" t="str">
        <f>'Sovereign Ratings (Moody''s,S&amp;P)'!A115</f>
        <v>Ras Al Khaimah (Emirate of)</v>
      </c>
      <c r="B115" s="197">
        <f>'Country GDP'!B115</f>
        <v>5.2</v>
      </c>
      <c r="C115" s="11" t="str">
        <f>'Sovereign Ratings (Moody''s,S&amp;P)'!C115</f>
        <v>A2</v>
      </c>
      <c r="D115" s="24">
        <f>'ERPs by country'!D121</f>
        <v>9.8063071109445767E-3</v>
      </c>
      <c r="E115" s="12">
        <f>'ERPs by country'!E121</f>
        <v>6.5681235223087081E-2</v>
      </c>
      <c r="F115" s="16">
        <f>'ERPs by country'!F121</f>
        <v>1.1981235223087083E-2</v>
      </c>
      <c r="G115" s="16">
        <f>'Country Tax Rates'!B115</f>
        <v>0</v>
      </c>
      <c r="H115" s="17" t="str">
        <f>VLOOKUP(A115,'Regional lookup table'!$A$2:$B$156,2)</f>
        <v>Middle East</v>
      </c>
    </row>
    <row r="116" spans="1:8" ht="16">
      <c r="A116" s="10" t="str">
        <f>'Sovereign Ratings (Moody''s,S&amp;P)'!A116</f>
        <v>Romania</v>
      </c>
      <c r="B116" s="197">
        <f>'Country GDP'!B116</f>
        <v>187.59</v>
      </c>
      <c r="C116" s="11" t="str">
        <f>'Sovereign Ratings (Moody''s,S&amp;P)'!C116</f>
        <v>Baa3</v>
      </c>
      <c r="D116" s="24">
        <f>'ERPs by country'!D122</f>
        <v>2.5454669522026348E-2</v>
      </c>
      <c r="E116" s="12">
        <f>'ERPs by country'!E122</f>
        <v>8.4800227600353703E-2</v>
      </c>
      <c r="F116" s="16">
        <f>'ERPs by country'!F122</f>
        <v>3.1100227600353709E-2</v>
      </c>
      <c r="G116" s="16">
        <f>'Country Tax Rates'!B116</f>
        <v>0.16</v>
      </c>
      <c r="H116" s="17" t="str">
        <f>VLOOKUP(A116,'Regional lookup table'!$A$2:$B$156,2)</f>
        <v>Eastern Europe &amp; Russia</v>
      </c>
    </row>
    <row r="117" spans="1:8" ht="16">
      <c r="A117" s="10" t="str">
        <f>'Sovereign Ratings (Moody''s,S&amp;P)'!A117</f>
        <v>Russia</v>
      </c>
      <c r="B117" s="197">
        <f>'Country GDP'!B117</f>
        <v>1283.1600000000001</v>
      </c>
      <c r="C117" s="11" t="str">
        <f>'Sovereign Ratings (Moody''s,S&amp;P)'!C117</f>
        <v>Ba1</v>
      </c>
      <c r="D117" s="24">
        <f>'ERPs by country'!D123</f>
        <v>2.8897309252464341E-2</v>
      </c>
      <c r="E117" s="12">
        <f>'ERPs by country'!E123</f>
        <v>8.9006405923352364E-2</v>
      </c>
      <c r="F117" s="16">
        <f>'ERPs by country'!F123</f>
        <v>3.5306405923352366E-2</v>
      </c>
      <c r="G117" s="16">
        <f>'Country Tax Rates'!B117</f>
        <v>0.2</v>
      </c>
      <c r="H117" s="17" t="str">
        <f>VLOOKUP(A117,'Regional lookup table'!$A$2:$B$156,2)</f>
        <v>Eastern Europe &amp; Russia</v>
      </c>
    </row>
    <row r="118" spans="1:8" ht="16">
      <c r="A118" s="10" t="str">
        <f>'Sovereign Ratings (Moody''s,S&amp;P)'!A118</f>
        <v>Rwanda</v>
      </c>
      <c r="B118" s="197">
        <f>'Country GDP'!B118</f>
        <v>8.3800000000000008</v>
      </c>
      <c r="C118" s="11" t="str">
        <f>'Sovereign Ratings (Moody''s,S&amp;P)'!C118</f>
        <v>B2</v>
      </c>
      <c r="D118" s="24">
        <f>'ERPs by country'!D124</f>
        <v>6.3636673805065866E-2</v>
      </c>
      <c r="E118" s="12">
        <f>'ERPs by country'!E124</f>
        <v>0.13145056900088425</v>
      </c>
      <c r="F118" s="16">
        <f>'ERPs by country'!F124</f>
        <v>7.7750569000884256E-2</v>
      </c>
      <c r="G118" s="16">
        <f>'Country Tax Rates'!B118</f>
        <v>0.3</v>
      </c>
      <c r="H118" s="17" t="str">
        <f>VLOOKUP(A118,'Regional lookup table'!$A$2:$B$156,2)</f>
        <v>Africa</v>
      </c>
    </row>
    <row r="119" spans="1:8" ht="16">
      <c r="A119" s="10" t="str">
        <f>'Sovereign Ratings (Moody''s,S&amp;P)'!A119</f>
        <v>Saudi Arabia</v>
      </c>
      <c r="B119" s="197">
        <f>'Country GDP'!B119</f>
        <v>646.44000000000005</v>
      </c>
      <c r="C119" s="11" t="str">
        <f>'Sovereign Ratings (Moody''s,S&amp;P)'!C119</f>
        <v>A1</v>
      </c>
      <c r="D119" s="24">
        <f>'ERPs by country'!D125</f>
        <v>8.1371484537625226E-3</v>
      </c>
      <c r="E119" s="12">
        <f>'ERPs by country'!E125</f>
        <v>6.3641876036178643E-2</v>
      </c>
      <c r="F119" s="16">
        <f>'ERPs by country'!F125</f>
        <v>9.9418760361786457E-3</v>
      </c>
      <c r="G119" s="16">
        <f>'Country Tax Rates'!B119</f>
        <v>0.2</v>
      </c>
      <c r="H119" s="17" t="str">
        <f>VLOOKUP(A119,'Regional lookup table'!$A$2:$B$156,2)</f>
        <v>Middle East</v>
      </c>
    </row>
    <row r="120" spans="1:8" ht="16">
      <c r="A120" s="10" t="str">
        <f>'Sovereign Ratings (Moody''s,S&amp;P)'!A120</f>
        <v>Senegal</v>
      </c>
      <c r="B120" s="197">
        <f>'Country GDP'!B120</f>
        <v>14.68</v>
      </c>
      <c r="C120" s="11" t="str">
        <f>'Sovereign Ratings (Moody''s,S&amp;P)'!C120</f>
        <v>Ba3</v>
      </c>
      <c r="D120" s="24">
        <f>'ERPs by country'!D126</f>
        <v>4.1624644013477513E-2</v>
      </c>
      <c r="E120" s="12">
        <f>'ERPs by country'!E126</f>
        <v>0.10455651972352922</v>
      </c>
      <c r="F120" s="16">
        <f>'ERPs by country'!F126</f>
        <v>5.0856519723529219E-2</v>
      </c>
      <c r="G120" s="16">
        <f>'Country Tax Rates'!B120</f>
        <v>0.3</v>
      </c>
      <c r="H120" s="17" t="str">
        <f>VLOOKUP(A120,'Regional lookup table'!$A$2:$B$156,2)</f>
        <v>Africa</v>
      </c>
    </row>
    <row r="121" spans="1:8" ht="16">
      <c r="A121" s="10" t="str">
        <f>'Sovereign Ratings (Moody''s,S&amp;P)'!A121</f>
        <v>Serbia</v>
      </c>
      <c r="B121" s="197">
        <f>'Country GDP'!B121</f>
        <v>38.299999999999997</v>
      </c>
      <c r="C121" s="11" t="str">
        <f>'Sovereign Ratings (Moody''s,S&amp;P)'!C121</f>
        <v>Ba3</v>
      </c>
      <c r="D121" s="24">
        <f>'ERPs by country'!D127</f>
        <v>4.1624644013477513E-2</v>
      </c>
      <c r="E121" s="12">
        <f>'ERPs by country'!E127</f>
        <v>0.10455651972352922</v>
      </c>
      <c r="F121" s="16">
        <f>'ERPs by country'!F127</f>
        <v>5.0856519723529219E-2</v>
      </c>
      <c r="G121" s="16">
        <f>'Country Tax Rates'!B121</f>
        <v>0.15</v>
      </c>
      <c r="H121" s="17" t="str">
        <f>VLOOKUP(A121,'Regional lookup table'!$A$2:$B$156,2)</f>
        <v>Eastern Europe &amp; Russia</v>
      </c>
    </row>
    <row r="122" spans="1:8" ht="16">
      <c r="A122" s="10" t="str">
        <f>'Sovereign Ratings (Moody''s,S&amp;P)'!A122</f>
        <v>Sharjah</v>
      </c>
      <c r="B122" s="197">
        <f>'Country GDP'!B122</f>
        <v>5</v>
      </c>
      <c r="C122" s="11" t="str">
        <f>'Sovereign Ratings (Moody''s,S&amp;P)'!C122</f>
        <v>A3</v>
      </c>
      <c r="D122" s="24">
        <f>'ERPs by country'!D128</f>
        <v>1.3874881337825837E-2</v>
      </c>
      <c r="E122" s="12">
        <f>'ERPs by country'!E128</f>
        <v>7.0652173241176397E-2</v>
      </c>
      <c r="F122" s="16">
        <f>'ERPs by country'!F128</f>
        <v>1.6952173241176406E-2</v>
      </c>
      <c r="G122" s="16">
        <f>'Country Tax Rates'!B122</f>
        <v>0</v>
      </c>
      <c r="H122" s="17" t="str">
        <f>VLOOKUP(A122,'Regional lookup table'!$A$2:$B$156,2)</f>
        <v>Middle East</v>
      </c>
    </row>
    <row r="123" spans="1:8" ht="16">
      <c r="A123" s="10" t="str">
        <f>'Sovereign Ratings (Moody''s,S&amp;P)'!A123</f>
        <v>Singapore</v>
      </c>
      <c r="B123" s="197">
        <f>'Country GDP'!B123</f>
        <v>296.98</v>
      </c>
      <c r="C123" s="11" t="str">
        <f>'Sovereign Ratings (Moody''s,S&amp;P)'!C123</f>
        <v>Aaa</v>
      </c>
      <c r="D123" s="24">
        <f>'ERPs by country'!D129</f>
        <v>0</v>
      </c>
      <c r="E123" s="12">
        <f>'ERPs by country'!E129</f>
        <v>5.3699999999999998E-2</v>
      </c>
      <c r="F123" s="16">
        <f>'ERPs by country'!F129</f>
        <v>0</v>
      </c>
      <c r="G123" s="16">
        <f>'Country Tax Rates'!B123</f>
        <v>0.17</v>
      </c>
      <c r="H123" s="17" t="str">
        <f>VLOOKUP(A123,'Regional lookup table'!$A$2:$B$156,2)</f>
        <v>Asia</v>
      </c>
    </row>
    <row r="124" spans="1:8" ht="16">
      <c r="A124" s="10" t="str">
        <f>'Sovereign Ratings (Moody''s,S&amp;P)'!A124</f>
        <v>Slovakia</v>
      </c>
      <c r="B124" s="197">
        <f>'Country GDP'!B124</f>
        <v>89.77</v>
      </c>
      <c r="C124" s="11" t="str">
        <f>'Sovereign Ratings (Moody''s,S&amp;P)'!C124</f>
        <v>A2</v>
      </c>
      <c r="D124" s="24">
        <f>'ERPs by country'!D130</f>
        <v>9.8063071109445767E-3</v>
      </c>
      <c r="E124" s="12">
        <f>'ERPs by country'!E130</f>
        <v>6.5681235223087081E-2</v>
      </c>
      <c r="F124" s="16">
        <f>'ERPs by country'!F130</f>
        <v>1.1981235223087083E-2</v>
      </c>
      <c r="G124" s="16">
        <f>'Country Tax Rates'!B124</f>
        <v>0.21</v>
      </c>
      <c r="H124" s="17" t="str">
        <f>VLOOKUP(A124,'Regional lookup table'!$A$2:$B$156,2)</f>
        <v>Eastern Europe &amp; Russia</v>
      </c>
    </row>
    <row r="125" spans="1:8" ht="16">
      <c r="A125" s="10" t="str">
        <f>'Sovereign Ratings (Moody''s,S&amp;P)'!A125</f>
        <v>Slovenia</v>
      </c>
      <c r="B125" s="197">
        <f>'Country GDP'!B125</f>
        <v>44.71</v>
      </c>
      <c r="C125" s="11" t="str">
        <f>'Sovereign Ratings (Moody''s,S&amp;P)'!C125</f>
        <v>Baa1</v>
      </c>
      <c r="D125" s="24">
        <f>'ERPs by country'!D131</f>
        <v>1.846506764507649E-2</v>
      </c>
      <c r="E125" s="12">
        <f>'ERPs by country'!E131</f>
        <v>7.6260411005174611E-2</v>
      </c>
      <c r="F125" s="16">
        <f>'ERPs by country'!F131</f>
        <v>2.2560411005174617E-2</v>
      </c>
      <c r="G125" s="16">
        <f>'Country Tax Rates'!B125</f>
        <v>0.19</v>
      </c>
      <c r="H125" s="17" t="str">
        <f>VLOOKUP(A125,'Regional lookup table'!$A$2:$B$156,2)</f>
        <v>Eastern Europe &amp; Russia</v>
      </c>
    </row>
    <row r="126" spans="1:8" ht="16">
      <c r="A126" s="10" t="str">
        <f>'Sovereign Ratings (Moody''s,S&amp;P)'!A126</f>
        <v>Solomon Islands</v>
      </c>
      <c r="B126" s="197">
        <f>'Country GDP'!B126</f>
        <v>1.2</v>
      </c>
      <c r="C126" s="11" t="str">
        <f>'Sovereign Ratings (Moody''s,S&amp;P)'!C126</f>
        <v>B3</v>
      </c>
      <c r="D126" s="24">
        <f>'ERPs by country'!D133</f>
        <v>2.5454669522026348E-2</v>
      </c>
      <c r="E126" s="12">
        <f>'ERPs by country'!E133</f>
        <v>8.4800227600353703E-2</v>
      </c>
      <c r="F126" s="16">
        <f>'ERPs by country'!F133</f>
        <v>3.1100227600353709E-2</v>
      </c>
      <c r="G126" s="16">
        <f>'Country Tax Rates'!B126</f>
        <v>0.28000000000000003</v>
      </c>
      <c r="H126" s="17" t="str">
        <f>VLOOKUP(A126,'Regional lookup table'!$A$2:$B$156,2)</f>
        <v>Asia</v>
      </c>
    </row>
    <row r="127" spans="1:8" ht="16">
      <c r="A127" s="10" t="str">
        <f>'Sovereign Ratings (Moody''s,S&amp;P)'!A127</f>
        <v>South Africa</v>
      </c>
      <c r="B127" s="197">
        <f>'Country GDP'!B127</f>
        <v>295.45999999999998</v>
      </c>
      <c r="C127" s="11" t="str">
        <f>'Sovereign Ratings (Moody''s,S&amp;P)'!C127</f>
        <v>Baa3</v>
      </c>
      <c r="D127" s="24">
        <f>'ERPs by country'!D133</f>
        <v>2.5454669522026348E-2</v>
      </c>
      <c r="E127" s="12">
        <f>'ERPs by country'!E133</f>
        <v>8.4800227600353703E-2</v>
      </c>
      <c r="F127" s="16">
        <f>'ERPs by country'!F133</f>
        <v>3.1100227600353709E-2</v>
      </c>
      <c r="G127" s="16">
        <f>'Country Tax Rates'!B126</f>
        <v>0.28000000000000003</v>
      </c>
      <c r="H127" s="17" t="str">
        <f>VLOOKUP(A127,'Regional lookup table'!$A$2:$B$156,2)</f>
        <v>Africa</v>
      </c>
    </row>
    <row r="128" spans="1:8" ht="16">
      <c r="A128" s="10" t="str">
        <f>'Sovereign Ratings (Moody''s,S&amp;P)'!A128</f>
        <v>Spain</v>
      </c>
      <c r="B128" s="197">
        <f>'Country GDP'!B128</f>
        <v>1237.26</v>
      </c>
      <c r="C128" s="11" t="str">
        <f>'Sovereign Ratings (Moody''s,S&amp;P)'!C128</f>
        <v>Baa1</v>
      </c>
      <c r="D128" s="24">
        <f>'ERPs by country'!D134</f>
        <v>1.846506764507649E-2</v>
      </c>
      <c r="E128" s="12">
        <f>'ERPs by country'!E134</f>
        <v>7.6260411005174611E-2</v>
      </c>
      <c r="F128" s="16">
        <f>'ERPs by country'!F134</f>
        <v>2.2560411005174617E-2</v>
      </c>
      <c r="G128" s="16">
        <f>'Country Tax Rates'!B127</f>
        <v>0.25</v>
      </c>
      <c r="H128" s="17" t="str">
        <f>VLOOKUP(A128,'Regional lookup table'!$A$2:$B$156,2)</f>
        <v>Western Europe</v>
      </c>
    </row>
    <row r="129" spans="1:8" ht="16">
      <c r="A129" s="10" t="str">
        <f>'Sovereign Ratings (Moody''s,S&amp;P)'!A129</f>
        <v>Sri Lanka</v>
      </c>
      <c r="B129" s="197">
        <f>'Country GDP'!B129</f>
        <v>81.319999999999993</v>
      </c>
      <c r="C129" s="11" t="str">
        <f>'Sovereign Ratings (Moody''s,S&amp;P)'!C129</f>
        <v>B1</v>
      </c>
      <c r="D129" s="24">
        <f>'ERPs by country'!D135</f>
        <v>5.2056885620865363E-2</v>
      </c>
      <c r="E129" s="12">
        <f>'ERPs by country'!E135</f>
        <v>0.11730251464170696</v>
      </c>
      <c r="F129" s="16">
        <f>'ERPs by country'!F135</f>
        <v>6.3602514641706964E-2</v>
      </c>
      <c r="G129" s="16">
        <f>'Country Tax Rates'!B128</f>
        <v>0.28000000000000003</v>
      </c>
      <c r="H129" s="17" t="str">
        <f>VLOOKUP(A129,'Regional lookup table'!$A$2:$B$156,2)</f>
        <v>Asia</v>
      </c>
    </row>
    <row r="130" spans="1:8" ht="16">
      <c r="A130" s="10" t="str">
        <f>'Sovereign Ratings (Moody''s,S&amp;P)'!A130</f>
        <v>St. Maarten</v>
      </c>
      <c r="B130" s="197">
        <f>'Country GDP'!B130</f>
        <v>1.5</v>
      </c>
      <c r="C130" s="11" t="str">
        <f>'Sovereign Ratings (Moody''s,S&amp;P)'!C130</f>
        <v>Baa2</v>
      </c>
      <c r="D130" s="24">
        <f>'ERPs by country'!D136</f>
        <v>2.201202979158836E-2</v>
      </c>
      <c r="E130" s="12">
        <f>'ERPs by country'!E136</f>
        <v>8.0594049277355057E-2</v>
      </c>
      <c r="F130" s="16">
        <f>'ERPs by country'!F136</f>
        <v>2.6894049277355052E-2</v>
      </c>
      <c r="G130" s="16">
        <f>'Country Tax Rates'!B129</f>
        <v>0.34499999999999997</v>
      </c>
      <c r="H130" s="17" t="str">
        <f>VLOOKUP(A130,'Regional lookup table'!$A$2:$B$156,2)</f>
        <v>Caribbean</v>
      </c>
    </row>
    <row r="131" spans="1:8" ht="16">
      <c r="A131" s="10" t="str">
        <f>'Sovereign Ratings (Moody''s,S&amp;P)'!A131</f>
        <v>St. Vincent &amp; the Grenadines</v>
      </c>
      <c r="B131" s="197">
        <f>'Country GDP'!B131</f>
        <v>0.77</v>
      </c>
      <c r="C131" s="11" t="str">
        <f>'Sovereign Ratings (Moody''s,S&amp;P)'!C131</f>
        <v>B3</v>
      </c>
      <c r="D131" s="24">
        <f>'ERPs by country'!D137</f>
        <v>7.5216461989266389E-2</v>
      </c>
      <c r="E131" s="12">
        <f>'ERPs by country'!E137</f>
        <v>0.14559862336006157</v>
      </c>
      <c r="F131" s="16">
        <f>'ERPs by country'!F137</f>
        <v>9.1898623360061577E-2</v>
      </c>
      <c r="G131" s="16">
        <f>'Country Tax Rates'!B130</f>
        <v>0.27979999999999999</v>
      </c>
      <c r="H131" s="17" t="str">
        <f>VLOOKUP(A131,'Regional lookup table'!$A$2:$B$156,2)</f>
        <v>Caribbean</v>
      </c>
    </row>
    <row r="132" spans="1:8" ht="16">
      <c r="A132" s="10" t="str">
        <f>'Sovereign Ratings (Moody''s,S&amp;P)'!A132</f>
        <v>Suriname</v>
      </c>
      <c r="B132" s="197">
        <f>'Country GDP'!B132</f>
        <v>3.28</v>
      </c>
      <c r="C132" s="11" t="str">
        <f>'Sovereign Ratings (Moody''s,S&amp;P)'!C132</f>
        <v>B2</v>
      </c>
      <c r="D132" s="24">
        <f>'ERPs by country'!D138</f>
        <v>6.3636673805065866E-2</v>
      </c>
      <c r="E132" s="12">
        <f>'ERPs by country'!E138</f>
        <v>0.13145056900088425</v>
      </c>
      <c r="F132" s="16">
        <f>'ERPs by country'!F138</f>
        <v>7.7750569000884256E-2</v>
      </c>
      <c r="G132" s="16">
        <f>'Country Tax Rates'!B131</f>
        <v>0.36</v>
      </c>
      <c r="H132" s="17" t="str">
        <f>VLOOKUP(A132,'Regional lookup table'!$A$2:$B$156,2)</f>
        <v>Central and South America</v>
      </c>
    </row>
    <row r="133" spans="1:8" ht="16">
      <c r="A133" s="10" t="str">
        <f>'Sovereign Ratings (Moody''s,S&amp;P)'!A133</f>
        <v>Swaziland</v>
      </c>
      <c r="B133" s="197">
        <f>'Country GDP'!B133</f>
        <v>3.72</v>
      </c>
      <c r="C133" s="11" t="str">
        <f>'Sovereign Ratings (Moody''s,S&amp;P)'!C133</f>
        <v>B2</v>
      </c>
      <c r="D133" s="24">
        <f>'ERPs by country'!D140</f>
        <v>0</v>
      </c>
      <c r="E133" s="12">
        <f>'ERPs by country'!E140</f>
        <v>5.3699999999999998E-2</v>
      </c>
      <c r="F133" s="16">
        <f>'ERPs by country'!F140</f>
        <v>0</v>
      </c>
      <c r="G133" s="16">
        <f>'Country Tax Rates'!B132</f>
        <v>0.27500000000000002</v>
      </c>
      <c r="H133" s="17" t="str">
        <f>VLOOKUP(A133,'Regional lookup table'!$A$2:$B$156,2)</f>
        <v>Africa</v>
      </c>
    </row>
    <row r="134" spans="1:8" ht="16">
      <c r="A134" s="10" t="str">
        <f>'Sovereign Ratings (Moody''s,S&amp;P)'!A134</f>
        <v>Sweden</v>
      </c>
      <c r="B134" s="197">
        <f>'Country GDP'!B134</f>
        <v>514.46</v>
      </c>
      <c r="C134" s="11" t="str">
        <f>'Sovereign Ratings (Moody''s,S&amp;P)'!C134</f>
        <v>Aaa</v>
      </c>
      <c r="D134" s="24">
        <f>'ERPs by country'!D140</f>
        <v>0</v>
      </c>
      <c r="E134" s="12">
        <f>'ERPs by country'!E140</f>
        <v>5.3699999999999998E-2</v>
      </c>
      <c r="F134" s="16">
        <f>'ERPs by country'!F140</f>
        <v>0</v>
      </c>
      <c r="G134" s="16">
        <f>'Country Tax Rates'!B133</f>
        <v>0.22</v>
      </c>
      <c r="H134" s="17" t="str">
        <f>VLOOKUP(A134,'Regional lookup table'!$A$2:$B$156,2)</f>
        <v>Western Europe</v>
      </c>
    </row>
    <row r="135" spans="1:8" ht="16">
      <c r="A135" s="10" t="str">
        <f>'Sovereign Ratings (Moody''s,S&amp;P)'!A135</f>
        <v>Switzerland</v>
      </c>
      <c r="B135" s="197">
        <f>'Country GDP'!B135</f>
        <v>668.85</v>
      </c>
      <c r="C135" s="11" t="str">
        <f>'Sovereign Ratings (Moody''s,S&amp;P)'!C135</f>
        <v>Aaa</v>
      </c>
      <c r="D135" s="24">
        <f>'ERPs by country'!D141</f>
        <v>0</v>
      </c>
      <c r="E135" s="12">
        <f>'ERPs by country'!E141</f>
        <v>5.3699999999999998E-2</v>
      </c>
      <c r="F135" s="16">
        <f>'ERPs by country'!F141</f>
        <v>0</v>
      </c>
      <c r="G135" s="16">
        <f>'Country Tax Rates'!B134</f>
        <v>0.1777</v>
      </c>
      <c r="H135" s="17" t="str">
        <f>VLOOKUP(A135,'Regional lookup table'!$A$2:$B$156,2)</f>
        <v>Western Europe</v>
      </c>
    </row>
    <row r="136" spans="1:8" ht="16">
      <c r="A136" s="10" t="str">
        <f>'Sovereign Ratings (Moody''s,S&amp;P)'!A136</f>
        <v>Taiwan</v>
      </c>
      <c r="B136" s="197">
        <f>'Country GDP'!B136</f>
        <v>970.9</v>
      </c>
      <c r="C136" s="11" t="str">
        <f>'Sovereign Ratings (Moody''s,S&amp;P)'!C136</f>
        <v>Aa3</v>
      </c>
      <c r="D136" s="24">
        <f>'ERPs by country'!D142</f>
        <v>6.9896018769498571E-3</v>
      </c>
      <c r="E136" s="12">
        <f>'ERPs by country'!E142</f>
        <v>6.223981659517909E-2</v>
      </c>
      <c r="F136" s="16">
        <f>'ERPs by country'!F142</f>
        <v>8.5398165951790905E-3</v>
      </c>
      <c r="G136" s="16">
        <f>'Country Tax Rates'!B135</f>
        <v>0.17</v>
      </c>
      <c r="H136" s="17" t="str">
        <f>VLOOKUP(A136,'Regional lookup table'!$A$2:$B$156,2)</f>
        <v>Asia</v>
      </c>
    </row>
    <row r="137" spans="1:8" ht="16">
      <c r="A137" s="10" t="str">
        <f>'Sovereign Ratings (Moody''s,S&amp;P)'!A137</f>
        <v>Tajikistan</v>
      </c>
      <c r="B137" s="197">
        <f>'Country GDP'!B137</f>
        <v>6.95</v>
      </c>
      <c r="C137" s="11" t="str">
        <f>'Sovereign Ratings (Moody''s,S&amp;P)'!C137</f>
        <v>B3</v>
      </c>
      <c r="D137" s="24">
        <f>'ERPs by country'!D146</f>
        <v>2.8897309252464341E-2</v>
      </c>
      <c r="E137" s="12">
        <f>'ERPs by country'!E146</f>
        <v>8.9006405923352364E-2</v>
      </c>
      <c r="F137" s="16">
        <f>'ERPs by country'!F146</f>
        <v>3.5306405923352366E-2</v>
      </c>
      <c r="G137" s="16">
        <f>'Country Tax Rates'!B136</f>
        <v>0</v>
      </c>
      <c r="H137" s="17" t="str">
        <f>VLOOKUP(A137,'Regional lookup table'!$A$2:$B$156,2)</f>
        <v>Eastern Europe &amp; Russia</v>
      </c>
    </row>
    <row r="138" spans="1:8" ht="16">
      <c r="A138" s="10" t="str">
        <f>'Sovereign Ratings (Moody''s,S&amp;P)'!A138</f>
        <v>Tanzania</v>
      </c>
      <c r="B138" s="197">
        <f>'Country GDP'!B138</f>
        <v>47.34</v>
      </c>
      <c r="C138" s="11" t="str">
        <f>'Sovereign Ratings (Moody''s,S&amp;P)'!C138</f>
        <v>B1</v>
      </c>
      <c r="D138" s="24">
        <f>'ERPs by country'!D147</f>
        <v>6.3636673805065866E-2</v>
      </c>
      <c r="E138" s="12">
        <f>'ERPs by country'!E147</f>
        <v>0.13145056900088425</v>
      </c>
      <c r="F138" s="16">
        <f>'ERPs by country'!F147</f>
        <v>7.7750569000884256E-2</v>
      </c>
      <c r="G138" s="16">
        <f>'Country Tax Rates'!B137</f>
        <v>0.2</v>
      </c>
      <c r="H138" s="17" t="str">
        <f>VLOOKUP(A138,'Regional lookup table'!$A$2:$B$156,2)</f>
        <v>Africa</v>
      </c>
    </row>
    <row r="139" spans="1:8" ht="16">
      <c r="A139" s="10" t="str">
        <f>'Sovereign Ratings (Moody''s,S&amp;P)'!A139</f>
        <v>Thailand</v>
      </c>
      <c r="B139" s="197">
        <f>'Country GDP'!B139</f>
        <v>407.03</v>
      </c>
      <c r="C139" s="11" t="str">
        <f>'Sovereign Ratings (Moody''s,S&amp;P)'!C139</f>
        <v>Baa1</v>
      </c>
      <c r="D139" s="24">
        <f>'ERPs by country'!D145</f>
        <v>1.846506764507649E-2</v>
      </c>
      <c r="E139" s="12">
        <f>'ERPs by country'!E145</f>
        <v>7.6260411005174611E-2</v>
      </c>
      <c r="F139" s="16">
        <f>'ERPs by country'!F145</f>
        <v>2.2560411005174617E-2</v>
      </c>
      <c r="G139" s="16">
        <f>'Country Tax Rates'!B137</f>
        <v>0.2</v>
      </c>
      <c r="H139" s="17" t="str">
        <f>VLOOKUP(A139,'Regional lookup table'!$A$2:$B$156,2)</f>
        <v>Asia</v>
      </c>
    </row>
    <row r="140" spans="1:8" ht="16">
      <c r="A140" s="10" t="str">
        <f>'Sovereign Ratings (Moody''s,S&amp;P)'!A140</f>
        <v>Trinidad and Tobago</v>
      </c>
      <c r="B140" s="197">
        <f>'Country GDP'!B140</f>
        <v>21.89</v>
      </c>
      <c r="C140" s="11" t="str">
        <f>'Sovereign Ratings (Moody''s,S&amp;P)'!C140</f>
        <v>Ba1</v>
      </c>
      <c r="D140" s="24">
        <f>'ERPs by country'!D146</f>
        <v>2.8897309252464341E-2</v>
      </c>
      <c r="E140" s="12">
        <f>'ERPs by country'!E146</f>
        <v>8.9006405923352364E-2</v>
      </c>
      <c r="F140" s="16">
        <f>'ERPs by country'!F146</f>
        <v>3.5306405923352366E-2</v>
      </c>
      <c r="G140" s="16">
        <f>'Country Tax Rates'!B138</f>
        <v>0.25</v>
      </c>
      <c r="H140" s="17" t="str">
        <f>VLOOKUP(A140,'Regional lookup table'!$A$2:$B$156,2)</f>
        <v>Caribbean</v>
      </c>
    </row>
    <row r="141" spans="1:8" ht="16">
      <c r="A141" s="10" t="str">
        <f>'Sovereign Ratings (Moody''s,S&amp;P)'!A141</f>
        <v>Tunisia</v>
      </c>
      <c r="B141" s="197">
        <f>'Country GDP'!B141</f>
        <v>42.06</v>
      </c>
      <c r="C141" s="11" t="str">
        <f>'Sovereign Ratings (Moody''s,S&amp;P)'!C141</f>
        <v>B2</v>
      </c>
      <c r="D141" s="24">
        <f>'ERPs by country'!D147</f>
        <v>6.3636673805065866E-2</v>
      </c>
      <c r="E141" s="12">
        <f>'ERPs by country'!E147</f>
        <v>0.13145056900088425</v>
      </c>
      <c r="F141" s="16">
        <f>'ERPs by country'!F147</f>
        <v>7.7750569000884256E-2</v>
      </c>
      <c r="G141" s="16">
        <f>'Country Tax Rates'!B139</f>
        <v>0.25</v>
      </c>
      <c r="H141" s="17" t="str">
        <f>VLOOKUP(A141,'Regional lookup table'!$A$2:$B$156,2)</f>
        <v>Africa</v>
      </c>
    </row>
    <row r="142" spans="1:8" ht="16">
      <c r="A142" s="10" t="str">
        <f>'Sovereign Ratings (Moody''s,S&amp;P)'!A142</f>
        <v>Turkey</v>
      </c>
      <c r="B142" s="197">
        <f>'Country GDP'!B142</f>
        <v>863.71</v>
      </c>
      <c r="C142" s="11" t="str">
        <f>'Sovereign Ratings (Moody''s,S&amp;P)'!C142</f>
        <v>Ba2</v>
      </c>
      <c r="D142" s="24">
        <f>'ERPs by country'!D148</f>
        <v>3.4739364552601529E-2</v>
      </c>
      <c r="E142" s="12">
        <f>'ERPs by country'!E148</f>
        <v>9.6144163077531902E-2</v>
      </c>
      <c r="F142" s="16">
        <f>'ERPs by country'!F148</f>
        <v>4.2444163077531898E-2</v>
      </c>
      <c r="G142" s="16">
        <f>'Country Tax Rates'!B140</f>
        <v>0.2</v>
      </c>
      <c r="H142" s="17" t="str">
        <f>VLOOKUP(A142,'Regional lookup table'!$A$2:$B$156,2)</f>
        <v>Western Europe</v>
      </c>
    </row>
    <row r="143" spans="1:8" ht="16">
      <c r="A143" s="10" t="str">
        <f>'Sovereign Ratings (Moody''s,S&amp;P)'!A143</f>
        <v>Turks and Caicos Islands</v>
      </c>
      <c r="B143" s="197">
        <f>'Country GDP'!B143</f>
        <v>1.5</v>
      </c>
      <c r="C143" s="11" t="str">
        <f>'Sovereign Ratings (Moody''s,S&amp;P)'!C143</f>
        <v>Baa1</v>
      </c>
      <c r="D143" s="24">
        <f>'ERPs by country'!D149</f>
        <v>1.846506764507649E-2</v>
      </c>
      <c r="E143" s="12">
        <f>'ERPs by country'!E149</f>
        <v>7.6260411005174611E-2</v>
      </c>
      <c r="F143" s="16">
        <f>'ERPs by country'!F149</f>
        <v>2.2560411005174617E-2</v>
      </c>
      <c r="G143" s="16">
        <f>'Country Tax Rates'!B141</f>
        <v>0</v>
      </c>
      <c r="H143" s="17" t="str">
        <f>VLOOKUP(A143,'Regional lookup table'!$A$2:$B$156,2)</f>
        <v>Caribbean</v>
      </c>
    </row>
    <row r="144" spans="1:8" ht="16">
      <c r="A144" s="10" t="str">
        <f>'Sovereign Ratings (Moody''s,S&amp;P)'!A144</f>
        <v>Uganda</v>
      </c>
      <c r="B144" s="197">
        <f>'Country GDP'!B144</f>
        <v>24.08</v>
      </c>
      <c r="C144" s="11" t="str">
        <f>'Sovereign Ratings (Moody''s,S&amp;P)'!C144</f>
        <v>B2</v>
      </c>
      <c r="D144" s="24">
        <f>'ERPs by country'!D150</f>
        <v>6.3636673805065866E-2</v>
      </c>
      <c r="E144" s="12">
        <f>'ERPs by country'!E150</f>
        <v>0.13145056900088425</v>
      </c>
      <c r="F144" s="16">
        <f>'ERPs by country'!F150</f>
        <v>7.7750569000884256E-2</v>
      </c>
      <c r="G144" s="16">
        <f>'Country Tax Rates'!B142</f>
        <v>0.3</v>
      </c>
      <c r="H144" s="17" t="str">
        <f>VLOOKUP(A144,'Regional lookup table'!$A$2:$B$156,2)</f>
        <v>Africa</v>
      </c>
    </row>
    <row r="145" spans="1:8" ht="16">
      <c r="A145" s="10" t="str">
        <f>'Sovereign Ratings (Moody''s,S&amp;P)'!A145</f>
        <v>Ukraine</v>
      </c>
      <c r="B145" s="197">
        <f>'Country GDP'!B145</f>
        <v>93.27</v>
      </c>
      <c r="C145" s="11" t="str">
        <f>'Sovereign Ratings (Moody''s,S&amp;P)'!C145</f>
        <v>Caa2</v>
      </c>
      <c r="D145" s="24">
        <f>'ERPs by country'!D151</f>
        <v>0.10411377124173073</v>
      </c>
      <c r="E145" s="12">
        <f>'ERPs by country'!E151</f>
        <v>0.18090502928341393</v>
      </c>
      <c r="F145" s="16">
        <f>'ERPs by country'!F151</f>
        <v>0.12720502928341393</v>
      </c>
      <c r="G145" s="16">
        <f>'Country Tax Rates'!B143</f>
        <v>0.18</v>
      </c>
      <c r="H145" s="17" t="str">
        <f>VLOOKUP(A145,'Regional lookup table'!$A$2:$B$156,2)</f>
        <v>Eastern Europe &amp; Russia</v>
      </c>
    </row>
    <row r="146" spans="1:8" ht="16">
      <c r="A146" s="10" t="str">
        <f>'Sovereign Ratings (Moody''s,S&amp;P)'!A146</f>
        <v>United Arab Emirates</v>
      </c>
      <c r="B146" s="197">
        <f>'Country GDP'!B146</f>
        <v>348.74</v>
      </c>
      <c r="C146" s="11" t="str">
        <f>'Sovereign Ratings (Moody''s,S&amp;P)'!C146</f>
        <v>Aa2</v>
      </c>
      <c r="D146" s="24">
        <f>'ERPs by country'!D152</f>
        <v>5.7377328840633162E-3</v>
      </c>
      <c r="E146" s="12">
        <f>'ERPs by country'!E152</f>
        <v>6.0710297204997758E-2</v>
      </c>
      <c r="F146" s="16">
        <f>'ERPs by country'!F152</f>
        <v>7.0102972049977622E-3</v>
      </c>
      <c r="G146" s="16">
        <f>'Country Tax Rates'!B144</f>
        <v>0.55000000000000004</v>
      </c>
      <c r="H146" s="17" t="str">
        <f>VLOOKUP(A146,'Regional lookup table'!$A$2:$B$156,2)</f>
        <v>Middle East</v>
      </c>
    </row>
    <row r="147" spans="1:8" ht="16">
      <c r="A147" s="10" t="str">
        <f>'Sovereign Ratings (Moody''s,S&amp;P)'!A147</f>
        <v>United Kingdom</v>
      </c>
      <c r="B147" s="197">
        <f>'Country GDP'!B147</f>
        <v>2647.9</v>
      </c>
      <c r="C147" s="11" t="str">
        <f>'Sovereign Ratings (Moody''s,S&amp;P)'!C147</f>
        <v>Aa2</v>
      </c>
      <c r="D147" s="24">
        <f>'ERPs by country'!D153</f>
        <v>5.7377328840633162E-3</v>
      </c>
      <c r="E147" s="12">
        <f>'ERPs by country'!E153</f>
        <v>6.0710297204997758E-2</v>
      </c>
      <c r="F147" s="16">
        <f>'ERPs by country'!F153</f>
        <v>7.0102972049977622E-3</v>
      </c>
      <c r="G147" s="16">
        <f>'Country Tax Rates'!B145</f>
        <v>0.2</v>
      </c>
      <c r="H147" s="17" t="str">
        <f>VLOOKUP(A147,'Regional lookup table'!$A$2:$B$156,2)</f>
        <v>Western Europe</v>
      </c>
    </row>
    <row r="148" spans="1:8" ht="16">
      <c r="A148" s="10" t="str">
        <f>'Sovereign Ratings (Moody''s,S&amp;P)'!A148</f>
        <v>United States</v>
      </c>
      <c r="B148" s="197">
        <f>'Country GDP'!B148</f>
        <v>18624.48</v>
      </c>
      <c r="C148" s="11" t="str">
        <f>'Sovereign Ratings (Moody''s,S&amp;P)'!C148</f>
        <v>Aaa</v>
      </c>
      <c r="D148" s="24">
        <f>'ERPs by country'!D154</f>
        <v>0</v>
      </c>
      <c r="E148" s="12">
        <f>'ERPs by country'!E154</f>
        <v>5.3699999999999998E-2</v>
      </c>
      <c r="F148" s="16">
        <f>'ERPs by country'!F154</f>
        <v>0</v>
      </c>
      <c r="G148" s="16">
        <f>'Country Tax Rates'!B146</f>
        <v>0.21</v>
      </c>
      <c r="H148" s="17" t="s">
        <v>132</v>
      </c>
    </row>
    <row r="149" spans="1:8" ht="16">
      <c r="A149" s="10" t="str">
        <f>'Sovereign Ratings (Moody''s,S&amp;P)'!A149</f>
        <v>Uruguay</v>
      </c>
      <c r="B149" s="197">
        <f>'Country GDP'!B149</f>
        <v>52.42</v>
      </c>
      <c r="C149" s="11" t="str">
        <f>'Sovereign Ratings (Moody''s,S&amp;P)'!C149</f>
        <v>Baa2</v>
      </c>
      <c r="D149" s="24">
        <f>'ERPs by country'!D155</f>
        <v>2.201202979158836E-2</v>
      </c>
      <c r="E149" s="12">
        <f>'ERPs by country'!E155</f>
        <v>8.0594049277355057E-2</v>
      </c>
      <c r="F149" s="16">
        <f>'ERPs by country'!F155</f>
        <v>2.6894049277355052E-2</v>
      </c>
      <c r="G149" s="16">
        <f>'Country Tax Rates'!B147</f>
        <v>0.25</v>
      </c>
      <c r="H149" s="17" t="str">
        <f>VLOOKUP(A149,'Regional lookup table'!$A$2:$B$156,2)</f>
        <v>Central and South America</v>
      </c>
    </row>
    <row r="150" spans="1:8" ht="16">
      <c r="A150" s="10" t="str">
        <f>'Sovereign Ratings (Moody''s,S&amp;P)'!A150</f>
        <v>Venezuela</v>
      </c>
      <c r="B150" s="197">
        <f>'Country GDP'!B150</f>
        <v>250</v>
      </c>
      <c r="C150" s="11" t="str">
        <f>'Sovereign Ratings (Moody''s,S&amp;P)'!C150</f>
        <v>C</v>
      </c>
      <c r="D150" s="24">
        <f>'ERPs by country'!D156</f>
        <v>0.18</v>
      </c>
      <c r="E150" s="12">
        <f>'ERPs by country'!E156</f>
        <v>0.27362196611390255</v>
      </c>
      <c r="F150" s="16">
        <f>'ERPs by country'!F156</f>
        <v>0.21992196611390258</v>
      </c>
      <c r="G150" s="16">
        <f>'Country Tax Rates'!B148</f>
        <v>0.34</v>
      </c>
      <c r="H150" s="17" t="str">
        <f>VLOOKUP(A150,'Regional lookup table'!$A$2:$B$156,2)</f>
        <v>Central and South America</v>
      </c>
    </row>
    <row r="151" spans="1:8" ht="16">
      <c r="A151" s="10" t="str">
        <f>'Sovereign Ratings (Moody''s,S&amp;P)'!A151</f>
        <v>Vietnam</v>
      </c>
      <c r="B151" s="197">
        <f>'Country GDP'!B151</f>
        <v>205.28</v>
      </c>
      <c r="C151" s="11" t="str">
        <f>'Sovereign Ratings (Moody''s,S&amp;P)'!C151</f>
        <v>B1</v>
      </c>
      <c r="D151" s="24">
        <f>'ERPs by country'!D157</f>
        <v>5.2056885620865363E-2</v>
      </c>
      <c r="E151" s="12">
        <f>'ERPs by country'!E157</f>
        <v>0.11730251464170696</v>
      </c>
      <c r="F151" s="16">
        <f>'ERPs by country'!F157</f>
        <v>6.3602514641706964E-2</v>
      </c>
      <c r="G151" s="16">
        <f>'Country Tax Rates'!B149</f>
        <v>0.2</v>
      </c>
      <c r="H151" s="17" t="str">
        <f>VLOOKUP(A151,'Regional lookup table'!$A$2:$B$156,2)</f>
        <v>Asia</v>
      </c>
    </row>
    <row r="152" spans="1:8" ht="16">
      <c r="A152" s="10" t="str">
        <f>'Sovereign Ratings (Moody''s,S&amp;P)'!A152</f>
        <v>Zambia</v>
      </c>
      <c r="B152" s="197">
        <f>'Country GDP'!B152</f>
        <v>21.06</v>
      </c>
      <c r="C152" s="11" t="str">
        <f>'Sovereign Ratings (Moody''s,S&amp;P)'!C152</f>
        <v>B3</v>
      </c>
      <c r="D152" s="24">
        <f>'ERPs by country'!D158</f>
        <v>7.5216461989266389E-2</v>
      </c>
      <c r="E152" s="12">
        <f>'ERPs by country'!E158</f>
        <v>0.14559862336006157</v>
      </c>
      <c r="F152" s="16">
        <f>'ERPs by country'!F158</f>
        <v>9.1898623360061577E-2</v>
      </c>
      <c r="G152" s="16">
        <f>'Country Tax Rates'!B150</f>
        <v>0.35</v>
      </c>
      <c r="H152" s="17" t="str">
        <f>VLOOKUP(A152,'Regional lookup table'!$A$2:$B$156,2)</f>
        <v>Africa</v>
      </c>
    </row>
  </sheetData>
  <phoneticPr fontId="9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2"/>
  <sheetViews>
    <sheetView zoomScaleNormal="100" workbookViewId="0">
      <selection activeCell="F8" sqref="F8:G33"/>
    </sheetView>
  </sheetViews>
  <sheetFormatPr baseColWidth="10" defaultRowHeight="16"/>
  <cols>
    <col min="1" max="1" width="24.83203125" style="49" bestFit="1" customWidth="1"/>
    <col min="2" max="2" width="16.1640625" style="49" bestFit="1" customWidth="1"/>
    <col min="3" max="3" width="19.6640625" style="49" bestFit="1" customWidth="1"/>
  </cols>
  <sheetData>
    <row r="1" spans="1:15" ht="17">
      <c r="A1" s="85" t="s">
        <v>77</v>
      </c>
      <c r="B1" s="86" t="s">
        <v>278</v>
      </c>
      <c r="C1" s="86" t="s">
        <v>279</v>
      </c>
    </row>
    <row r="2" spans="1:15">
      <c r="A2" s="57" t="str">
        <f>'Ratings worksheet'!A2</f>
        <v>Abu Dhabi</v>
      </c>
      <c r="B2" s="72" t="str">
        <f>'Ratings worksheet'!B2</f>
        <v>AA</v>
      </c>
      <c r="C2" s="72" t="str">
        <f>IF('Ratings worksheet'!C2="NA",VLOOKUP('Ratings worksheet'!B2,'Sovereign Ratings (Moody''s,S&amp;P)'!$F$9:$G$33,2),'Ratings worksheet'!C2)</f>
        <v>Aa2</v>
      </c>
      <c r="F2" s="224" t="s">
        <v>95</v>
      </c>
      <c r="G2" s="224"/>
      <c r="H2" s="224"/>
      <c r="I2" s="224"/>
      <c r="J2" s="224"/>
      <c r="K2" s="224"/>
      <c r="L2" s="224"/>
      <c r="M2" s="224"/>
      <c r="N2" s="224"/>
      <c r="O2" s="224"/>
    </row>
    <row r="3" spans="1:15">
      <c r="A3" s="57" t="str">
        <f>'Ratings worksheet'!A3</f>
        <v>Albania</v>
      </c>
      <c r="B3" s="72" t="str">
        <f>'Ratings worksheet'!B3</f>
        <v>B+</v>
      </c>
      <c r="C3" s="72" t="str">
        <f>IF('Ratings worksheet'!C3="NA",VLOOKUP('Ratings worksheet'!B3,'Sovereign Ratings (Moody''s,S&amp;P)'!$F$9:$G$33,2),'Ratings worksheet'!C3)</f>
        <v>B1</v>
      </c>
      <c r="F3" s="224" t="s">
        <v>236</v>
      </c>
      <c r="G3" s="224"/>
      <c r="H3" s="224"/>
      <c r="I3" s="224"/>
      <c r="J3" s="224"/>
      <c r="K3" s="224"/>
      <c r="L3" s="224"/>
      <c r="M3" s="224"/>
      <c r="N3" s="224"/>
      <c r="O3" s="224"/>
    </row>
    <row r="4" spans="1:15">
      <c r="A4" s="57" t="str">
        <f>'Ratings worksheet'!A4</f>
        <v>Andorra (Principality of)</v>
      </c>
      <c r="B4" s="72" t="str">
        <f>'Ratings worksheet'!B4</f>
        <v>BBB</v>
      </c>
      <c r="C4" s="72" t="str">
        <f>IF('Ratings worksheet'!C4="NA",VLOOKUP('Ratings worksheet'!B4,'Sovereign Ratings (Moody''s,S&amp;P)'!$F$9:$G$33,2),'Ratings worksheet'!C4)</f>
        <v>Baa2</v>
      </c>
      <c r="F4" s="225" t="s">
        <v>237</v>
      </c>
      <c r="G4" s="225"/>
      <c r="H4" s="225"/>
      <c r="I4" s="225"/>
      <c r="J4" s="225"/>
      <c r="K4" s="225"/>
      <c r="L4" s="225"/>
      <c r="M4" s="225"/>
      <c r="N4" s="225"/>
      <c r="O4" s="225"/>
    </row>
    <row r="5" spans="1:15">
      <c r="A5" s="57" t="str">
        <f>'Ratings worksheet'!A5</f>
        <v>Angola</v>
      </c>
      <c r="B5" s="72" t="str">
        <f>'Ratings worksheet'!B5</f>
        <v>B-</v>
      </c>
      <c r="C5" s="72" t="str">
        <f>IF('Ratings worksheet'!C5="NA",VLOOKUP('Ratings worksheet'!B5,'Sovereign Ratings (Moody''s,S&amp;P)'!$F$9:$G$33,2),'Ratings worksheet'!C5)</f>
        <v>B3</v>
      </c>
      <c r="F5" s="225" t="s">
        <v>238</v>
      </c>
      <c r="G5" s="225"/>
      <c r="H5" s="225"/>
      <c r="I5" s="225"/>
      <c r="J5" s="225"/>
      <c r="K5" s="225"/>
      <c r="L5" s="225"/>
      <c r="M5" s="225"/>
      <c r="N5" s="225"/>
      <c r="O5" s="225"/>
    </row>
    <row r="6" spans="1:15">
      <c r="A6" s="57" t="str">
        <f>'Ratings worksheet'!A6</f>
        <v>Argentina</v>
      </c>
      <c r="B6" s="72" t="str">
        <f>'Ratings worksheet'!B6</f>
        <v>B+</v>
      </c>
      <c r="C6" s="72" t="str">
        <f>IF('Ratings worksheet'!C6="NA",VLOOKUP('Ratings worksheet'!B6,'Sovereign Ratings (Moody''s,S&amp;P)'!$F$9:$G$33,2),'Ratings worksheet'!C6)</f>
        <v>B2</v>
      </c>
      <c r="F6" s="41" t="s">
        <v>259</v>
      </c>
    </row>
    <row r="7" spans="1:15">
      <c r="A7" s="57" t="str">
        <f>'Ratings worksheet'!A7</f>
        <v>Armenia</v>
      </c>
      <c r="B7" s="72" t="str">
        <f>'Ratings worksheet'!B7</f>
        <v>NA</v>
      </c>
      <c r="C7" s="72" t="str">
        <f>IF('Ratings worksheet'!C7="NA",VLOOKUP('Ratings worksheet'!B7,'Sovereign Ratings (Moody''s,S&amp;P)'!$F$9:$G$33,2),'Ratings worksheet'!C7)</f>
        <v>B1</v>
      </c>
      <c r="F7" s="41" t="s">
        <v>239</v>
      </c>
    </row>
    <row r="8" spans="1:15">
      <c r="A8" s="57" t="str">
        <f>'Ratings worksheet'!A8</f>
        <v>Aruba</v>
      </c>
      <c r="B8" s="72" t="str">
        <f>'Ratings worksheet'!B8</f>
        <v>BBB+</v>
      </c>
      <c r="C8" s="72" t="str">
        <f>IF('Ratings worksheet'!C8="NA",VLOOKUP('Ratings worksheet'!B8,'Sovereign Ratings (Moody''s,S&amp;P)'!$F$9:$G$33,2),'Ratings worksheet'!C8)</f>
        <v>Baa1</v>
      </c>
      <c r="F8" s="33" t="s">
        <v>240</v>
      </c>
      <c r="G8" s="34" t="s">
        <v>241</v>
      </c>
    </row>
    <row r="9" spans="1:15">
      <c r="A9" s="57" t="str">
        <f>'Ratings worksheet'!A9</f>
        <v>Australia</v>
      </c>
      <c r="B9" s="72" t="str">
        <f>'Ratings worksheet'!B9</f>
        <v>AAA</v>
      </c>
      <c r="C9" s="72" t="str">
        <f>IF('Ratings worksheet'!C9="NA",VLOOKUP('Ratings worksheet'!B9,'Sovereign Ratings (Moody''s,S&amp;P)'!$F$9:$G$33,2),'Ratings worksheet'!C9)</f>
        <v>Aaa</v>
      </c>
      <c r="F9" s="35" t="s">
        <v>231</v>
      </c>
      <c r="G9" s="17" t="s">
        <v>43</v>
      </c>
    </row>
    <row r="10" spans="1:15">
      <c r="A10" s="57" t="str">
        <f>'Ratings worksheet'!A10</f>
        <v>Austria</v>
      </c>
      <c r="B10" s="72" t="str">
        <f>'Ratings worksheet'!B10</f>
        <v>AA+</v>
      </c>
      <c r="C10" s="72" t="str">
        <f>IF('Ratings worksheet'!C10="NA",VLOOKUP('Ratings worksheet'!B10,'Sovereign Ratings (Moody''s,S&amp;P)'!$F$9:$G$33,2),'Ratings worksheet'!C10)</f>
        <v>Aa1</v>
      </c>
      <c r="F10" s="35" t="s">
        <v>205</v>
      </c>
      <c r="G10" s="17" t="s">
        <v>44</v>
      </c>
    </row>
    <row r="11" spans="1:15">
      <c r="A11" s="57" t="str">
        <f>'Ratings worksheet'!A11</f>
        <v>Azerbaijan</v>
      </c>
      <c r="B11" s="72" t="str">
        <f>'Ratings worksheet'!B11</f>
        <v>BB+</v>
      </c>
      <c r="C11" s="72" t="str">
        <f>IF('Ratings worksheet'!C11="NA",VLOOKUP('Ratings worksheet'!B11,'Sovereign Ratings (Moody''s,S&amp;P)'!$F$9:$G$33,2),'Ratings worksheet'!C11)</f>
        <v>Ba2</v>
      </c>
      <c r="F11" s="35" t="s">
        <v>229</v>
      </c>
      <c r="G11" s="17" t="s">
        <v>42</v>
      </c>
    </row>
    <row r="12" spans="1:15">
      <c r="A12" s="57" t="str">
        <f>'Ratings worksheet'!A12</f>
        <v>Bahamas</v>
      </c>
      <c r="B12" s="72" t="str">
        <f>'Ratings worksheet'!B12</f>
        <v>BB+</v>
      </c>
      <c r="C12" s="72" t="str">
        <f>IF('Ratings worksheet'!C12="NA",VLOOKUP('Ratings worksheet'!B12,'Sovereign Ratings (Moody''s,S&amp;P)'!$F$9:$G$33,2),'Ratings worksheet'!C12)</f>
        <v>Baa3</v>
      </c>
      <c r="F12" s="35" t="s">
        <v>214</v>
      </c>
      <c r="G12" s="17" t="s">
        <v>46</v>
      </c>
    </row>
    <row r="13" spans="1:15">
      <c r="A13" s="57" t="str">
        <f>'Ratings worksheet'!A13</f>
        <v>Bahrain</v>
      </c>
      <c r="B13" s="72" t="str">
        <f>'Ratings worksheet'!B13</f>
        <v>B+</v>
      </c>
      <c r="C13" s="72" t="str">
        <f>IF('Ratings worksheet'!C13="NA",VLOOKUP('Ratings worksheet'!B13,'Sovereign Ratings (Moody''s,S&amp;P)'!$F$9:$G$33,2),'Ratings worksheet'!C13)</f>
        <v>B1</v>
      </c>
      <c r="F13" s="35" t="s">
        <v>217</v>
      </c>
      <c r="G13" s="17" t="s">
        <v>47</v>
      </c>
    </row>
    <row r="14" spans="1:15">
      <c r="A14" s="57" t="str">
        <f>'Ratings worksheet'!A14</f>
        <v>Bangladesh</v>
      </c>
      <c r="B14" s="72" t="str">
        <f>'Ratings worksheet'!B14</f>
        <v>BB-</v>
      </c>
      <c r="C14" s="72" t="str">
        <f>IF('Ratings worksheet'!C14="NA",VLOOKUP('Ratings worksheet'!B14,'Sovereign Ratings (Moody''s,S&amp;P)'!$F$9:$G$33,2),'Ratings worksheet'!C14)</f>
        <v>Ba3</v>
      </c>
      <c r="F14" s="35" t="s">
        <v>211</v>
      </c>
      <c r="G14" s="17" t="s">
        <v>45</v>
      </c>
    </row>
    <row r="15" spans="1:15">
      <c r="A15" s="57" t="str">
        <f>'Ratings worksheet'!A15</f>
        <v>Barbados</v>
      </c>
      <c r="B15" s="72" t="str">
        <f>'Ratings worksheet'!B15</f>
        <v>CCC</v>
      </c>
      <c r="C15" s="72" t="str">
        <f>IF('Ratings worksheet'!C15="NA",VLOOKUP('Ratings worksheet'!B15,'Sovereign Ratings (Moody''s,S&amp;P)'!$F$9:$G$33,2),'Ratings worksheet'!C15)</f>
        <v>Caa3</v>
      </c>
      <c r="F15" s="35" t="s">
        <v>210</v>
      </c>
      <c r="G15" s="17" t="s">
        <v>48</v>
      </c>
    </row>
    <row r="16" spans="1:15">
      <c r="A16" s="57" t="str">
        <f>'Ratings worksheet'!A16</f>
        <v>Belarus</v>
      </c>
      <c r="B16" s="72" t="str">
        <f>'Ratings worksheet'!B16</f>
        <v>B</v>
      </c>
      <c r="C16" s="72" t="str">
        <f>IF('Ratings worksheet'!C16="NA",VLOOKUP('Ratings worksheet'!B16,'Sovereign Ratings (Moody''s,S&amp;P)'!$F$9:$G$33,2),'Ratings worksheet'!C16)</f>
        <v>B3</v>
      </c>
      <c r="F16" s="35" t="s">
        <v>216</v>
      </c>
      <c r="G16" s="17" t="s">
        <v>50</v>
      </c>
    </row>
    <row r="17" spans="1:7">
      <c r="A17" s="57" t="str">
        <f>'Ratings worksheet'!A17</f>
        <v>Belgium</v>
      </c>
      <c r="B17" s="72" t="str">
        <f>'Ratings worksheet'!B17</f>
        <v>AA</v>
      </c>
      <c r="C17" s="72" t="str">
        <f>IF('Ratings worksheet'!C17="NA",VLOOKUP('Ratings worksheet'!B17,'Sovereign Ratings (Moody''s,S&amp;P)'!$F$9:$G$33,2),'Ratings worksheet'!C17)</f>
        <v>Aa3</v>
      </c>
      <c r="F17" s="35" t="s">
        <v>207</v>
      </c>
      <c r="G17" s="17" t="s">
        <v>80</v>
      </c>
    </row>
    <row r="18" spans="1:7">
      <c r="A18" s="57" t="str">
        <f>'Ratings worksheet'!A18</f>
        <v>Belize</v>
      </c>
      <c r="B18" s="72" t="str">
        <f>'Ratings worksheet'!B18</f>
        <v>B-</v>
      </c>
      <c r="C18" s="72" t="str">
        <f>IF('Ratings worksheet'!C18="NA",VLOOKUP('Ratings worksheet'!B18,'Sovereign Ratings (Moody''s,S&amp;P)'!$F$9:$G$33,2),'Ratings worksheet'!C18)</f>
        <v>B3</v>
      </c>
      <c r="F18" s="35" t="s">
        <v>203</v>
      </c>
      <c r="G18" s="17" t="s">
        <v>49</v>
      </c>
    </row>
    <row r="19" spans="1:7">
      <c r="A19" s="57" t="str">
        <f>'Ratings worksheet'!A19</f>
        <v>Bermuda</v>
      </c>
      <c r="B19" s="72" t="str">
        <f>'Ratings worksheet'!B19</f>
        <v>A+</v>
      </c>
      <c r="C19" s="72" t="str">
        <f>IF('Ratings worksheet'!C19="NA",VLOOKUP('Ratings worksheet'!B19,'Sovereign Ratings (Moody''s,S&amp;P)'!$F$9:$G$33,2),'Ratings worksheet'!C19)</f>
        <v>A2</v>
      </c>
      <c r="F19" s="35" t="s">
        <v>222</v>
      </c>
      <c r="G19" s="17" t="s">
        <v>82</v>
      </c>
    </row>
    <row r="20" spans="1:7">
      <c r="A20" s="57" t="str">
        <f>'Ratings worksheet'!A20</f>
        <v>Bolivia</v>
      </c>
      <c r="B20" s="72" t="str">
        <f>'Ratings worksheet'!B20</f>
        <v>BB-</v>
      </c>
      <c r="C20" s="72" t="str">
        <f>IF('Ratings worksheet'!C20="NA",VLOOKUP('Ratings worksheet'!B20,'Sovereign Ratings (Moody''s,S&amp;P)'!$F$9:$G$33,2),'Ratings worksheet'!C20)</f>
        <v>Ba3</v>
      </c>
      <c r="F20" s="35" t="s">
        <v>206</v>
      </c>
      <c r="G20" s="17" t="s">
        <v>83</v>
      </c>
    </row>
    <row r="21" spans="1:7">
      <c r="A21" s="57" t="str">
        <f>'Ratings worksheet'!A21</f>
        <v>Bosnia and Herzegovina</v>
      </c>
      <c r="B21" s="72" t="str">
        <f>'Ratings worksheet'!B21</f>
        <v>B</v>
      </c>
      <c r="C21" s="72" t="str">
        <f>IF('Ratings worksheet'!C21="NA",VLOOKUP('Ratings worksheet'!B21,'Sovereign Ratings (Moody''s,S&amp;P)'!$F$9:$G$33,2),'Ratings worksheet'!C21)</f>
        <v>B3</v>
      </c>
      <c r="F21" s="35" t="s">
        <v>223</v>
      </c>
      <c r="G21" s="17" t="s">
        <v>81</v>
      </c>
    </row>
    <row r="22" spans="1:7">
      <c r="A22" s="57" t="str">
        <f>'Ratings worksheet'!A22</f>
        <v>Botswana</v>
      </c>
      <c r="B22" s="72" t="str">
        <f>'Ratings worksheet'!B22</f>
        <v>A-</v>
      </c>
      <c r="C22" s="72" t="str">
        <f>IF('Ratings worksheet'!C22="NA",VLOOKUP('Ratings worksheet'!B22,'Sovereign Ratings (Moody''s,S&amp;P)'!$F$9:$G$33,2),'Ratings worksheet'!C22)</f>
        <v>A2</v>
      </c>
      <c r="F22" s="35" t="s">
        <v>213</v>
      </c>
      <c r="G22" s="17" t="s">
        <v>85</v>
      </c>
    </row>
    <row r="23" spans="1:7">
      <c r="A23" s="57" t="str">
        <f>'Ratings worksheet'!A23</f>
        <v>Brazil</v>
      </c>
      <c r="B23" s="72" t="str">
        <f>'Ratings worksheet'!B23</f>
        <v>BB-</v>
      </c>
      <c r="C23" s="72" t="str">
        <f>IF('Ratings worksheet'!C23="NA",VLOOKUP('Ratings worksheet'!B23,'Sovereign Ratings (Moody''s,S&amp;P)'!$F$9:$G$33,2),'Ratings worksheet'!C23)</f>
        <v>Ba2</v>
      </c>
      <c r="F23" s="35" t="s">
        <v>212</v>
      </c>
      <c r="G23" s="17" t="s">
        <v>126</v>
      </c>
    </row>
    <row r="24" spans="1:7">
      <c r="A24" s="57" t="str">
        <f>'Ratings worksheet'!A24</f>
        <v>Bulgaria</v>
      </c>
      <c r="B24" s="72" t="str">
        <f>'Ratings worksheet'!B24</f>
        <v>BBB-</v>
      </c>
      <c r="C24" s="72" t="str">
        <f>IF('Ratings worksheet'!C24="NA",VLOOKUP('Ratings worksheet'!B24,'Sovereign Ratings (Moody''s,S&amp;P)'!$F$9:$G$33,2),'Ratings worksheet'!C24)</f>
        <v>Baa2</v>
      </c>
      <c r="F24" s="35" t="s">
        <v>209</v>
      </c>
      <c r="G24" s="17" t="s">
        <v>84</v>
      </c>
    </row>
    <row r="25" spans="1:7">
      <c r="A25" s="57" t="str">
        <f>'Ratings worksheet'!A25</f>
        <v>Burkina Faso</v>
      </c>
      <c r="B25" s="72" t="str">
        <f>'Ratings worksheet'!B25</f>
        <v>B</v>
      </c>
      <c r="C25" s="72" t="str">
        <f>IF('Ratings worksheet'!C25="NA",VLOOKUP('Ratings worksheet'!B25,'Sovereign Ratings (Moody''s,S&amp;P)'!$F$9:$G$33,2),'Ratings worksheet'!C25)</f>
        <v>B2</v>
      </c>
      <c r="F25" s="35" t="s">
        <v>139</v>
      </c>
      <c r="G25" s="17" t="s">
        <v>251</v>
      </c>
    </row>
    <row r="26" spans="1:7">
      <c r="A26" s="57" t="str">
        <f>'Ratings worksheet'!A26</f>
        <v>Cambodia</v>
      </c>
      <c r="B26" s="72" t="str">
        <f>'Ratings worksheet'!B26</f>
        <v>NA</v>
      </c>
      <c r="C26" s="72" t="str">
        <f>IF('Ratings worksheet'!C26="NA",VLOOKUP('Ratings worksheet'!B26,'Sovereign Ratings (Moody''s,S&amp;P)'!$F$9:$G$33,2),'Ratings worksheet'!C26)</f>
        <v>B2</v>
      </c>
      <c r="F26" s="35" t="s">
        <v>252</v>
      </c>
      <c r="G26" s="17" t="s">
        <v>253</v>
      </c>
    </row>
    <row r="27" spans="1:7">
      <c r="A27" s="57" t="str">
        <f>'Ratings worksheet'!A27</f>
        <v>Cameroon</v>
      </c>
      <c r="B27" s="72" t="str">
        <f>'Ratings worksheet'!B27</f>
        <v>B</v>
      </c>
      <c r="C27" s="72" t="str">
        <f>IF('Ratings worksheet'!C27="NA",VLOOKUP('Ratings worksheet'!B27,'Sovereign Ratings (Moody''s,S&amp;P)'!$F$9:$G$33,2),'Ratings worksheet'!C27)</f>
        <v>B2</v>
      </c>
      <c r="F27" s="35" t="s">
        <v>249</v>
      </c>
      <c r="G27" s="17" t="s">
        <v>250</v>
      </c>
    </row>
    <row r="28" spans="1:7">
      <c r="A28" s="57" t="str">
        <f>'Ratings worksheet'!A28</f>
        <v>Canada</v>
      </c>
      <c r="B28" s="72" t="str">
        <f>'Ratings worksheet'!B28</f>
        <v>AAA</v>
      </c>
      <c r="C28" s="72" t="str">
        <f>IF('Ratings worksheet'!C28="NA",VLOOKUP('Ratings worksheet'!B28,'Sovereign Ratings (Moody''s,S&amp;P)'!$F$9:$G$33,2),'Ratings worksheet'!C28)</f>
        <v>Aaa</v>
      </c>
      <c r="F28" s="35" t="s">
        <v>245</v>
      </c>
      <c r="G28" s="17" t="s">
        <v>246</v>
      </c>
    </row>
    <row r="29" spans="1:7" s="18" customFormat="1">
      <c r="A29" s="57" t="str">
        <f>'Ratings worksheet'!A29</f>
        <v>Cape Verde</v>
      </c>
      <c r="B29" s="72" t="str">
        <f>'Ratings worksheet'!B29</f>
        <v>B</v>
      </c>
      <c r="C29" s="72" t="str">
        <f>IF('Ratings worksheet'!C29="NA",VLOOKUP('Ratings worksheet'!B29,'Sovereign Ratings (Moody''s,S&amp;P)'!$F$9:$G$33,2),'Ratings worksheet'!C29)</f>
        <v>B2</v>
      </c>
      <c r="F29" s="35" t="s">
        <v>247</v>
      </c>
      <c r="G29" s="17" t="s">
        <v>248</v>
      </c>
    </row>
    <row r="30" spans="1:7">
      <c r="A30" s="57" t="str">
        <f>'Ratings worksheet'!A30</f>
        <v>Cayman Islands</v>
      </c>
      <c r="B30" s="72" t="str">
        <f>'Ratings worksheet'!B30</f>
        <v>NA</v>
      </c>
      <c r="C30" s="72" t="str">
        <f>IF('Ratings worksheet'!C30="NA",VLOOKUP('Ratings worksheet'!B30,'Sovereign Ratings (Moody''s,S&amp;P)'!$F$9:$G$33,2),'Ratings worksheet'!C30)</f>
        <v>Aa3</v>
      </c>
      <c r="F30" s="35" t="s">
        <v>244</v>
      </c>
      <c r="G30" s="17" t="s">
        <v>260</v>
      </c>
    </row>
    <row r="31" spans="1:7">
      <c r="A31" s="57" t="str">
        <f>'Ratings worksheet'!A31</f>
        <v>Chile</v>
      </c>
      <c r="B31" s="72" t="str">
        <f>'Ratings worksheet'!B31</f>
        <v>AA-</v>
      </c>
      <c r="C31" s="72" t="str">
        <f>IF('Ratings worksheet'!C31="NA",VLOOKUP('Ratings worksheet'!B31,'Sovereign Ratings (Moody''s,S&amp;P)'!$F$9:$G$33,2),'Ratings worksheet'!C31)</f>
        <v>Aa3</v>
      </c>
      <c r="F31" s="35" t="s">
        <v>242</v>
      </c>
      <c r="G31" s="17" t="s">
        <v>59</v>
      </c>
    </row>
    <row r="32" spans="1:7">
      <c r="A32" s="57" t="str">
        <f>'Ratings worksheet'!A32</f>
        <v>China</v>
      </c>
      <c r="B32" s="72" t="str">
        <f>'Ratings worksheet'!B32</f>
        <v>A+</v>
      </c>
      <c r="C32" s="72" t="str">
        <f>IF('Ratings worksheet'!C32="NA",VLOOKUP('Ratings worksheet'!B32,'Sovereign Ratings (Moody''s,S&amp;P)'!$F$9:$G$33,2),'Ratings worksheet'!C32)</f>
        <v>A1</v>
      </c>
      <c r="F32" s="35" t="s">
        <v>243</v>
      </c>
      <c r="G32" s="17" t="s">
        <v>63</v>
      </c>
    </row>
    <row r="33" spans="1:7">
      <c r="A33" s="57" t="str">
        <f>'Ratings worksheet'!A33</f>
        <v>Colombia</v>
      </c>
      <c r="B33" s="72" t="str">
        <f>'Ratings worksheet'!B33</f>
        <v>BBB</v>
      </c>
      <c r="C33" s="72" t="str">
        <f>IF('Ratings worksheet'!C33="NA",VLOOKUP('Ratings worksheet'!B33,'Sovereign Ratings (Moody''s,S&amp;P)'!$F$9:$G$33,2),'Ratings worksheet'!C33)</f>
        <v>Baa2</v>
      </c>
      <c r="F33" s="35" t="s">
        <v>225</v>
      </c>
      <c r="G33" s="17" t="s">
        <v>102</v>
      </c>
    </row>
    <row r="34" spans="1:7">
      <c r="A34" s="57" t="str">
        <f>'Ratings worksheet'!A34</f>
        <v>Congo (Democratic Republic of)</v>
      </c>
      <c r="B34" s="72" t="str">
        <f>'Ratings worksheet'!B34</f>
        <v>CCC+</v>
      </c>
      <c r="C34" s="72" t="str">
        <f>IF('Ratings worksheet'!C34="NA",VLOOKUP('Ratings worksheet'!B34,'Sovereign Ratings (Moody''s,S&amp;P)'!$F$9:$G$33,2),'Ratings worksheet'!C34)</f>
        <v>B3</v>
      </c>
    </row>
    <row r="35" spans="1:7">
      <c r="A35" s="57" t="str">
        <f>'Ratings worksheet'!A35</f>
        <v>Congo (Republic of)</v>
      </c>
      <c r="B35" s="72" t="str">
        <f>'Ratings worksheet'!B35</f>
        <v>B-</v>
      </c>
      <c r="C35" s="72" t="str">
        <f>IF('Ratings worksheet'!C35="NA",VLOOKUP('Ratings worksheet'!B35,'Sovereign Ratings (Moody''s,S&amp;P)'!$F$9:$G$33,2),'Ratings worksheet'!C35)</f>
        <v>Caa2</v>
      </c>
    </row>
    <row r="36" spans="1:7">
      <c r="A36" s="57" t="str">
        <f>'Ratings worksheet'!A36</f>
        <v>Cook Islands</v>
      </c>
      <c r="B36" s="72" t="str">
        <f>'Ratings worksheet'!B36</f>
        <v>B+</v>
      </c>
      <c r="C36" s="72" t="str">
        <f>IF('Ratings worksheet'!C36="NA",VLOOKUP('Ratings worksheet'!B36,'Sovereign Ratings (Moody''s,S&amp;P)'!$F$9:$G$33,2),'Ratings worksheet'!C36)</f>
        <v>B1</v>
      </c>
    </row>
    <row r="37" spans="1:7">
      <c r="A37" s="57" t="str">
        <f>'Ratings worksheet'!A37</f>
        <v>Costa Rica</v>
      </c>
      <c r="B37" s="72" t="str">
        <f>'Ratings worksheet'!B37</f>
        <v>BB-</v>
      </c>
      <c r="C37" s="72" t="str">
        <f>IF('Ratings worksheet'!C37="NA",VLOOKUP('Ratings worksheet'!B37,'Sovereign Ratings (Moody''s,S&amp;P)'!$F$9:$G$33,2),'Ratings worksheet'!C37)</f>
        <v>Ba2</v>
      </c>
    </row>
    <row r="38" spans="1:7">
      <c r="A38" s="57" t="str">
        <f>'Ratings worksheet'!A38</f>
        <v>Côte d'Ivoire</v>
      </c>
      <c r="B38" s="72" t="str">
        <f>'Ratings worksheet'!B38</f>
        <v>NA</v>
      </c>
      <c r="C38" s="72" t="str">
        <f>IF('Ratings worksheet'!C38="NA",VLOOKUP('Ratings worksheet'!B38,'Sovereign Ratings (Moody''s,S&amp;P)'!$F$9:$G$33,2),'Ratings worksheet'!C38)</f>
        <v>Ba3</v>
      </c>
    </row>
    <row r="39" spans="1:7">
      <c r="A39" s="57" t="str">
        <f>'Ratings worksheet'!A39</f>
        <v>Croatia</v>
      </c>
      <c r="B39" s="72" t="str">
        <f>'Ratings worksheet'!B39</f>
        <v>BB+</v>
      </c>
      <c r="C39" s="72" t="str">
        <f>IF('Ratings worksheet'!C39="NA",VLOOKUP('Ratings worksheet'!B39,'Sovereign Ratings (Moody''s,S&amp;P)'!$F$9:$G$33,2),'Ratings worksheet'!C39)</f>
        <v>Ba2</v>
      </c>
    </row>
    <row r="40" spans="1:7">
      <c r="A40" s="57" t="str">
        <f>'Ratings worksheet'!A40</f>
        <v>Cuba</v>
      </c>
      <c r="B40" s="72" t="str">
        <f>'Ratings worksheet'!B40</f>
        <v>NA</v>
      </c>
      <c r="C40" s="72" t="str">
        <f>IF('Ratings worksheet'!C40="NA",VLOOKUP('Ratings worksheet'!B40,'Sovereign Ratings (Moody''s,S&amp;P)'!$F$9:$G$33,2),'Ratings worksheet'!C40)</f>
        <v>Caa2</v>
      </c>
    </row>
    <row r="41" spans="1:7">
      <c r="A41" s="57" t="str">
        <f>'Ratings worksheet'!A41</f>
        <v>Curacao</v>
      </c>
      <c r="B41" s="72" t="str">
        <f>'Ratings worksheet'!B41</f>
        <v>A-</v>
      </c>
      <c r="C41" s="72" t="str">
        <f>IF('Ratings worksheet'!C41="NA",VLOOKUP('Ratings worksheet'!B41,'Sovereign Ratings (Moody''s,S&amp;P)'!$F$9:$G$33,2),'Ratings worksheet'!C41)</f>
        <v>A3</v>
      </c>
    </row>
    <row r="42" spans="1:7">
      <c r="A42" s="57" t="str">
        <f>'Ratings worksheet'!A42</f>
        <v>Cyprus</v>
      </c>
      <c r="B42" s="72" t="str">
        <f>'Ratings worksheet'!B42</f>
        <v>BB+</v>
      </c>
      <c r="C42" s="72" t="str">
        <f>IF('Ratings worksheet'!C42="NA",VLOOKUP('Ratings worksheet'!B42,'Sovereign Ratings (Moody''s,S&amp;P)'!$F$9:$G$33,2),'Ratings worksheet'!C42)</f>
        <v>Ba3</v>
      </c>
    </row>
    <row r="43" spans="1:7">
      <c r="A43" s="57" t="str">
        <f>'Ratings worksheet'!A43</f>
        <v>Czech Republic</v>
      </c>
      <c r="B43" s="72" t="str">
        <f>'Ratings worksheet'!B43</f>
        <v>AA</v>
      </c>
      <c r="C43" s="72" t="str">
        <f>IF('Ratings worksheet'!C43="NA",VLOOKUP('Ratings worksheet'!B43,'Sovereign Ratings (Moody''s,S&amp;P)'!$F$9:$G$33,2),'Ratings worksheet'!C43)</f>
        <v>A1</v>
      </c>
    </row>
    <row r="44" spans="1:7">
      <c r="A44" s="57" t="str">
        <f>'Ratings worksheet'!A44</f>
        <v>Denmark</v>
      </c>
      <c r="B44" s="72" t="str">
        <f>'Ratings worksheet'!B44</f>
        <v>AAA</v>
      </c>
      <c r="C44" s="72" t="str">
        <f>IF('Ratings worksheet'!C44="NA",VLOOKUP('Ratings worksheet'!B44,'Sovereign Ratings (Moody''s,S&amp;P)'!$F$9:$G$33,2),'Ratings worksheet'!C44)</f>
        <v>Aaa</v>
      </c>
    </row>
    <row r="45" spans="1:7">
      <c r="A45" s="57" t="str">
        <f>'Ratings worksheet'!A45</f>
        <v>Dominican Republic</v>
      </c>
      <c r="B45" s="72" t="str">
        <f>'Ratings worksheet'!B45</f>
        <v>BB-</v>
      </c>
      <c r="C45" s="72" t="str">
        <f>IF('Ratings worksheet'!C45="NA",VLOOKUP('Ratings worksheet'!B45,'Sovereign Ratings (Moody''s,S&amp;P)'!$F$9:$G$33,2),'Ratings worksheet'!C45)</f>
        <v>Ba3</v>
      </c>
    </row>
    <row r="46" spans="1:7">
      <c r="A46" s="57" t="str">
        <f>'Ratings worksheet'!A46</f>
        <v>Ecuador</v>
      </c>
      <c r="B46" s="72" t="str">
        <f>'Ratings worksheet'!B46</f>
        <v>B-</v>
      </c>
      <c r="C46" s="72" t="str">
        <f>IF('Ratings worksheet'!C46="NA",VLOOKUP('Ratings worksheet'!B46,'Sovereign Ratings (Moody''s,S&amp;P)'!$F$9:$G$33,2),'Ratings worksheet'!C46)</f>
        <v>B3</v>
      </c>
    </row>
    <row r="47" spans="1:7">
      <c r="A47" s="57" t="str">
        <f>'Ratings worksheet'!A47</f>
        <v>Egypt</v>
      </c>
      <c r="B47" s="72" t="str">
        <f>'Ratings worksheet'!B47</f>
        <v>B</v>
      </c>
      <c r="C47" s="72" t="str">
        <f>IF('Ratings worksheet'!C47="NA",VLOOKUP('Ratings worksheet'!B47,'Sovereign Ratings (Moody''s,S&amp;P)'!$F$9:$G$33,2),'Ratings worksheet'!C47)</f>
        <v>B3</v>
      </c>
    </row>
    <row r="48" spans="1:7">
      <c r="A48" s="57" t="str">
        <f>'Ratings worksheet'!A48</f>
        <v>El Salvador</v>
      </c>
      <c r="B48" s="72" t="str">
        <f>'Ratings worksheet'!B48</f>
        <v>CCC+</v>
      </c>
      <c r="C48" s="72" t="str">
        <f>IF('Ratings worksheet'!C48="NA",VLOOKUP('Ratings worksheet'!B48,'Sovereign Ratings (Moody''s,S&amp;P)'!$F$9:$G$33,2),'Ratings worksheet'!C48)</f>
        <v>Caa1</v>
      </c>
    </row>
    <row r="49" spans="1:3">
      <c r="A49" s="57" t="str">
        <f>'Ratings worksheet'!A49</f>
        <v>Estonia</v>
      </c>
      <c r="B49" s="72" t="str">
        <f>'Ratings worksheet'!B49</f>
        <v>AA-</v>
      </c>
      <c r="C49" s="72" t="str">
        <f>IF('Ratings worksheet'!C49="NA",VLOOKUP('Ratings worksheet'!B49,'Sovereign Ratings (Moody''s,S&amp;P)'!$F$9:$G$33,2),'Ratings worksheet'!C49)</f>
        <v>A1</v>
      </c>
    </row>
    <row r="50" spans="1:3">
      <c r="A50" s="57" t="str">
        <f>'Ratings worksheet'!A50</f>
        <v>Ethiopia</v>
      </c>
      <c r="B50" s="72" t="str">
        <f>'Ratings worksheet'!B50</f>
        <v>B</v>
      </c>
      <c r="C50" s="72" t="str">
        <f>IF('Ratings worksheet'!C50="NA",VLOOKUP('Ratings worksheet'!B50,'Sovereign Ratings (Moody''s,S&amp;P)'!$F$9:$G$33,2),'Ratings worksheet'!C50)</f>
        <v>B1</v>
      </c>
    </row>
    <row r="51" spans="1:3">
      <c r="A51" s="57" t="str">
        <f>'Ratings worksheet'!A51</f>
        <v>Fiji</v>
      </c>
      <c r="B51" s="72" t="str">
        <f>'Ratings worksheet'!B51</f>
        <v>B+</v>
      </c>
      <c r="C51" s="72" t="str">
        <f>IF('Ratings worksheet'!C51="NA",VLOOKUP('Ratings worksheet'!B51,'Sovereign Ratings (Moody''s,S&amp;P)'!$F$9:$G$33,2),'Ratings worksheet'!C51)</f>
        <v>Ba3</v>
      </c>
    </row>
    <row r="52" spans="1:3">
      <c r="A52" s="57" t="str">
        <f>'Ratings worksheet'!A52</f>
        <v>Finland</v>
      </c>
      <c r="B52" s="72" t="str">
        <f>'Ratings worksheet'!B52</f>
        <v>AA+</v>
      </c>
      <c r="C52" s="72" t="str">
        <f>IF('Ratings worksheet'!C52="NA",VLOOKUP('Ratings worksheet'!B52,'Sovereign Ratings (Moody''s,S&amp;P)'!$F$9:$G$33,2),'Ratings worksheet'!C52)</f>
        <v>Aa1</v>
      </c>
    </row>
    <row r="53" spans="1:3">
      <c r="A53" s="57" t="str">
        <f>'Ratings worksheet'!A53</f>
        <v>France</v>
      </c>
      <c r="B53" s="72" t="str">
        <f>'Ratings worksheet'!B53</f>
        <v>AA</v>
      </c>
      <c r="C53" s="72" t="str">
        <f>IF('Ratings worksheet'!C53="NA",VLOOKUP('Ratings worksheet'!B53,'Sovereign Ratings (Moody''s,S&amp;P)'!$F$9:$G$33,2),'Ratings worksheet'!C53)</f>
        <v>Aa2</v>
      </c>
    </row>
    <row r="54" spans="1:3">
      <c r="A54" s="57" t="str">
        <f>'Ratings worksheet'!A54</f>
        <v>Gabon</v>
      </c>
      <c r="B54" s="72" t="str">
        <f>'Ratings worksheet'!B54</f>
        <v>NA</v>
      </c>
      <c r="C54" s="72" t="str">
        <f>IF('Ratings worksheet'!C54="NA",VLOOKUP('Ratings worksheet'!B54,'Sovereign Ratings (Moody''s,S&amp;P)'!$F$9:$G$33,2),'Ratings worksheet'!C54)</f>
        <v>Caa1</v>
      </c>
    </row>
    <row r="55" spans="1:3">
      <c r="A55" s="57" t="str">
        <f>'Ratings worksheet'!A55</f>
        <v>Georgia</v>
      </c>
      <c r="B55" s="72" t="str">
        <f>'Ratings worksheet'!B55</f>
        <v>BB-</v>
      </c>
      <c r="C55" s="72" t="str">
        <f>IF('Ratings worksheet'!C55="NA",VLOOKUP('Ratings worksheet'!B55,'Sovereign Ratings (Moody''s,S&amp;P)'!$F$9:$G$33,2),'Ratings worksheet'!C55)</f>
        <v>Ba2</v>
      </c>
    </row>
    <row r="56" spans="1:3">
      <c r="A56" s="57" t="str">
        <f>'Ratings worksheet'!A56</f>
        <v>Germany</v>
      </c>
      <c r="B56" s="72" t="str">
        <f>'Ratings worksheet'!B56</f>
        <v>AAA</v>
      </c>
      <c r="C56" s="72" t="str">
        <f>IF('Ratings worksheet'!C56="NA",VLOOKUP('Ratings worksheet'!B56,'Sovereign Ratings (Moody''s,S&amp;P)'!$F$9:$G$33,2),'Ratings worksheet'!C56)</f>
        <v>Aaa</v>
      </c>
    </row>
    <row r="57" spans="1:3">
      <c r="A57" s="57" t="str">
        <f>'Ratings worksheet'!A57</f>
        <v>Ghana</v>
      </c>
      <c r="B57" s="72" t="str">
        <f>'Ratings worksheet'!B57</f>
        <v>B-</v>
      </c>
      <c r="C57" s="72" t="str">
        <f>IF('Ratings worksheet'!C57="NA",VLOOKUP('Ratings worksheet'!B57,'Sovereign Ratings (Moody''s,S&amp;P)'!$F$9:$G$33,2),'Ratings worksheet'!C57)</f>
        <v>B3</v>
      </c>
    </row>
    <row r="58" spans="1:3">
      <c r="A58" s="57" t="str">
        <f>'Ratings worksheet'!A58</f>
        <v>Greece</v>
      </c>
      <c r="B58" s="72" t="str">
        <f>'Ratings worksheet'!B58</f>
        <v>B</v>
      </c>
      <c r="C58" s="72" t="str">
        <f>IF('Ratings worksheet'!C58="NA",VLOOKUP('Ratings worksheet'!B58,'Sovereign Ratings (Moody''s,S&amp;P)'!$F$9:$G$33,2),'Ratings worksheet'!C58)</f>
        <v>B3</v>
      </c>
    </row>
    <row r="59" spans="1:3">
      <c r="A59" s="57" t="str">
        <f>'Ratings worksheet'!A59</f>
        <v>Guatemala</v>
      </c>
      <c r="B59" s="72" t="str">
        <f>'Ratings worksheet'!B59</f>
        <v>BB</v>
      </c>
      <c r="C59" s="72" t="str">
        <f>IF('Ratings worksheet'!C59="NA",VLOOKUP('Ratings worksheet'!B59,'Sovereign Ratings (Moody''s,S&amp;P)'!$F$9:$G$33,2),'Ratings worksheet'!C59)</f>
        <v>Ba1</v>
      </c>
    </row>
    <row r="60" spans="1:3">
      <c r="A60" s="57" t="str">
        <f>'Ratings worksheet'!A60</f>
        <v>Guernsey (States of)</v>
      </c>
      <c r="B60" s="72" t="str">
        <f>'Ratings worksheet'!B60</f>
        <v>AA-</v>
      </c>
      <c r="C60" s="72" t="str">
        <f>IF('Ratings worksheet'!C60="NA",VLOOKUP('Ratings worksheet'!B60,'Sovereign Ratings (Moody''s,S&amp;P)'!$F$9:$G$33,2),'Ratings worksheet'!C60)</f>
        <v>Aa3</v>
      </c>
    </row>
    <row r="61" spans="1:3">
      <c r="A61" s="57" t="str">
        <f>'Ratings worksheet'!A61</f>
        <v>Honduras</v>
      </c>
      <c r="B61" s="72" t="str">
        <f>'Ratings worksheet'!B61</f>
        <v>BB-</v>
      </c>
      <c r="C61" s="72" t="str">
        <f>IF('Ratings worksheet'!C61="NA",VLOOKUP('Ratings worksheet'!B61,'Sovereign Ratings (Moody''s,S&amp;P)'!$F$9:$G$33,2),'Ratings worksheet'!C61)</f>
        <v>B1</v>
      </c>
    </row>
    <row r="62" spans="1:3">
      <c r="A62" s="57" t="str">
        <f>'Ratings worksheet'!A62</f>
        <v>Hong Kong</v>
      </c>
      <c r="B62" s="72" t="str">
        <f>'Ratings worksheet'!B62</f>
        <v>AA+</v>
      </c>
      <c r="C62" s="72" t="str">
        <f>IF('Ratings worksheet'!C62="NA",VLOOKUP('Ratings worksheet'!B62,'Sovereign Ratings (Moody''s,S&amp;P)'!$F$9:$G$33,2),'Ratings worksheet'!C62)</f>
        <v>Aa2</v>
      </c>
    </row>
    <row r="63" spans="1:3">
      <c r="A63" s="57" t="str">
        <f>'Ratings worksheet'!A63</f>
        <v>Hungary</v>
      </c>
      <c r="B63" s="72" t="str">
        <f>'Ratings worksheet'!B63</f>
        <v>BBB-</v>
      </c>
      <c r="C63" s="72" t="str">
        <f>IF('Ratings worksheet'!C63="NA",VLOOKUP('Ratings worksheet'!B63,'Sovereign Ratings (Moody''s,S&amp;P)'!$F$9:$G$33,2),'Ratings worksheet'!C63)</f>
        <v>Baa3</v>
      </c>
    </row>
    <row r="64" spans="1:3">
      <c r="A64" s="57" t="str">
        <f>'Ratings worksheet'!A64</f>
        <v>Iceland</v>
      </c>
      <c r="B64" s="72" t="str">
        <f>'Ratings worksheet'!B64</f>
        <v>A</v>
      </c>
      <c r="C64" s="72" t="str">
        <f>IF('Ratings worksheet'!C64="NA",VLOOKUP('Ratings worksheet'!B64,'Sovereign Ratings (Moody''s,S&amp;P)'!$F$9:$G$33,2),'Ratings worksheet'!C64)</f>
        <v>A3</v>
      </c>
    </row>
    <row r="65" spans="1:3">
      <c r="A65" s="57" t="str">
        <f>'Ratings worksheet'!A65</f>
        <v>India</v>
      </c>
      <c r="B65" s="72" t="str">
        <f>'Ratings worksheet'!B65</f>
        <v>BBB-</v>
      </c>
      <c r="C65" s="72" t="str">
        <f>IF('Ratings worksheet'!C65="NA",VLOOKUP('Ratings worksheet'!B65,'Sovereign Ratings (Moody''s,S&amp;P)'!$F$9:$G$33,2),'Ratings worksheet'!C65)</f>
        <v>Baa2</v>
      </c>
    </row>
    <row r="66" spans="1:3">
      <c r="A66" s="57" t="str">
        <f>'Ratings worksheet'!A66</f>
        <v>Indonesia</v>
      </c>
      <c r="B66" s="72" t="str">
        <f>'Ratings worksheet'!B66</f>
        <v>BBB-</v>
      </c>
      <c r="C66" s="72" t="str">
        <f>IF('Ratings worksheet'!C66="NA",VLOOKUP('Ratings worksheet'!B66,'Sovereign Ratings (Moody''s,S&amp;P)'!$F$9:$G$33,2),'Ratings worksheet'!C66)</f>
        <v>Baa2</v>
      </c>
    </row>
    <row r="67" spans="1:3">
      <c r="A67" s="57" t="str">
        <f>'Ratings worksheet'!A67</f>
        <v>Iraq</v>
      </c>
      <c r="B67" s="72" t="str">
        <f>'Ratings worksheet'!B67</f>
        <v>B-</v>
      </c>
      <c r="C67" s="72" t="str">
        <f>IF('Ratings worksheet'!C67="NA",VLOOKUP('Ratings worksheet'!B67,'Sovereign Ratings (Moody''s,S&amp;P)'!$F$9:$G$33,2),'Ratings worksheet'!C67)</f>
        <v>Caa1</v>
      </c>
    </row>
    <row r="68" spans="1:3">
      <c r="A68" s="57" t="str">
        <f>'Ratings worksheet'!A68</f>
        <v>Ireland</v>
      </c>
      <c r="B68" s="72" t="str">
        <f>'Ratings worksheet'!B68</f>
        <v>A+</v>
      </c>
      <c r="C68" s="72" t="str">
        <f>IF('Ratings worksheet'!C68="NA",VLOOKUP('Ratings worksheet'!B68,'Sovereign Ratings (Moody''s,S&amp;P)'!$F$9:$G$33,2),'Ratings worksheet'!C68)</f>
        <v>A2</v>
      </c>
    </row>
    <row r="69" spans="1:3">
      <c r="A69" s="57" t="str">
        <f>'Ratings worksheet'!A69</f>
        <v>Isle of Man</v>
      </c>
      <c r="B69" s="72" t="str">
        <f>'Ratings worksheet'!B69</f>
        <v>NA</v>
      </c>
      <c r="C69" s="72" t="str">
        <f>IF('Ratings worksheet'!C69="NA",VLOOKUP('Ratings worksheet'!B69,'Sovereign Ratings (Moody''s,S&amp;P)'!$F$9:$G$33,2),'Ratings worksheet'!C69)</f>
        <v>Aa2</v>
      </c>
    </row>
    <row r="70" spans="1:3">
      <c r="A70" s="57" t="str">
        <f>'Ratings worksheet'!A70</f>
        <v>Israel</v>
      </c>
      <c r="B70" s="72" t="str">
        <f>'Ratings worksheet'!B70</f>
        <v>A+</v>
      </c>
      <c r="C70" s="72" t="str">
        <f>IF('Ratings worksheet'!C70="NA",VLOOKUP('Ratings worksheet'!B70,'Sovereign Ratings (Moody''s,S&amp;P)'!$F$9:$G$33,2),'Ratings worksheet'!C70)</f>
        <v>A1</v>
      </c>
    </row>
    <row r="71" spans="1:3">
      <c r="A71" s="57" t="str">
        <f>'Ratings worksheet'!A71</f>
        <v>Italy</v>
      </c>
      <c r="B71" s="72" t="str">
        <f>'Ratings worksheet'!B71</f>
        <v>BBB</v>
      </c>
      <c r="C71" s="72" t="str">
        <f>IF('Ratings worksheet'!C71="NA",VLOOKUP('Ratings worksheet'!B71,'Sovereign Ratings (Moody''s,S&amp;P)'!$F$9:$G$33,2),'Ratings worksheet'!C71)</f>
        <v>Baa2</v>
      </c>
    </row>
    <row r="72" spans="1:3">
      <c r="A72" s="57" t="str">
        <f>'Ratings worksheet'!A72</f>
        <v>Jamaica</v>
      </c>
      <c r="B72" s="72" t="str">
        <f>'Ratings worksheet'!B72</f>
        <v>B</v>
      </c>
      <c r="C72" s="72" t="str">
        <f>IF('Ratings worksheet'!C72="NA",VLOOKUP('Ratings worksheet'!B72,'Sovereign Ratings (Moody''s,S&amp;P)'!$F$9:$G$33,2),'Ratings worksheet'!C72)</f>
        <v>B3</v>
      </c>
    </row>
    <row r="73" spans="1:3">
      <c r="A73" s="57" t="str">
        <f>'Ratings worksheet'!A73</f>
        <v>Japan</v>
      </c>
      <c r="B73" s="72" t="str">
        <f>'Ratings worksheet'!B73</f>
        <v>A+</v>
      </c>
      <c r="C73" s="72" t="str">
        <f>IF('Ratings worksheet'!C73="NA",VLOOKUP('Ratings worksheet'!B73,'Sovereign Ratings (Moody''s,S&amp;P)'!$F$9:$G$33,2),'Ratings worksheet'!C73)</f>
        <v>A1</v>
      </c>
    </row>
    <row r="74" spans="1:3">
      <c r="A74" s="57" t="str">
        <f>'Ratings worksheet'!A74</f>
        <v>Jersey (States of)</v>
      </c>
      <c r="B74" s="72" t="str">
        <f>'Ratings worksheet'!B74</f>
        <v>AA-</v>
      </c>
      <c r="C74" s="72" t="str">
        <f>IF('Ratings worksheet'!C74="NA",VLOOKUP('Ratings worksheet'!B74,'Sovereign Ratings (Moody''s,S&amp;P)'!$F$9:$G$33,2),'Ratings worksheet'!C74)</f>
        <v>Aa3</v>
      </c>
    </row>
    <row r="75" spans="1:3">
      <c r="A75" s="57" t="str">
        <f>'Ratings worksheet'!A75</f>
        <v>Jordan</v>
      </c>
      <c r="B75" s="72" t="str">
        <f>'Ratings worksheet'!B75</f>
        <v>B+</v>
      </c>
      <c r="C75" s="72" t="str">
        <f>IF('Ratings worksheet'!C75="NA",VLOOKUP('Ratings worksheet'!B75,'Sovereign Ratings (Moody''s,S&amp;P)'!$F$9:$G$33,2),'Ratings worksheet'!C75)</f>
        <v>B1</v>
      </c>
    </row>
    <row r="76" spans="1:3">
      <c r="A76" s="57" t="str">
        <f>'Ratings worksheet'!A76</f>
        <v>Kazakhstan</v>
      </c>
      <c r="B76" s="72" t="str">
        <f>'Ratings worksheet'!B76</f>
        <v>BBB-</v>
      </c>
      <c r="C76" s="72" t="str">
        <f>IF('Ratings worksheet'!C76="NA",VLOOKUP('Ratings worksheet'!B76,'Sovereign Ratings (Moody''s,S&amp;P)'!$F$9:$G$33,2),'Ratings worksheet'!C76)</f>
        <v>Baa3</v>
      </c>
    </row>
    <row r="77" spans="1:3">
      <c r="A77" s="57" t="str">
        <f>'Ratings worksheet'!A77</f>
        <v>Kenya</v>
      </c>
      <c r="B77" s="72" t="str">
        <f>'Ratings worksheet'!B77</f>
        <v>B+</v>
      </c>
      <c r="C77" s="72" t="str">
        <f>IF('Ratings worksheet'!C77="NA",VLOOKUP('Ratings worksheet'!B77,'Sovereign Ratings (Moody''s,S&amp;P)'!$F$9:$G$33,2),'Ratings worksheet'!C77)</f>
        <v>B2</v>
      </c>
    </row>
    <row r="78" spans="1:3">
      <c r="A78" s="57" t="str">
        <f>'Ratings worksheet'!A78</f>
        <v>Korea</v>
      </c>
      <c r="B78" s="72" t="str">
        <f>'Ratings worksheet'!B78</f>
        <v>AA</v>
      </c>
      <c r="C78" s="72" t="str">
        <f>IF('Ratings worksheet'!C78="NA",VLOOKUP('Ratings worksheet'!B78,'Sovereign Ratings (Moody''s,S&amp;P)'!$F$9:$G$33,2),'Ratings worksheet'!C78)</f>
        <v>Aa2</v>
      </c>
    </row>
    <row r="79" spans="1:3">
      <c r="A79" s="57" t="str">
        <f>'Ratings worksheet'!A79</f>
        <v>Kuwait</v>
      </c>
      <c r="B79" s="72" t="str">
        <f>'Ratings worksheet'!B79</f>
        <v>AA</v>
      </c>
      <c r="C79" s="72" t="str">
        <f>IF('Ratings worksheet'!C79="NA",VLOOKUP('Ratings worksheet'!B79,'Sovereign Ratings (Moody''s,S&amp;P)'!$F$9:$G$33,2),'Ratings worksheet'!C79)</f>
        <v>Aa2</v>
      </c>
    </row>
    <row r="80" spans="1:3">
      <c r="A80" s="57" t="str">
        <f>'Ratings worksheet'!A80</f>
        <v>Kyrgyzstan</v>
      </c>
      <c r="B80" s="72" t="str">
        <f>'Ratings worksheet'!B80</f>
        <v>NA</v>
      </c>
      <c r="C80" s="72" t="str">
        <f>IF('Ratings worksheet'!C80="NA",VLOOKUP('Ratings worksheet'!B80,'Sovereign Ratings (Moody''s,S&amp;P)'!$F$9:$G$33,2),'Ratings worksheet'!C80)</f>
        <v>B2</v>
      </c>
    </row>
    <row r="81" spans="1:3">
      <c r="A81" s="57" t="str">
        <f>'Ratings worksheet'!A81</f>
        <v>Latvia</v>
      </c>
      <c r="B81" s="72" t="str">
        <f>'Ratings worksheet'!B81</f>
        <v>A-</v>
      </c>
      <c r="C81" s="72" t="str">
        <f>IF('Ratings worksheet'!C81="NA",VLOOKUP('Ratings worksheet'!B81,'Sovereign Ratings (Moody''s,S&amp;P)'!$F$9:$G$33,2),'Ratings worksheet'!C81)</f>
        <v>A3</v>
      </c>
    </row>
    <row r="82" spans="1:3">
      <c r="A82" s="57" t="str">
        <f>'Ratings worksheet'!A82</f>
        <v>Lebanon</v>
      </c>
      <c r="B82" s="72" t="str">
        <f>'Ratings worksheet'!B82</f>
        <v>B-</v>
      </c>
      <c r="C82" s="72" t="str">
        <f>IF('Ratings worksheet'!C82="NA",VLOOKUP('Ratings worksheet'!B82,'Sovereign Ratings (Moody''s,S&amp;P)'!$F$9:$G$33,2),'Ratings worksheet'!C82)</f>
        <v>B3</v>
      </c>
    </row>
    <row r="83" spans="1:3">
      <c r="A83" s="57" t="str">
        <f>'Ratings worksheet'!A83</f>
        <v>Liechtenstein</v>
      </c>
      <c r="B83" s="72" t="str">
        <f>'Ratings worksheet'!B83</f>
        <v>AAA</v>
      </c>
      <c r="C83" s="72" t="str">
        <f>IF('Ratings worksheet'!C83="NA",VLOOKUP('Ratings worksheet'!B83,'Sovereign Ratings (Moody''s,S&amp;P)'!$F$9:$G$33,2),'Ratings worksheet'!C83)</f>
        <v>Aaa</v>
      </c>
    </row>
    <row r="84" spans="1:3">
      <c r="A84" s="57" t="str">
        <f>'Ratings worksheet'!A84</f>
        <v>Lithuania</v>
      </c>
      <c r="B84" s="72" t="str">
        <f>'Ratings worksheet'!B84</f>
        <v>A</v>
      </c>
      <c r="C84" s="72" t="str">
        <f>IF('Ratings worksheet'!C84="NA",VLOOKUP('Ratings worksheet'!B84,'Sovereign Ratings (Moody''s,S&amp;P)'!$F$9:$G$33,2),'Ratings worksheet'!C84)</f>
        <v>A3</v>
      </c>
    </row>
    <row r="85" spans="1:3">
      <c r="A85" s="57" t="str">
        <f>'Ratings worksheet'!A85</f>
        <v>Luxembourg</v>
      </c>
      <c r="B85" s="72" t="str">
        <f>'Ratings worksheet'!B85</f>
        <v>AAA</v>
      </c>
      <c r="C85" s="72" t="str">
        <f>IF('Ratings worksheet'!C85="NA",VLOOKUP('Ratings worksheet'!B85,'Sovereign Ratings (Moody''s,S&amp;P)'!$F$9:$G$33,2),'Ratings worksheet'!C85)</f>
        <v>Aaa</v>
      </c>
    </row>
    <row r="86" spans="1:3">
      <c r="A86" s="57" t="str">
        <f>'Ratings worksheet'!A86</f>
        <v>Macao</v>
      </c>
      <c r="B86" s="72" t="str">
        <f>'Ratings worksheet'!B86</f>
        <v>NA</v>
      </c>
      <c r="C86" s="72" t="str">
        <f>IF('Ratings worksheet'!C86="NA",VLOOKUP('Ratings worksheet'!B86,'Sovereign Ratings (Moody''s,S&amp;P)'!$F$9:$G$33,2),'Ratings worksheet'!C86)</f>
        <v>Aa3</v>
      </c>
    </row>
    <row r="87" spans="1:3">
      <c r="A87" s="57" t="str">
        <f>'Ratings worksheet'!A87</f>
        <v>Macedonia</v>
      </c>
      <c r="B87" s="72" t="str">
        <f>'Ratings worksheet'!B87</f>
        <v>BB-</v>
      </c>
      <c r="C87" s="72" t="str">
        <f>IF('Ratings worksheet'!C87="NA",VLOOKUP('Ratings worksheet'!B87,'Sovereign Ratings (Moody''s,S&amp;P)'!$F$9:$G$33,2),'Ratings worksheet'!C87)</f>
        <v>Ba3</v>
      </c>
    </row>
    <row r="88" spans="1:3">
      <c r="A88" s="57" t="str">
        <f>'Ratings worksheet'!A88</f>
        <v>Malaysia</v>
      </c>
      <c r="B88" s="72" t="str">
        <f>'Ratings worksheet'!B88</f>
        <v>A</v>
      </c>
      <c r="C88" s="72" t="str">
        <f>IF('Ratings worksheet'!C88="NA",VLOOKUP('Ratings worksheet'!B88,'Sovereign Ratings (Moody''s,S&amp;P)'!$F$9:$G$33,2),'Ratings worksheet'!C88)</f>
        <v>A3</v>
      </c>
    </row>
    <row r="89" spans="1:3">
      <c r="A89" s="57" t="str">
        <f>'Ratings worksheet'!A89</f>
        <v>Maldives</v>
      </c>
      <c r="B89" s="72" t="str">
        <f>'Ratings worksheet'!B89</f>
        <v>NA</v>
      </c>
      <c r="C89" s="72" t="str">
        <f>IF('Ratings worksheet'!C89="NA",VLOOKUP('Ratings worksheet'!B89,'Sovereign Ratings (Moody''s,S&amp;P)'!$F$9:$G$33,2),'Ratings worksheet'!C89)</f>
        <v>B2</v>
      </c>
    </row>
    <row r="90" spans="1:3">
      <c r="A90" s="57" t="str">
        <f>'Ratings worksheet'!A90</f>
        <v>Malta</v>
      </c>
      <c r="B90" s="72" t="str">
        <f>'Ratings worksheet'!B90</f>
        <v>A-</v>
      </c>
      <c r="C90" s="72" t="str">
        <f>IF('Ratings worksheet'!C90="NA",VLOOKUP('Ratings worksheet'!B90,'Sovereign Ratings (Moody''s,S&amp;P)'!$F$9:$G$33,2),'Ratings worksheet'!C90)</f>
        <v>A3</v>
      </c>
    </row>
    <row r="91" spans="1:3">
      <c r="A91" s="57" t="str">
        <f>'Ratings worksheet'!A91</f>
        <v>Mauritius</v>
      </c>
      <c r="B91" s="72" t="str">
        <f>'Ratings worksheet'!B91</f>
        <v>NA</v>
      </c>
      <c r="C91" s="72" t="str">
        <f>IF('Ratings worksheet'!C91="NA",VLOOKUP('Ratings worksheet'!B91,'Sovereign Ratings (Moody''s,S&amp;P)'!$F$9:$G$33,2),'Ratings worksheet'!C91)</f>
        <v>Baa1</v>
      </c>
    </row>
    <row r="92" spans="1:3">
      <c r="A92" s="57" t="str">
        <f>'Ratings worksheet'!A92</f>
        <v>Mexico</v>
      </c>
      <c r="B92" s="72" t="str">
        <f>'Ratings worksheet'!B92</f>
        <v>A-</v>
      </c>
      <c r="C92" s="72" t="str">
        <f>IF('Ratings worksheet'!C92="NA",VLOOKUP('Ratings worksheet'!B92,'Sovereign Ratings (Moody''s,S&amp;P)'!$F$9:$G$33,2),'Ratings worksheet'!C92)</f>
        <v>A3</v>
      </c>
    </row>
    <row r="93" spans="1:3">
      <c r="A93" s="57" t="str">
        <f>'Ratings worksheet'!A93</f>
        <v>Moldova</v>
      </c>
      <c r="B93" s="72" t="str">
        <f>'Ratings worksheet'!B93</f>
        <v>NA</v>
      </c>
      <c r="C93" s="72" t="str">
        <f>IF('Ratings worksheet'!C93="NA",VLOOKUP('Ratings worksheet'!B93,'Sovereign Ratings (Moody''s,S&amp;P)'!$F$9:$G$33,2),'Ratings worksheet'!C93)</f>
        <v>B3</v>
      </c>
    </row>
    <row r="94" spans="1:3">
      <c r="A94" s="57" t="str">
        <f>'Ratings worksheet'!A94</f>
        <v>Mongolia</v>
      </c>
      <c r="B94" s="72" t="str">
        <f>'Ratings worksheet'!B94</f>
        <v>B-</v>
      </c>
      <c r="C94" s="72" t="str">
        <f>IF('Ratings worksheet'!C94="NA",VLOOKUP('Ratings worksheet'!B94,'Sovereign Ratings (Moody''s,S&amp;P)'!$F$9:$G$33,2),'Ratings worksheet'!C94)</f>
        <v>B3</v>
      </c>
    </row>
    <row r="95" spans="1:3">
      <c r="A95" s="57" t="str">
        <f>'Ratings worksheet'!A95</f>
        <v>Montenegro</v>
      </c>
      <c r="B95" s="72" t="str">
        <f>'Ratings worksheet'!B95</f>
        <v>B+</v>
      </c>
      <c r="C95" s="72" t="str">
        <f>IF('Ratings worksheet'!C95="NA",VLOOKUP('Ratings worksheet'!B95,'Sovereign Ratings (Moody''s,S&amp;P)'!$F$9:$G$33,2),'Ratings worksheet'!C95)</f>
        <v>B1</v>
      </c>
    </row>
    <row r="96" spans="1:3">
      <c r="A96" s="57" t="str">
        <f>'Ratings worksheet'!A96</f>
        <v>Montserrat</v>
      </c>
      <c r="B96" s="72" t="str">
        <f>'Ratings worksheet'!B96</f>
        <v>BBB-</v>
      </c>
      <c r="C96" s="72" t="str">
        <f>IF('Ratings worksheet'!C96="NA",VLOOKUP('Ratings worksheet'!B96,'Sovereign Ratings (Moody''s,S&amp;P)'!$F$9:$G$33,2),'Ratings worksheet'!C96)</f>
        <v>Baa3</v>
      </c>
    </row>
    <row r="97" spans="1:3">
      <c r="A97" s="57" t="str">
        <f>'Ratings worksheet'!A97</f>
        <v>Morocco</v>
      </c>
      <c r="B97" s="72" t="str">
        <f>'Ratings worksheet'!B97</f>
        <v>BBB-</v>
      </c>
      <c r="C97" s="72" t="str">
        <f>IF('Ratings worksheet'!C97="NA",VLOOKUP('Ratings worksheet'!B97,'Sovereign Ratings (Moody''s,S&amp;P)'!$F$9:$G$33,2),'Ratings worksheet'!C97)</f>
        <v>Ba1</v>
      </c>
    </row>
    <row r="98" spans="1:3">
      <c r="A98" s="57" t="str">
        <f>'Ratings worksheet'!A98</f>
        <v>Mozambique</v>
      </c>
      <c r="B98" s="72" t="str">
        <f>'Ratings worksheet'!B98</f>
        <v>B-</v>
      </c>
      <c r="C98" s="72" t="str">
        <f>IF('Ratings worksheet'!C98="NA",VLOOKUP('Ratings worksheet'!B98,'Sovereign Ratings (Moody''s,S&amp;P)'!$F$9:$G$33,2),'Ratings worksheet'!C98)</f>
        <v>Caa3</v>
      </c>
    </row>
    <row r="99" spans="1:3">
      <c r="A99" s="57" t="str">
        <f>'Ratings worksheet'!A99</f>
        <v>Namibia</v>
      </c>
      <c r="B99" s="72" t="str">
        <f>'Ratings worksheet'!B99</f>
        <v>NA</v>
      </c>
      <c r="C99" s="72" t="str">
        <f>IF('Ratings worksheet'!C99="NA",VLOOKUP('Ratings worksheet'!B99,'Sovereign Ratings (Moody''s,S&amp;P)'!$F$9:$G$33,2),'Ratings worksheet'!C99)</f>
        <v>Ba1</v>
      </c>
    </row>
    <row r="100" spans="1:3">
      <c r="A100" s="57" t="str">
        <f>'Ratings worksheet'!A100</f>
        <v>Netherlands</v>
      </c>
      <c r="B100" s="72" t="str">
        <f>'Ratings worksheet'!B100</f>
        <v>AAA</v>
      </c>
      <c r="C100" s="72" t="str">
        <f>IF('Ratings worksheet'!C100="NA",VLOOKUP('Ratings worksheet'!B100,'Sovereign Ratings (Moody''s,S&amp;P)'!$F$9:$G$33,2),'Ratings worksheet'!C100)</f>
        <v>Aaa</v>
      </c>
    </row>
    <row r="101" spans="1:3">
      <c r="A101" s="57" t="str">
        <f>'Ratings worksheet'!A101</f>
        <v>New Zealand</v>
      </c>
      <c r="B101" s="72" t="str">
        <f>'Ratings worksheet'!B101</f>
        <v>AA+</v>
      </c>
      <c r="C101" s="72" t="str">
        <f>IF('Ratings worksheet'!C101="NA",VLOOKUP('Ratings worksheet'!B101,'Sovereign Ratings (Moody''s,S&amp;P)'!$F$9:$G$33,2),'Ratings worksheet'!C101)</f>
        <v>Aaa</v>
      </c>
    </row>
    <row r="102" spans="1:3">
      <c r="A102" s="57" t="str">
        <f>'Ratings worksheet'!A102</f>
        <v>Nicaragua</v>
      </c>
      <c r="B102" s="72" t="str">
        <f>'Ratings worksheet'!B102</f>
        <v>B+</v>
      </c>
      <c r="C102" s="72" t="str">
        <f>IF('Ratings worksheet'!C102="NA",VLOOKUP('Ratings worksheet'!B102,'Sovereign Ratings (Moody''s,S&amp;P)'!$F$9:$G$33,2),'Ratings worksheet'!C102)</f>
        <v>B2</v>
      </c>
    </row>
    <row r="103" spans="1:3">
      <c r="A103" s="57" t="str">
        <f>'Ratings worksheet'!A103</f>
        <v>Nigeria</v>
      </c>
      <c r="B103" s="72" t="str">
        <f>'Ratings worksheet'!B103</f>
        <v>B</v>
      </c>
      <c r="C103" s="72" t="str">
        <f>IF('Ratings worksheet'!C103="NA",VLOOKUP('Ratings worksheet'!B103,'Sovereign Ratings (Moody''s,S&amp;P)'!$F$9:$G$33,2),'Ratings worksheet'!C103)</f>
        <v>B2</v>
      </c>
    </row>
    <row r="104" spans="1:3">
      <c r="A104" s="57" t="str">
        <f>'Ratings worksheet'!A104</f>
        <v>Norway</v>
      </c>
      <c r="B104" s="72" t="str">
        <f>'Ratings worksheet'!B104</f>
        <v>AAA</v>
      </c>
      <c r="C104" s="72" t="str">
        <f>IF('Ratings worksheet'!C104="NA",VLOOKUP('Ratings worksheet'!B104,'Sovereign Ratings (Moody''s,S&amp;P)'!$F$9:$G$33,2),'Ratings worksheet'!C104)</f>
        <v>Aaa</v>
      </c>
    </row>
    <row r="105" spans="1:3">
      <c r="A105" s="57" t="str">
        <f>'Ratings worksheet'!A105</f>
        <v>Oman</v>
      </c>
      <c r="B105" s="72" t="str">
        <f>'Ratings worksheet'!B105</f>
        <v>BB</v>
      </c>
      <c r="C105" s="72" t="str">
        <f>IF('Ratings worksheet'!C105="NA",VLOOKUP('Ratings worksheet'!B105,'Sovereign Ratings (Moody''s,S&amp;P)'!$F$9:$G$33,2),'Ratings worksheet'!C105)</f>
        <v>Baa3</v>
      </c>
    </row>
    <row r="106" spans="1:3">
      <c r="A106" s="57" t="str">
        <f>'Ratings worksheet'!A106</f>
        <v>Pakistan</v>
      </c>
      <c r="B106" s="72" t="str">
        <f>'Ratings worksheet'!B106</f>
        <v>B</v>
      </c>
      <c r="C106" s="72" t="str">
        <f>IF('Ratings worksheet'!C106="NA",VLOOKUP('Ratings worksheet'!B106,'Sovereign Ratings (Moody''s,S&amp;P)'!$F$9:$G$33,2),'Ratings worksheet'!C106)</f>
        <v>B3</v>
      </c>
    </row>
    <row r="107" spans="1:3">
      <c r="A107" s="57" t="str">
        <f>'Ratings worksheet'!A107</f>
        <v>Panama</v>
      </c>
      <c r="B107" s="72" t="str">
        <f>'Ratings worksheet'!B107</f>
        <v>BBB</v>
      </c>
      <c r="C107" s="72" t="str">
        <f>IF('Ratings worksheet'!C107="NA",VLOOKUP('Ratings worksheet'!B107,'Sovereign Ratings (Moody''s,S&amp;P)'!$F$9:$G$33,2),'Ratings worksheet'!C107)</f>
        <v>Baa2</v>
      </c>
    </row>
    <row r="108" spans="1:3">
      <c r="A108" s="57" t="str">
        <f>'Ratings worksheet'!A108</f>
        <v>Papua New Guinea</v>
      </c>
      <c r="B108" s="72" t="str">
        <f>'Ratings worksheet'!B108</f>
        <v>B</v>
      </c>
      <c r="C108" s="72" t="str">
        <f>IF('Ratings worksheet'!C108="NA",VLOOKUP('Ratings worksheet'!B108,'Sovereign Ratings (Moody''s,S&amp;P)'!$F$9:$G$33,2),'Ratings worksheet'!C108)</f>
        <v>B2</v>
      </c>
    </row>
    <row r="109" spans="1:3">
      <c r="A109" s="57" t="str">
        <f>'Ratings worksheet'!A109</f>
        <v>Paraguay</v>
      </c>
      <c r="B109" s="72" t="str">
        <f>'Ratings worksheet'!B109</f>
        <v>BB</v>
      </c>
      <c r="C109" s="72" t="str">
        <f>IF('Ratings worksheet'!C109="NA",VLOOKUP('Ratings worksheet'!B109,'Sovereign Ratings (Moody''s,S&amp;P)'!$F$9:$G$33,2),'Ratings worksheet'!C109)</f>
        <v>Ba1</v>
      </c>
    </row>
    <row r="110" spans="1:3">
      <c r="A110" s="57" t="str">
        <f>'Ratings worksheet'!A110</f>
        <v>Peru</v>
      </c>
      <c r="B110" s="72" t="str">
        <f>'Ratings worksheet'!B110</f>
        <v>A-</v>
      </c>
      <c r="C110" s="72" t="str">
        <f>IF('Ratings worksheet'!C110="NA",VLOOKUP('Ratings worksheet'!B110,'Sovereign Ratings (Moody''s,S&amp;P)'!$F$9:$G$33,2),'Ratings worksheet'!C110)</f>
        <v>A3</v>
      </c>
    </row>
    <row r="111" spans="1:3">
      <c r="A111" s="57" t="str">
        <f>'Ratings worksheet'!A111</f>
        <v>Philippines</v>
      </c>
      <c r="B111" s="72" t="str">
        <f>'Ratings worksheet'!B111</f>
        <v>BBB</v>
      </c>
      <c r="C111" s="72" t="str">
        <f>IF('Ratings worksheet'!C111="NA",VLOOKUP('Ratings worksheet'!B111,'Sovereign Ratings (Moody''s,S&amp;P)'!$F$9:$G$33,2),'Ratings worksheet'!C111)</f>
        <v>Baa2</v>
      </c>
    </row>
    <row r="112" spans="1:3">
      <c r="A112" s="57" t="str">
        <f>'Ratings worksheet'!A112</f>
        <v>Poland</v>
      </c>
      <c r="B112" s="72" t="str">
        <f>'Ratings worksheet'!B112</f>
        <v>A-</v>
      </c>
      <c r="C112" s="72" t="str">
        <f>IF('Ratings worksheet'!C112="NA",VLOOKUP('Ratings worksheet'!B112,'Sovereign Ratings (Moody''s,S&amp;P)'!$F$9:$G$33,2),'Ratings worksheet'!C112)</f>
        <v>A2</v>
      </c>
    </row>
    <row r="113" spans="1:3">
      <c r="A113" s="57" t="str">
        <f>'Ratings worksheet'!A113</f>
        <v>Portugal</v>
      </c>
      <c r="B113" s="72" t="str">
        <f>'Ratings worksheet'!B113</f>
        <v>BBB-</v>
      </c>
      <c r="C113" s="72" t="str">
        <f>IF('Ratings worksheet'!C113="NA",VLOOKUP('Ratings worksheet'!B113,'Sovereign Ratings (Moody''s,S&amp;P)'!$F$9:$G$33,2),'Ratings worksheet'!C113)</f>
        <v>Ba1</v>
      </c>
    </row>
    <row r="114" spans="1:3">
      <c r="A114" s="57" t="str">
        <f>'Ratings worksheet'!A114</f>
        <v>Qatar</v>
      </c>
      <c r="B114" s="72" t="str">
        <f>'Ratings worksheet'!B114</f>
        <v>AA-</v>
      </c>
      <c r="C114" s="72" t="str">
        <f>IF('Ratings worksheet'!C114="NA",VLOOKUP('Ratings worksheet'!B114,'Sovereign Ratings (Moody''s,S&amp;P)'!$F$9:$G$33,2),'Ratings worksheet'!C114)</f>
        <v>Aa3</v>
      </c>
    </row>
    <row r="115" spans="1:3">
      <c r="A115" s="57" t="str">
        <f>'Ratings worksheet'!A115</f>
        <v>Ras Al Khaimah (Emirate of)</v>
      </c>
      <c r="B115" s="72" t="str">
        <f>'Ratings worksheet'!B115</f>
        <v>A</v>
      </c>
      <c r="C115" s="72" t="str">
        <f>IF('Ratings worksheet'!C115="NA",VLOOKUP('Ratings worksheet'!B115,'Sovereign Ratings (Moody''s,S&amp;P)'!$F$9:$G$33,2),'Ratings worksheet'!C115)</f>
        <v>A2</v>
      </c>
    </row>
    <row r="116" spans="1:3">
      <c r="A116" s="57" t="str">
        <f>'Ratings worksheet'!A116</f>
        <v>Romania</v>
      </c>
      <c r="B116" s="72" t="str">
        <f>'Ratings worksheet'!B116</f>
        <v>BBB-</v>
      </c>
      <c r="C116" s="72" t="str">
        <f>IF('Ratings worksheet'!C116="NA",VLOOKUP('Ratings worksheet'!B116,'Sovereign Ratings (Moody''s,S&amp;P)'!$F$9:$G$33,2),'Ratings worksheet'!C116)</f>
        <v>Baa3</v>
      </c>
    </row>
    <row r="117" spans="1:3">
      <c r="A117" s="57" t="str">
        <f>'Ratings worksheet'!A117</f>
        <v>Russia</v>
      </c>
      <c r="B117" s="72" t="str">
        <f>'Ratings worksheet'!B117</f>
        <v>BBB</v>
      </c>
      <c r="C117" s="72" t="str">
        <f>IF('Ratings worksheet'!C117="NA",VLOOKUP('Ratings worksheet'!B117,'Sovereign Ratings (Moody''s,S&amp;P)'!$F$9:$G$33,2),'Ratings worksheet'!C117)</f>
        <v>Ba1</v>
      </c>
    </row>
    <row r="118" spans="1:3">
      <c r="A118" s="57" t="str">
        <f>'Ratings worksheet'!A118</f>
        <v>Rwanda</v>
      </c>
      <c r="B118" s="72" t="str">
        <f>'Ratings worksheet'!B118</f>
        <v>B</v>
      </c>
      <c r="C118" s="72" t="str">
        <f>IF('Ratings worksheet'!C118="NA",VLOOKUP('Ratings worksheet'!B118,'Sovereign Ratings (Moody''s,S&amp;P)'!$F$9:$G$33,2),'Ratings worksheet'!C118)</f>
        <v>B2</v>
      </c>
    </row>
    <row r="119" spans="1:3">
      <c r="A119" s="57" t="str">
        <f>'Ratings worksheet'!A119</f>
        <v>Saudi Arabia</v>
      </c>
      <c r="B119" s="72" t="str">
        <f>'Ratings worksheet'!B119</f>
        <v>A-</v>
      </c>
      <c r="C119" s="72" t="str">
        <f>IF('Ratings worksheet'!C119="NA",VLOOKUP('Ratings worksheet'!B119,'Sovereign Ratings (Moody''s,S&amp;P)'!$F$9:$G$33,2),'Ratings worksheet'!C119)</f>
        <v>A1</v>
      </c>
    </row>
    <row r="120" spans="1:3">
      <c r="A120" s="57" t="str">
        <f>'Ratings worksheet'!A120</f>
        <v>Senegal</v>
      </c>
      <c r="B120" s="72" t="str">
        <f>'Ratings worksheet'!B120</f>
        <v>B+</v>
      </c>
      <c r="C120" s="72" t="str">
        <f>IF('Ratings worksheet'!C120="NA",VLOOKUP('Ratings worksheet'!B120,'Sovereign Ratings (Moody''s,S&amp;P)'!$F$9:$G$33,2),'Ratings worksheet'!C120)</f>
        <v>Ba3</v>
      </c>
    </row>
    <row r="121" spans="1:3">
      <c r="A121" s="57" t="str">
        <f>'Ratings worksheet'!A121</f>
        <v>Serbia</v>
      </c>
      <c r="B121" s="72" t="str">
        <f>'Ratings worksheet'!B121</f>
        <v>BB</v>
      </c>
      <c r="C121" s="72" t="str">
        <f>IF('Ratings worksheet'!C121="NA",VLOOKUP('Ratings worksheet'!B121,'Sovereign Ratings (Moody''s,S&amp;P)'!$F$9:$G$33,2),'Ratings worksheet'!C121)</f>
        <v>Ba3</v>
      </c>
    </row>
    <row r="122" spans="1:3">
      <c r="A122" s="57" t="str">
        <f>'Ratings worksheet'!A122</f>
        <v>Sharjah</v>
      </c>
      <c r="B122" s="72" t="str">
        <f>'Ratings worksheet'!B122</f>
        <v>BBB+</v>
      </c>
      <c r="C122" s="72" t="str">
        <f>IF('Ratings worksheet'!C122="NA",VLOOKUP('Ratings worksheet'!B122,'Sovereign Ratings (Moody''s,S&amp;P)'!$F$9:$G$33,2),'Ratings worksheet'!C122)</f>
        <v>A3</v>
      </c>
    </row>
    <row r="123" spans="1:3">
      <c r="A123" s="57" t="str">
        <f>'Ratings worksheet'!A123</f>
        <v>Singapore</v>
      </c>
      <c r="B123" s="72" t="str">
        <f>'Ratings worksheet'!B123</f>
        <v>AAA</v>
      </c>
      <c r="C123" s="72" t="str">
        <f>IF('Ratings worksheet'!C123="NA",VLOOKUP('Ratings worksheet'!B123,'Sovereign Ratings (Moody''s,S&amp;P)'!$F$9:$G$33,2),'Ratings worksheet'!C123)</f>
        <v>Aaa</v>
      </c>
    </row>
    <row r="124" spans="1:3">
      <c r="A124" s="57" t="str">
        <f>'Ratings worksheet'!A124</f>
        <v>Slovakia</v>
      </c>
      <c r="B124" s="72" t="str">
        <f>'Ratings worksheet'!B124</f>
        <v>A+</v>
      </c>
      <c r="C124" s="72" t="str">
        <f>IF('Ratings worksheet'!C124="NA",VLOOKUP('Ratings worksheet'!B124,'Sovereign Ratings (Moody''s,S&amp;P)'!$F$9:$G$33,2),'Ratings worksheet'!C124)</f>
        <v>A2</v>
      </c>
    </row>
    <row r="125" spans="1:3">
      <c r="A125" s="57" t="str">
        <f>'Ratings worksheet'!A125</f>
        <v>Slovenia</v>
      </c>
      <c r="B125" s="72" t="str">
        <f>'Ratings worksheet'!B125</f>
        <v>A+</v>
      </c>
      <c r="C125" s="72" t="str">
        <f>IF('Ratings worksheet'!C125="NA",VLOOKUP('Ratings worksheet'!B125,'Sovereign Ratings (Moody''s,S&amp;P)'!$F$9:$G$33,2),'Ratings worksheet'!C125)</f>
        <v>Baa1</v>
      </c>
    </row>
    <row r="126" spans="1:3">
      <c r="A126" s="57" t="str">
        <f>'Ratings worksheet'!A126</f>
        <v>Solomon Islands</v>
      </c>
      <c r="B126" s="72" t="str">
        <f>'Ratings worksheet'!B126</f>
        <v>NA</v>
      </c>
      <c r="C126" s="72" t="str">
        <f>IF('Ratings worksheet'!C126="NA",VLOOKUP('Ratings worksheet'!B126,'Sovereign Ratings (Moody''s,S&amp;P)'!$F$9:$G$33,2),'Ratings worksheet'!C126)</f>
        <v>B3</v>
      </c>
    </row>
    <row r="127" spans="1:3">
      <c r="A127" s="57" t="str">
        <f>'Ratings worksheet'!A127</f>
        <v>South Africa</v>
      </c>
      <c r="B127" s="72" t="str">
        <f>'Ratings worksheet'!B127</f>
        <v>BB+</v>
      </c>
      <c r="C127" s="72" t="str">
        <f>IF('Ratings worksheet'!C127="NA",VLOOKUP('Ratings worksheet'!B127,'Sovereign Ratings (Moody''s,S&amp;P)'!$F$9:$G$33,2),'Ratings worksheet'!C127)</f>
        <v>Baa3</v>
      </c>
    </row>
    <row r="128" spans="1:3">
      <c r="A128" s="57" t="str">
        <f>'Ratings worksheet'!A128</f>
        <v>Spain</v>
      </c>
      <c r="B128" s="72" t="str">
        <f>'Ratings worksheet'!B128</f>
        <v>A-</v>
      </c>
      <c r="C128" s="72" t="str">
        <f>IF('Ratings worksheet'!C128="NA",VLOOKUP('Ratings worksheet'!B128,'Sovereign Ratings (Moody''s,S&amp;P)'!$F$9:$G$33,2),'Ratings worksheet'!C128)</f>
        <v>Baa1</v>
      </c>
    </row>
    <row r="129" spans="1:3">
      <c r="A129" s="57" t="str">
        <f>'Ratings worksheet'!A129</f>
        <v>Sri Lanka</v>
      </c>
      <c r="B129" s="72" t="str">
        <f>'Ratings worksheet'!B129</f>
        <v>B+</v>
      </c>
      <c r="C129" s="72" t="str">
        <f>IF('Ratings worksheet'!C129="NA",VLOOKUP('Ratings worksheet'!B129,'Sovereign Ratings (Moody''s,S&amp;P)'!$F$9:$G$33,2),'Ratings worksheet'!C129)</f>
        <v>B1</v>
      </c>
    </row>
    <row r="130" spans="1:3">
      <c r="A130" s="57" t="str">
        <f>'Ratings worksheet'!A130</f>
        <v>St. Maarten</v>
      </c>
      <c r="B130" s="72" t="str">
        <f>'Ratings worksheet'!B130</f>
        <v>NA</v>
      </c>
      <c r="C130" s="72" t="str">
        <f>IF('Ratings worksheet'!C130="NA",VLOOKUP('Ratings worksheet'!B130,'Sovereign Ratings (Moody''s,S&amp;P)'!$F$9:$G$33,2),'Ratings worksheet'!C130)</f>
        <v>Baa2</v>
      </c>
    </row>
    <row r="131" spans="1:3">
      <c r="A131" s="57" t="str">
        <f>'Ratings worksheet'!A131</f>
        <v>St. Vincent &amp; the Grenadines</v>
      </c>
      <c r="B131" s="72" t="str">
        <f>'Ratings worksheet'!B131</f>
        <v>NA</v>
      </c>
      <c r="C131" s="72" t="str">
        <f>IF('Ratings worksheet'!C131="NA",VLOOKUP('Ratings worksheet'!B131,'Sovereign Ratings (Moody''s,S&amp;P)'!$F$9:$G$33,2),'Ratings worksheet'!C131)</f>
        <v>B3</v>
      </c>
    </row>
    <row r="132" spans="1:3">
      <c r="A132" s="57" t="str">
        <f>'Ratings worksheet'!A132</f>
        <v>Suriname</v>
      </c>
      <c r="B132" s="72" t="str">
        <f>'Ratings worksheet'!B132</f>
        <v>B</v>
      </c>
      <c r="C132" s="72" t="str">
        <f>IF('Ratings worksheet'!C132="NA",VLOOKUP('Ratings worksheet'!B132,'Sovereign Ratings (Moody''s,S&amp;P)'!$F$9:$G$33,2),'Ratings worksheet'!C132)</f>
        <v>B2</v>
      </c>
    </row>
    <row r="133" spans="1:3">
      <c r="A133" s="57" t="str">
        <f>'Ratings worksheet'!A133</f>
        <v>Swaziland</v>
      </c>
      <c r="B133" s="72" t="str">
        <f>'Ratings worksheet'!B133</f>
        <v>NA</v>
      </c>
      <c r="C133" s="72" t="str">
        <f>IF('Ratings worksheet'!C133="NA",VLOOKUP('Ratings worksheet'!B133,'Sovereign Ratings (Moody''s,S&amp;P)'!$F$9:$G$33,2),'Ratings worksheet'!C133)</f>
        <v>B2</v>
      </c>
    </row>
    <row r="134" spans="1:3">
      <c r="A134" s="57" t="str">
        <f>'Ratings worksheet'!A134</f>
        <v>Sweden</v>
      </c>
      <c r="B134" s="72" t="str">
        <f>'Ratings worksheet'!B134</f>
        <v>AAA</v>
      </c>
      <c r="C134" s="72" t="str">
        <f>IF('Ratings worksheet'!C134="NA",VLOOKUP('Ratings worksheet'!B134,'Sovereign Ratings (Moody''s,S&amp;P)'!$F$9:$G$33,2),'Ratings worksheet'!C134)</f>
        <v>Aaa</v>
      </c>
    </row>
    <row r="135" spans="1:3">
      <c r="A135" s="57" t="str">
        <f>'Ratings worksheet'!A135</f>
        <v>Switzerland</v>
      </c>
      <c r="B135" s="72" t="str">
        <f>'Ratings worksheet'!B135</f>
        <v>AAA</v>
      </c>
      <c r="C135" s="72" t="str">
        <f>IF('Ratings worksheet'!C135="NA",VLOOKUP('Ratings worksheet'!B135,'Sovereign Ratings (Moody''s,S&amp;P)'!$F$9:$G$33,2),'Ratings worksheet'!C135)</f>
        <v>Aaa</v>
      </c>
    </row>
    <row r="136" spans="1:3">
      <c r="A136" s="57" t="str">
        <f>'Ratings worksheet'!A136</f>
        <v>Taiwan</v>
      </c>
      <c r="B136" s="72" t="str">
        <f>'Ratings worksheet'!B136</f>
        <v>AA-</v>
      </c>
      <c r="C136" s="72" t="str">
        <f>IF('Ratings worksheet'!C136="NA",VLOOKUP('Ratings worksheet'!B136,'Sovereign Ratings (Moody''s,S&amp;P)'!$F$9:$G$33,2),'Ratings worksheet'!C136)</f>
        <v>Aa3</v>
      </c>
    </row>
    <row r="137" spans="1:3">
      <c r="A137" s="57" t="str">
        <f>'Ratings worksheet'!A137</f>
        <v>Tajikistan</v>
      </c>
      <c r="B137" s="72" t="str">
        <f>'Ratings worksheet'!B137</f>
        <v>B-</v>
      </c>
      <c r="C137" s="72" t="str">
        <f>IF('Ratings worksheet'!C137="NA",VLOOKUP('Ratings worksheet'!B137,'Sovereign Ratings (Moody''s,S&amp;P)'!$F$9:$G$33,2),'Ratings worksheet'!C137)</f>
        <v>B3</v>
      </c>
    </row>
    <row r="138" spans="1:3">
      <c r="A138" s="57" t="str">
        <f>'Ratings worksheet'!A138</f>
        <v>Tanzania</v>
      </c>
      <c r="B138" s="72" t="str">
        <f>'Ratings worksheet'!B138</f>
        <v>NA</v>
      </c>
      <c r="C138" s="72" t="str">
        <f>IF('Ratings worksheet'!C138="NA",VLOOKUP('Ratings worksheet'!B138,'Sovereign Ratings (Moody''s,S&amp;P)'!$F$9:$G$33,2),'Ratings worksheet'!C138)</f>
        <v>B1</v>
      </c>
    </row>
    <row r="139" spans="1:3">
      <c r="A139" s="57" t="str">
        <f>'Ratings worksheet'!A139</f>
        <v>Thailand</v>
      </c>
      <c r="B139" s="72" t="str">
        <f>'Ratings worksheet'!B139</f>
        <v>A-</v>
      </c>
      <c r="C139" s="72" t="str">
        <f>IF('Ratings worksheet'!C139="NA",VLOOKUP('Ratings worksheet'!B139,'Sovereign Ratings (Moody''s,S&amp;P)'!$F$9:$G$33,2),'Ratings worksheet'!C139)</f>
        <v>Baa1</v>
      </c>
    </row>
    <row r="140" spans="1:3">
      <c r="A140" s="57" t="str">
        <f>'Ratings worksheet'!A140</f>
        <v>Trinidad and Tobago</v>
      </c>
      <c r="B140" s="72" t="str">
        <f>'Ratings worksheet'!B140</f>
        <v>BBB+</v>
      </c>
      <c r="C140" s="72" t="str">
        <f>IF('Ratings worksheet'!C140="NA",VLOOKUP('Ratings worksheet'!B140,'Sovereign Ratings (Moody''s,S&amp;P)'!$F$9:$G$33,2),'Ratings worksheet'!C140)</f>
        <v>Ba1</v>
      </c>
    </row>
    <row r="141" spans="1:3">
      <c r="A141" s="57" t="str">
        <f>'Ratings worksheet'!A141</f>
        <v>Tunisia</v>
      </c>
      <c r="B141" s="72" t="str">
        <f>'Ratings worksheet'!B141</f>
        <v>NA</v>
      </c>
      <c r="C141" s="72" t="str">
        <f>IF('Ratings worksheet'!C141="NA",VLOOKUP('Ratings worksheet'!B141,'Sovereign Ratings (Moody''s,S&amp;P)'!$F$9:$G$33,2),'Ratings worksheet'!C141)</f>
        <v>B2</v>
      </c>
    </row>
    <row r="142" spans="1:3">
      <c r="A142" s="57" t="str">
        <f>'Ratings worksheet'!A142</f>
        <v>Turkey</v>
      </c>
      <c r="B142" s="72" t="str">
        <f>'Ratings worksheet'!B142</f>
        <v>BB</v>
      </c>
      <c r="C142" s="72" t="str">
        <f>IF('Ratings worksheet'!C142="NA",VLOOKUP('Ratings worksheet'!B142,'Sovereign Ratings (Moody''s,S&amp;P)'!$F$9:$G$33,2),'Ratings worksheet'!C142)</f>
        <v>Ba2</v>
      </c>
    </row>
    <row r="143" spans="1:3">
      <c r="A143" s="57" t="str">
        <f>'Ratings worksheet'!A143</f>
        <v>Turks and Caicos Islands</v>
      </c>
      <c r="B143" s="72" t="str">
        <f>'Ratings worksheet'!B143</f>
        <v>BBB+</v>
      </c>
      <c r="C143" s="72" t="str">
        <f>IF('Ratings worksheet'!C143="NA",VLOOKUP('Ratings worksheet'!B143,'Sovereign Ratings (Moody''s,S&amp;P)'!$F$9:$G$33,2),'Ratings worksheet'!C143)</f>
        <v>Baa1</v>
      </c>
    </row>
    <row r="144" spans="1:3">
      <c r="A144" s="57" t="str">
        <f>'Ratings worksheet'!A144</f>
        <v>Uganda</v>
      </c>
      <c r="B144" s="72" t="str">
        <f>'Ratings worksheet'!B144</f>
        <v>B</v>
      </c>
      <c r="C144" s="72" t="str">
        <f>IF('Ratings worksheet'!C144="NA",VLOOKUP('Ratings worksheet'!B144,'Sovereign Ratings (Moody''s,S&amp;P)'!$F$9:$G$33,2),'Ratings worksheet'!C144)</f>
        <v>B2</v>
      </c>
    </row>
    <row r="145" spans="1:3">
      <c r="A145" s="57" t="str">
        <f>'Ratings worksheet'!A145</f>
        <v>Ukraine</v>
      </c>
      <c r="B145" s="72" t="str">
        <f>'Ratings worksheet'!B145</f>
        <v>B-</v>
      </c>
      <c r="C145" s="72" t="str">
        <f>IF('Ratings worksheet'!C145="NA",VLOOKUP('Ratings worksheet'!B145,'Sovereign Ratings (Moody''s,S&amp;P)'!$F$9:$G$33,2),'Ratings worksheet'!C145)</f>
        <v>Caa2</v>
      </c>
    </row>
    <row r="146" spans="1:3">
      <c r="A146" s="57" t="str">
        <f>'Ratings worksheet'!A146</f>
        <v>United Arab Emirates</v>
      </c>
      <c r="B146" s="72" t="str">
        <f>'Ratings worksheet'!B146</f>
        <v>NA</v>
      </c>
      <c r="C146" s="72" t="str">
        <f>IF('Ratings worksheet'!C146="NA",VLOOKUP('Ratings worksheet'!B146,'Sovereign Ratings (Moody''s,S&amp;P)'!$F$9:$G$33,2),'Ratings worksheet'!C146)</f>
        <v>Aa2</v>
      </c>
    </row>
    <row r="147" spans="1:3">
      <c r="A147" s="57" t="str">
        <f>'Ratings worksheet'!A147</f>
        <v>United Kingdom</v>
      </c>
      <c r="B147" s="72" t="str">
        <f>'Ratings worksheet'!B147</f>
        <v>AA</v>
      </c>
      <c r="C147" s="72" t="str">
        <f>IF('Ratings worksheet'!C147="NA",VLOOKUP('Ratings worksheet'!B147,'Sovereign Ratings (Moody''s,S&amp;P)'!$F$9:$G$33,2),'Ratings worksheet'!C147)</f>
        <v>Aa2</v>
      </c>
    </row>
    <row r="148" spans="1:3">
      <c r="A148" s="57" t="str">
        <f>'Ratings worksheet'!A148</f>
        <v>United States</v>
      </c>
      <c r="B148" s="72" t="str">
        <f>'Ratings worksheet'!B148</f>
        <v>AA+</v>
      </c>
      <c r="C148" s="72" t="str">
        <f>IF('Ratings worksheet'!C148="NA",VLOOKUP('Ratings worksheet'!B148,'Sovereign Ratings (Moody''s,S&amp;P)'!$F$9:$G$33,2),'Ratings worksheet'!C148)</f>
        <v>Aaa</v>
      </c>
    </row>
    <row r="149" spans="1:3">
      <c r="A149" s="57" t="str">
        <f>'Ratings worksheet'!A149</f>
        <v>Uruguay</v>
      </c>
      <c r="B149" s="72" t="str">
        <f>'Ratings worksheet'!B149</f>
        <v>BBB</v>
      </c>
      <c r="C149" s="72" t="str">
        <f>IF('Ratings worksheet'!C149="NA",VLOOKUP('Ratings worksheet'!B149,'Sovereign Ratings (Moody''s,S&amp;P)'!$F$9:$G$33,2),'Ratings worksheet'!C149)</f>
        <v>Baa2</v>
      </c>
    </row>
    <row r="150" spans="1:3">
      <c r="A150" s="57" t="str">
        <f>'Ratings worksheet'!A150</f>
        <v>Venezuela</v>
      </c>
      <c r="B150" s="72" t="str">
        <f>'Ratings worksheet'!B150</f>
        <v>CCC-</v>
      </c>
      <c r="C150" s="72" t="str">
        <f>IF('Ratings worksheet'!C150="NA",VLOOKUP('Ratings worksheet'!B150,'Sovereign Ratings (Moody''s,S&amp;P)'!$F$9:$G$33,2),'Ratings worksheet'!C150)</f>
        <v>C</v>
      </c>
    </row>
    <row r="151" spans="1:3">
      <c r="A151" s="57" t="str">
        <f>'Ratings worksheet'!A151</f>
        <v>Vietnam</v>
      </c>
      <c r="B151" s="72" t="str">
        <f>'Ratings worksheet'!B151</f>
        <v>BB-</v>
      </c>
      <c r="C151" s="72" t="str">
        <f>IF('Ratings worksheet'!C151="NA",VLOOKUP('Ratings worksheet'!B151,'Sovereign Ratings (Moody''s,S&amp;P)'!$F$9:$G$33,2),'Ratings worksheet'!C151)</f>
        <v>B1</v>
      </c>
    </row>
    <row r="152" spans="1:3">
      <c r="A152" s="57" t="str">
        <f>'Ratings worksheet'!A152</f>
        <v>Zambia</v>
      </c>
      <c r="B152" s="72" t="str">
        <f>'Ratings worksheet'!B152</f>
        <v>B</v>
      </c>
      <c r="C152" s="72" t="str">
        <f>IF('Ratings worksheet'!C152="NA",VLOOKUP('Ratings worksheet'!B152,'Sovereign Ratings (Moody''s,S&amp;P)'!$F$9:$G$33,2),'Ratings worksheet'!C152)</f>
        <v>B3</v>
      </c>
    </row>
  </sheetData>
  <mergeCells count="4">
    <mergeCell ref="F2:O2"/>
    <mergeCell ref="F3:O3"/>
    <mergeCell ref="F4:O4"/>
    <mergeCell ref="F5:O5"/>
  </mergeCells>
  <phoneticPr fontId="7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6"/>
  <sheetViews>
    <sheetView topLeftCell="A138" workbookViewId="0">
      <selection activeCell="A142" sqref="A142"/>
    </sheetView>
  </sheetViews>
  <sheetFormatPr baseColWidth="10" defaultRowHeight="12"/>
  <cols>
    <col min="1" max="1" width="32.5" customWidth="1"/>
    <col min="2" max="2" width="23" bestFit="1" customWidth="1"/>
  </cols>
  <sheetData>
    <row r="1" spans="1:2" ht="16">
      <c r="A1" s="9" t="s">
        <v>77</v>
      </c>
      <c r="B1" s="9" t="s">
        <v>53</v>
      </c>
    </row>
    <row r="2" spans="1:2" ht="16">
      <c r="A2" s="56" t="s">
        <v>280</v>
      </c>
      <c r="B2" s="10" t="s">
        <v>129</v>
      </c>
    </row>
    <row r="3" spans="1:2" ht="16">
      <c r="A3" s="10" t="s">
        <v>4</v>
      </c>
      <c r="B3" s="17" t="s">
        <v>127</v>
      </c>
    </row>
    <row r="4" spans="1:2" ht="16">
      <c r="A4" s="39" t="s">
        <v>204</v>
      </c>
      <c r="B4" s="17" t="s">
        <v>128</v>
      </c>
    </row>
    <row r="5" spans="1:2" ht="16">
      <c r="A5" s="10" t="s">
        <v>133</v>
      </c>
      <c r="B5" s="17" t="s">
        <v>130</v>
      </c>
    </row>
    <row r="6" spans="1:2" ht="16">
      <c r="A6" s="10" t="s">
        <v>86</v>
      </c>
      <c r="B6" s="17" t="s">
        <v>52</v>
      </c>
    </row>
    <row r="7" spans="1:2" ht="16">
      <c r="A7" s="10" t="s">
        <v>19</v>
      </c>
      <c r="B7" s="17" t="s">
        <v>127</v>
      </c>
    </row>
    <row r="8" spans="1:2" ht="16">
      <c r="A8" s="39" t="s">
        <v>208</v>
      </c>
      <c r="B8" s="10" t="s">
        <v>55</v>
      </c>
    </row>
    <row r="9" spans="1:2" ht="16">
      <c r="A9" s="10" t="s">
        <v>87</v>
      </c>
      <c r="B9" s="17" t="s">
        <v>54</v>
      </c>
    </row>
    <row r="10" spans="1:2" ht="16">
      <c r="A10" s="10" t="s">
        <v>182</v>
      </c>
      <c r="B10" s="10" t="s">
        <v>128</v>
      </c>
    </row>
    <row r="11" spans="1:2" ht="16">
      <c r="A11" s="10" t="s">
        <v>20</v>
      </c>
      <c r="B11" s="10" t="s">
        <v>127</v>
      </c>
    </row>
    <row r="12" spans="1:2" ht="16">
      <c r="A12" s="10" t="s">
        <v>88</v>
      </c>
      <c r="B12" s="17" t="s">
        <v>55</v>
      </c>
    </row>
    <row r="13" spans="1:2" ht="16">
      <c r="A13" s="10" t="s">
        <v>89</v>
      </c>
      <c r="B13" s="10" t="s">
        <v>129</v>
      </c>
    </row>
    <row r="14" spans="1:2" ht="16">
      <c r="A14" s="10" t="s">
        <v>134</v>
      </c>
      <c r="B14" s="10" t="s">
        <v>131</v>
      </c>
    </row>
    <row r="15" spans="1:2" ht="16">
      <c r="A15" s="10" t="s">
        <v>90</v>
      </c>
      <c r="B15" s="10" t="s">
        <v>55</v>
      </c>
    </row>
    <row r="16" spans="1:2" ht="16">
      <c r="A16" s="10" t="s">
        <v>5</v>
      </c>
      <c r="B16" s="10" t="s">
        <v>127</v>
      </c>
    </row>
    <row r="17" spans="1:2" ht="16">
      <c r="A17" s="10" t="s">
        <v>183</v>
      </c>
      <c r="B17" s="10" t="s">
        <v>128</v>
      </c>
    </row>
    <row r="18" spans="1:2" ht="16">
      <c r="A18" s="10" t="s">
        <v>91</v>
      </c>
      <c r="B18" s="10" t="s">
        <v>52</v>
      </c>
    </row>
    <row r="19" spans="1:2" ht="16">
      <c r="A19" s="10" t="s">
        <v>215</v>
      </c>
      <c r="B19" s="10" t="s">
        <v>130</v>
      </c>
    </row>
    <row r="20" spans="1:2" ht="16">
      <c r="A20" s="10" t="s">
        <v>92</v>
      </c>
      <c r="B20" s="10" t="s">
        <v>55</v>
      </c>
    </row>
    <row r="21" spans="1:2" ht="16">
      <c r="A21" s="10" t="s">
        <v>93</v>
      </c>
      <c r="B21" s="10" t="s">
        <v>52</v>
      </c>
    </row>
    <row r="22" spans="1:2" ht="16">
      <c r="A22" s="10" t="s">
        <v>7</v>
      </c>
      <c r="B22" s="10" t="s">
        <v>127</v>
      </c>
    </row>
    <row r="23" spans="1:2" ht="16">
      <c r="A23" s="10" t="s">
        <v>125</v>
      </c>
      <c r="B23" s="10" t="s">
        <v>130</v>
      </c>
    </row>
    <row r="24" spans="1:2" ht="16">
      <c r="A24" s="10" t="s">
        <v>94</v>
      </c>
      <c r="B24" s="10" t="s">
        <v>52</v>
      </c>
    </row>
    <row r="25" spans="1:2" ht="16">
      <c r="A25" s="10" t="s">
        <v>96</v>
      </c>
      <c r="B25" s="10" t="s">
        <v>127</v>
      </c>
    </row>
    <row r="26" spans="1:2" ht="16">
      <c r="A26" s="39" t="s">
        <v>218</v>
      </c>
      <c r="B26" s="10" t="s">
        <v>130</v>
      </c>
    </row>
    <row r="27" spans="1:2" ht="16">
      <c r="A27" s="10" t="s">
        <v>6</v>
      </c>
      <c r="B27" s="10" t="s">
        <v>131</v>
      </c>
    </row>
    <row r="28" spans="1:2" ht="16">
      <c r="A28" s="40" t="s">
        <v>219</v>
      </c>
      <c r="B28" s="10" t="s">
        <v>130</v>
      </c>
    </row>
    <row r="29" spans="1:2" ht="16">
      <c r="A29" s="10" t="s">
        <v>97</v>
      </c>
      <c r="B29" s="10" t="s">
        <v>132</v>
      </c>
    </row>
    <row r="30" spans="1:2" ht="16">
      <c r="A30" s="10" t="s">
        <v>220</v>
      </c>
      <c r="B30" s="10" t="s">
        <v>130</v>
      </c>
    </row>
    <row r="31" spans="1:2" ht="16">
      <c r="A31" s="10" t="s">
        <v>56</v>
      </c>
      <c r="B31" s="10" t="s">
        <v>55</v>
      </c>
    </row>
    <row r="32" spans="1:2" ht="16">
      <c r="A32" s="10" t="s">
        <v>98</v>
      </c>
      <c r="B32" s="10" t="s">
        <v>52</v>
      </c>
    </row>
    <row r="33" spans="1:2" ht="16">
      <c r="A33" s="10" t="s">
        <v>99</v>
      </c>
      <c r="B33" s="10" t="s">
        <v>131</v>
      </c>
    </row>
    <row r="34" spans="1:2" ht="16">
      <c r="A34" s="10" t="s">
        <v>51</v>
      </c>
      <c r="B34" s="10" t="s">
        <v>52</v>
      </c>
    </row>
    <row r="35" spans="1:2" ht="16">
      <c r="A35" s="56" t="s">
        <v>296</v>
      </c>
      <c r="B35" s="10" t="s">
        <v>130</v>
      </c>
    </row>
    <row r="36" spans="1:2" ht="16">
      <c r="A36" s="56" t="s">
        <v>297</v>
      </c>
      <c r="B36" s="10" t="s">
        <v>130</v>
      </c>
    </row>
    <row r="37" spans="1:2" ht="16">
      <c r="A37" s="40" t="s">
        <v>221</v>
      </c>
      <c r="B37" s="10" t="s">
        <v>54</v>
      </c>
    </row>
    <row r="38" spans="1:2" ht="16">
      <c r="A38" s="10" t="s">
        <v>57</v>
      </c>
      <c r="B38" s="10" t="s">
        <v>52</v>
      </c>
    </row>
    <row r="39" spans="1:2" ht="16">
      <c r="A39" s="56" t="s">
        <v>292</v>
      </c>
      <c r="B39" s="10" t="s">
        <v>130</v>
      </c>
    </row>
    <row r="40" spans="1:2" ht="16">
      <c r="A40" s="10" t="s">
        <v>100</v>
      </c>
      <c r="B40" s="10" t="s">
        <v>127</v>
      </c>
    </row>
    <row r="41" spans="1:2" ht="16">
      <c r="A41" s="10" t="s">
        <v>101</v>
      </c>
      <c r="B41" s="10" t="s">
        <v>55</v>
      </c>
    </row>
    <row r="42" spans="1:2" ht="16">
      <c r="A42" s="39" t="s">
        <v>224</v>
      </c>
      <c r="B42" s="10" t="s">
        <v>55</v>
      </c>
    </row>
    <row r="43" spans="1:2" ht="16">
      <c r="A43" s="10" t="s">
        <v>184</v>
      </c>
      <c r="B43" s="10" t="s">
        <v>128</v>
      </c>
    </row>
    <row r="44" spans="1:2" ht="16">
      <c r="A44" s="10" t="s">
        <v>103</v>
      </c>
      <c r="B44" s="10" t="s">
        <v>127</v>
      </c>
    </row>
    <row r="45" spans="1:2" ht="16">
      <c r="A45" s="49" t="s">
        <v>283</v>
      </c>
      <c r="B45" s="10" t="s">
        <v>130</v>
      </c>
    </row>
    <row r="46" spans="1:2" ht="16">
      <c r="A46" s="10" t="s">
        <v>104</v>
      </c>
      <c r="B46" s="10" t="s">
        <v>128</v>
      </c>
    </row>
    <row r="47" spans="1:2" ht="16">
      <c r="A47" s="10" t="s">
        <v>105</v>
      </c>
      <c r="B47" s="10" t="s">
        <v>55</v>
      </c>
    </row>
    <row r="48" spans="1:2" ht="16">
      <c r="A48" s="10" t="s">
        <v>106</v>
      </c>
      <c r="B48" s="10" t="s">
        <v>52</v>
      </c>
    </row>
    <row r="49" spans="1:2" ht="16">
      <c r="A49" s="10" t="s">
        <v>107</v>
      </c>
      <c r="B49" s="10" t="s">
        <v>130</v>
      </c>
    </row>
    <row r="50" spans="1:2" ht="16">
      <c r="A50" s="10" t="s">
        <v>31</v>
      </c>
      <c r="B50" s="10" t="s">
        <v>52</v>
      </c>
    </row>
    <row r="51" spans="1:2" ht="16">
      <c r="A51" s="10" t="s">
        <v>108</v>
      </c>
      <c r="B51" s="10" t="s">
        <v>127</v>
      </c>
    </row>
    <row r="52" spans="1:2" ht="16">
      <c r="A52" s="56" t="s">
        <v>293</v>
      </c>
      <c r="B52" s="10" t="s">
        <v>130</v>
      </c>
    </row>
    <row r="53" spans="1:2" ht="16">
      <c r="A53" s="10" t="s">
        <v>226</v>
      </c>
      <c r="B53" s="10" t="s">
        <v>131</v>
      </c>
    </row>
    <row r="54" spans="1:2" ht="16">
      <c r="A54" s="10" t="s">
        <v>185</v>
      </c>
      <c r="B54" s="10" t="s">
        <v>128</v>
      </c>
    </row>
    <row r="55" spans="1:2" ht="16">
      <c r="A55" s="10" t="s">
        <v>186</v>
      </c>
      <c r="B55" s="10" t="s">
        <v>128</v>
      </c>
    </row>
    <row r="56" spans="1:2" ht="16">
      <c r="A56" s="39" t="s">
        <v>227</v>
      </c>
      <c r="B56" s="10" t="s">
        <v>130</v>
      </c>
    </row>
    <row r="57" spans="1:2" ht="16">
      <c r="A57" s="10" t="s">
        <v>135</v>
      </c>
      <c r="B57" s="10" t="s">
        <v>127</v>
      </c>
    </row>
    <row r="58" spans="1:2" ht="16">
      <c r="A58" s="10" t="s">
        <v>187</v>
      </c>
      <c r="B58" s="10" t="s">
        <v>128</v>
      </c>
    </row>
    <row r="59" spans="1:2" ht="16">
      <c r="A59" s="10" t="s">
        <v>228</v>
      </c>
      <c r="B59" s="10" t="s">
        <v>130</v>
      </c>
    </row>
    <row r="60" spans="1:2" ht="16">
      <c r="A60" s="10" t="s">
        <v>188</v>
      </c>
      <c r="B60" s="10" t="s">
        <v>128</v>
      </c>
    </row>
    <row r="61" spans="1:2" ht="16">
      <c r="A61" s="10" t="s">
        <v>109</v>
      </c>
      <c r="B61" s="10" t="s">
        <v>52</v>
      </c>
    </row>
    <row r="62" spans="1:2" ht="16">
      <c r="A62" s="56" t="s">
        <v>298</v>
      </c>
      <c r="B62" s="10" t="s">
        <v>128</v>
      </c>
    </row>
    <row r="63" spans="1:2" ht="16">
      <c r="A63" s="10" t="s">
        <v>110</v>
      </c>
      <c r="B63" s="10" t="s">
        <v>52</v>
      </c>
    </row>
    <row r="64" spans="1:2" ht="16">
      <c r="A64" s="10" t="s">
        <v>60</v>
      </c>
      <c r="B64" s="10" t="s">
        <v>131</v>
      </c>
    </row>
    <row r="65" spans="1:2" ht="16">
      <c r="A65" s="10" t="s">
        <v>111</v>
      </c>
      <c r="B65" s="10" t="s">
        <v>127</v>
      </c>
    </row>
    <row r="66" spans="1:2" ht="16">
      <c r="A66" s="10" t="s">
        <v>112</v>
      </c>
      <c r="B66" s="10" t="s">
        <v>128</v>
      </c>
    </row>
    <row r="67" spans="1:2" ht="16">
      <c r="A67" s="10" t="s">
        <v>113</v>
      </c>
      <c r="B67" s="10" t="s">
        <v>131</v>
      </c>
    </row>
    <row r="68" spans="1:2" ht="16">
      <c r="A68" s="10" t="s">
        <v>114</v>
      </c>
      <c r="B68" s="10" t="s">
        <v>131</v>
      </c>
    </row>
    <row r="69" spans="1:2" ht="16">
      <c r="A69" s="10" t="s">
        <v>341</v>
      </c>
      <c r="B69" s="10" t="s">
        <v>129</v>
      </c>
    </row>
    <row r="70" spans="1:2" ht="16">
      <c r="A70" s="10" t="s">
        <v>189</v>
      </c>
      <c r="B70" s="10" t="s">
        <v>128</v>
      </c>
    </row>
    <row r="71" spans="1:2" ht="16">
      <c r="A71" s="10" t="s">
        <v>115</v>
      </c>
      <c r="B71" s="10" t="s">
        <v>128</v>
      </c>
    </row>
    <row r="72" spans="1:2" ht="16">
      <c r="A72" s="10" t="s">
        <v>116</v>
      </c>
      <c r="B72" s="10" t="s">
        <v>129</v>
      </c>
    </row>
    <row r="73" spans="1:2" ht="16">
      <c r="A73" s="10" t="s">
        <v>147</v>
      </c>
      <c r="B73" s="10" t="s">
        <v>128</v>
      </c>
    </row>
    <row r="74" spans="1:2" ht="16">
      <c r="A74" s="10" t="s">
        <v>117</v>
      </c>
      <c r="B74" s="10" t="s">
        <v>55</v>
      </c>
    </row>
    <row r="75" spans="1:2" ht="16">
      <c r="A75" s="10" t="s">
        <v>118</v>
      </c>
      <c r="B75" s="10" t="s">
        <v>131</v>
      </c>
    </row>
    <row r="76" spans="1:2" ht="16">
      <c r="A76" s="56" t="s">
        <v>299</v>
      </c>
      <c r="B76" s="10" t="s">
        <v>128</v>
      </c>
    </row>
    <row r="77" spans="1:2" ht="16">
      <c r="A77" s="10" t="s">
        <v>119</v>
      </c>
      <c r="B77" s="10" t="s">
        <v>129</v>
      </c>
    </row>
    <row r="78" spans="1:2" ht="16">
      <c r="A78" s="10" t="s">
        <v>120</v>
      </c>
      <c r="B78" s="10" t="s">
        <v>127</v>
      </c>
    </row>
    <row r="79" spans="1:2" ht="16">
      <c r="A79" s="10" t="s">
        <v>190</v>
      </c>
      <c r="B79" s="10" t="s">
        <v>130</v>
      </c>
    </row>
    <row r="80" spans="1:2" ht="16">
      <c r="A80" s="10" t="s">
        <v>121</v>
      </c>
      <c r="B80" s="10" t="s">
        <v>131</v>
      </c>
    </row>
    <row r="81" spans="1:2" ht="16">
      <c r="A81" s="10" t="s">
        <v>122</v>
      </c>
      <c r="B81" s="10" t="s">
        <v>129</v>
      </c>
    </row>
    <row r="82" spans="1:2" ht="16">
      <c r="A82" t="s">
        <v>363</v>
      </c>
      <c r="B82" s="10" t="s">
        <v>127</v>
      </c>
    </row>
    <row r="83" spans="1:2" ht="16">
      <c r="A83" s="10" t="s">
        <v>123</v>
      </c>
      <c r="B83" s="10" t="s">
        <v>127</v>
      </c>
    </row>
    <row r="84" spans="1:2" ht="16">
      <c r="A84" s="10" t="s">
        <v>124</v>
      </c>
      <c r="B84" s="10" t="s">
        <v>129</v>
      </c>
    </row>
    <row r="85" spans="1:2" ht="16">
      <c r="A85" s="40" t="s">
        <v>230</v>
      </c>
      <c r="B85" s="10" t="s">
        <v>128</v>
      </c>
    </row>
    <row r="86" spans="1:2" ht="16">
      <c r="A86" s="10" t="s">
        <v>13</v>
      </c>
      <c r="B86" s="10" t="s">
        <v>127</v>
      </c>
    </row>
    <row r="87" spans="1:2" ht="16">
      <c r="A87" s="10" t="s">
        <v>191</v>
      </c>
      <c r="B87" s="10" t="s">
        <v>128</v>
      </c>
    </row>
    <row r="88" spans="1:2" ht="16">
      <c r="A88" s="10" t="s">
        <v>32</v>
      </c>
      <c r="B88" s="10" t="s">
        <v>131</v>
      </c>
    </row>
    <row r="89" spans="1:2" ht="16">
      <c r="A89" s="40" t="s">
        <v>148</v>
      </c>
      <c r="B89" s="10" t="s">
        <v>127</v>
      </c>
    </row>
    <row r="90" spans="1:2" ht="16">
      <c r="A90" s="10" t="s">
        <v>14</v>
      </c>
      <c r="B90" s="10" t="s">
        <v>131</v>
      </c>
    </row>
    <row r="91" spans="1:2" ht="16">
      <c r="A91" s="10" t="s">
        <v>444</v>
      </c>
      <c r="B91" s="10" t="s">
        <v>131</v>
      </c>
    </row>
    <row r="92" spans="1:2" ht="16">
      <c r="A92" s="10" t="s">
        <v>192</v>
      </c>
      <c r="B92" s="10" t="s">
        <v>128</v>
      </c>
    </row>
    <row r="93" spans="1:2" ht="16">
      <c r="A93" s="10" t="s">
        <v>15</v>
      </c>
      <c r="B93" s="10" t="s">
        <v>131</v>
      </c>
    </row>
    <row r="94" spans="1:2" ht="16">
      <c r="A94" s="10" t="s">
        <v>16</v>
      </c>
      <c r="B94" s="10" t="s">
        <v>52</v>
      </c>
    </row>
    <row r="95" spans="1:2" ht="16">
      <c r="A95" s="10" t="s">
        <v>17</v>
      </c>
      <c r="B95" s="10" t="s">
        <v>127</v>
      </c>
    </row>
    <row r="96" spans="1:2" ht="16">
      <c r="A96" s="10" t="s">
        <v>64</v>
      </c>
      <c r="B96" s="10" t="s">
        <v>131</v>
      </c>
    </row>
    <row r="97" spans="1:2" ht="16">
      <c r="A97" s="10" t="s">
        <v>8</v>
      </c>
      <c r="B97" s="10" t="s">
        <v>127</v>
      </c>
    </row>
    <row r="98" spans="1:2" ht="16">
      <c r="A98" s="39" t="s">
        <v>232</v>
      </c>
      <c r="B98" s="10" t="s">
        <v>55</v>
      </c>
    </row>
    <row r="99" spans="1:2" ht="16">
      <c r="A99" s="10" t="s">
        <v>18</v>
      </c>
      <c r="B99" s="10" t="s">
        <v>130</v>
      </c>
    </row>
    <row r="100" spans="1:2" ht="16">
      <c r="A100" s="40" t="s">
        <v>233</v>
      </c>
      <c r="B100" s="10" t="s">
        <v>130</v>
      </c>
    </row>
    <row r="101" spans="1:2" ht="16">
      <c r="A101" s="10" t="s">
        <v>138</v>
      </c>
      <c r="B101" s="10" t="s">
        <v>130</v>
      </c>
    </row>
    <row r="102" spans="1:2" ht="16">
      <c r="A102" s="10" t="s">
        <v>193</v>
      </c>
      <c r="B102" s="10" t="s">
        <v>128</v>
      </c>
    </row>
    <row r="103" spans="1:2" ht="16">
      <c r="A103" s="10" t="s">
        <v>21</v>
      </c>
      <c r="B103" s="10" t="s">
        <v>54</v>
      </c>
    </row>
    <row r="104" spans="1:2" ht="16">
      <c r="A104" s="10" t="s">
        <v>22</v>
      </c>
      <c r="B104" s="10" t="s">
        <v>52</v>
      </c>
    </row>
    <row r="105" spans="1:2" ht="16">
      <c r="A105" s="10" t="s">
        <v>194</v>
      </c>
      <c r="B105" s="10" t="s">
        <v>130</v>
      </c>
    </row>
    <row r="106" spans="1:2" ht="16">
      <c r="A106" s="10" t="s">
        <v>23</v>
      </c>
      <c r="B106" s="10" t="s">
        <v>128</v>
      </c>
    </row>
    <row r="107" spans="1:2" ht="16">
      <c r="A107" s="10" t="s">
        <v>24</v>
      </c>
      <c r="B107" s="10" t="s">
        <v>129</v>
      </c>
    </row>
    <row r="108" spans="1:2" ht="16">
      <c r="A108" s="10" t="s">
        <v>25</v>
      </c>
      <c r="B108" s="10" t="s">
        <v>131</v>
      </c>
    </row>
    <row r="109" spans="1:2" ht="16">
      <c r="A109" s="10" t="s">
        <v>26</v>
      </c>
      <c r="B109" s="10" t="s">
        <v>52</v>
      </c>
    </row>
    <row r="110" spans="1:2" ht="16">
      <c r="A110" s="10" t="s">
        <v>9</v>
      </c>
      <c r="B110" s="10" t="s">
        <v>131</v>
      </c>
    </row>
    <row r="111" spans="1:2" ht="16">
      <c r="A111" s="10" t="s">
        <v>27</v>
      </c>
      <c r="B111" s="10" t="s">
        <v>52</v>
      </c>
    </row>
    <row r="112" spans="1:2" ht="16">
      <c r="A112" s="10" t="s">
        <v>28</v>
      </c>
      <c r="B112" s="10" t="s">
        <v>52</v>
      </c>
    </row>
    <row r="113" spans="1:2" ht="16">
      <c r="A113" s="10" t="s">
        <v>29</v>
      </c>
      <c r="B113" s="10" t="s">
        <v>131</v>
      </c>
    </row>
    <row r="114" spans="1:2" ht="16">
      <c r="A114" s="10" t="s">
        <v>30</v>
      </c>
      <c r="B114" s="10" t="s">
        <v>127</v>
      </c>
    </row>
    <row r="115" spans="1:2" ht="16">
      <c r="A115" s="10" t="s">
        <v>195</v>
      </c>
      <c r="B115" s="10" t="s">
        <v>128</v>
      </c>
    </row>
    <row r="116" spans="1:2" ht="16">
      <c r="A116" s="10" t="s">
        <v>76</v>
      </c>
      <c r="B116" s="10" t="s">
        <v>129</v>
      </c>
    </row>
    <row r="117" spans="1:2" ht="16">
      <c r="A117" s="49" t="s">
        <v>281</v>
      </c>
      <c r="B117" s="10" t="s">
        <v>129</v>
      </c>
    </row>
    <row r="118" spans="1:2" ht="16">
      <c r="A118" s="49" t="s">
        <v>282</v>
      </c>
      <c r="B118" s="10" t="s">
        <v>130</v>
      </c>
    </row>
    <row r="119" spans="1:2" ht="16">
      <c r="A119" s="10" t="s">
        <v>0</v>
      </c>
      <c r="B119" s="10" t="s">
        <v>127</v>
      </c>
    </row>
    <row r="120" spans="1:2" ht="16">
      <c r="A120" s="10" t="s">
        <v>1</v>
      </c>
      <c r="B120" s="10" t="s">
        <v>127</v>
      </c>
    </row>
    <row r="121" spans="1:2" ht="16">
      <c r="A121" s="40" t="s">
        <v>234</v>
      </c>
      <c r="B121" s="10" t="s">
        <v>130</v>
      </c>
    </row>
    <row r="122" spans="1:2" ht="16">
      <c r="A122" s="10" t="s">
        <v>2</v>
      </c>
      <c r="B122" s="10" t="s">
        <v>129</v>
      </c>
    </row>
    <row r="123" spans="1:2" ht="16">
      <c r="A123" s="10" t="s">
        <v>137</v>
      </c>
      <c r="B123" s="10" t="s">
        <v>130</v>
      </c>
    </row>
    <row r="124" spans="1:2" ht="16">
      <c r="A124" s="40" t="s">
        <v>149</v>
      </c>
      <c r="B124" s="10" t="s">
        <v>127</v>
      </c>
    </row>
    <row r="125" spans="1:2" ht="16">
      <c r="A125" s="56" t="s">
        <v>294</v>
      </c>
      <c r="B125" s="10" t="s">
        <v>129</v>
      </c>
    </row>
    <row r="126" spans="1:2" ht="16">
      <c r="A126" s="10" t="s">
        <v>3</v>
      </c>
      <c r="B126" s="10" t="s">
        <v>131</v>
      </c>
    </row>
    <row r="127" spans="1:2" ht="16">
      <c r="A127" s="10" t="s">
        <v>62</v>
      </c>
      <c r="B127" s="10" t="s">
        <v>127</v>
      </c>
    </row>
    <row r="128" spans="1:2" ht="16">
      <c r="A128" s="10" t="s">
        <v>196</v>
      </c>
      <c r="B128" s="10" t="s">
        <v>127</v>
      </c>
    </row>
    <row r="129" spans="1:2" ht="16">
      <c r="A129" s="10" t="s">
        <v>457</v>
      </c>
      <c r="B129" s="10" t="s">
        <v>131</v>
      </c>
    </row>
    <row r="130" spans="1:2" ht="16">
      <c r="A130" s="10" t="s">
        <v>78</v>
      </c>
      <c r="B130" s="10" t="s">
        <v>130</v>
      </c>
    </row>
    <row r="131" spans="1:2" ht="16">
      <c r="A131" s="10" t="s">
        <v>140</v>
      </c>
      <c r="B131" s="10" t="s">
        <v>128</v>
      </c>
    </row>
    <row r="132" spans="1:2" ht="16">
      <c r="A132" s="10" t="s">
        <v>136</v>
      </c>
      <c r="B132" s="10" t="s">
        <v>131</v>
      </c>
    </row>
    <row r="133" spans="1:2" ht="16">
      <c r="A133" s="42" t="s">
        <v>197</v>
      </c>
      <c r="B133" s="10" t="s">
        <v>55</v>
      </c>
    </row>
    <row r="134" spans="1:2" ht="16">
      <c r="A134" s="10" t="s">
        <v>10</v>
      </c>
      <c r="B134" s="10" t="s">
        <v>55</v>
      </c>
    </row>
    <row r="135" spans="1:2" ht="16">
      <c r="A135" s="10" t="s">
        <v>33</v>
      </c>
      <c r="B135" s="10" t="s">
        <v>52</v>
      </c>
    </row>
    <row r="136" spans="1:2" ht="16">
      <c r="A136" s="10" t="s">
        <v>443</v>
      </c>
      <c r="B136" s="10" t="s">
        <v>130</v>
      </c>
    </row>
    <row r="137" spans="1:2" ht="16">
      <c r="A137" s="10" t="s">
        <v>34</v>
      </c>
      <c r="B137" s="10" t="s">
        <v>128</v>
      </c>
    </row>
    <row r="138" spans="1:2" ht="16">
      <c r="A138" s="10" t="s">
        <v>35</v>
      </c>
      <c r="B138" s="10" t="s">
        <v>128</v>
      </c>
    </row>
    <row r="139" spans="1:2" ht="16">
      <c r="A139" s="10" t="s">
        <v>65</v>
      </c>
      <c r="B139" s="10" t="s">
        <v>131</v>
      </c>
    </row>
    <row r="140" spans="1:2" ht="16">
      <c r="A140" s="10" t="s">
        <v>440</v>
      </c>
      <c r="B140" s="10" t="s">
        <v>127</v>
      </c>
    </row>
    <row r="141" spans="1:2" ht="16">
      <c r="A141" s="10" t="s">
        <v>342</v>
      </c>
      <c r="B141" s="10" t="s">
        <v>130</v>
      </c>
    </row>
    <row r="142" spans="1:2" ht="16">
      <c r="A142" s="10" t="s">
        <v>66</v>
      </c>
      <c r="B142" s="10" t="s">
        <v>131</v>
      </c>
    </row>
    <row r="143" spans="1:2" ht="16">
      <c r="A143" s="10" t="s">
        <v>11</v>
      </c>
      <c r="B143" s="10" t="s">
        <v>55</v>
      </c>
    </row>
    <row r="144" spans="1:2" ht="16">
      <c r="A144" s="10" t="s">
        <v>79</v>
      </c>
      <c r="B144" s="10" t="s">
        <v>130</v>
      </c>
    </row>
    <row r="145" spans="1:2" ht="16">
      <c r="A145" s="10" t="s">
        <v>67</v>
      </c>
      <c r="B145" s="10" t="s">
        <v>128</v>
      </c>
    </row>
    <row r="146" spans="1:2" ht="16">
      <c r="A146" s="10" t="s">
        <v>68</v>
      </c>
      <c r="B146" s="10" t="s">
        <v>127</v>
      </c>
    </row>
    <row r="147" spans="1:2" ht="16">
      <c r="A147" s="10" t="s">
        <v>308</v>
      </c>
      <c r="B147" s="10" t="s">
        <v>55</v>
      </c>
    </row>
    <row r="148" spans="1:2" ht="16">
      <c r="A148" s="10" t="s">
        <v>235</v>
      </c>
      <c r="B148" s="10" t="s">
        <v>130</v>
      </c>
    </row>
    <row r="149" spans="1:2" ht="16">
      <c r="A149" s="10" t="s">
        <v>69</v>
      </c>
      <c r="B149" s="10" t="s">
        <v>127</v>
      </c>
    </row>
    <row r="150" spans="1:2" ht="16">
      <c r="A150" s="10" t="s">
        <v>61</v>
      </c>
      <c r="B150" s="10" t="s">
        <v>129</v>
      </c>
    </row>
    <row r="151" spans="1:2" ht="16">
      <c r="A151" s="10" t="s">
        <v>58</v>
      </c>
      <c r="B151" s="10" t="s">
        <v>128</v>
      </c>
    </row>
    <row r="152" spans="1:2" ht="16">
      <c r="A152" s="10" t="s">
        <v>366</v>
      </c>
      <c r="B152" s="10" t="s">
        <v>132</v>
      </c>
    </row>
    <row r="153" spans="1:2" ht="16">
      <c r="A153" s="10" t="s">
        <v>70</v>
      </c>
      <c r="B153" s="10" t="s">
        <v>52</v>
      </c>
    </row>
    <row r="154" spans="1:2" ht="16">
      <c r="A154" s="10" t="s">
        <v>71</v>
      </c>
      <c r="B154" s="10" t="s">
        <v>52</v>
      </c>
    </row>
    <row r="155" spans="1:2" ht="16">
      <c r="A155" s="10" t="s">
        <v>72</v>
      </c>
      <c r="B155" s="10" t="s">
        <v>131</v>
      </c>
    </row>
    <row r="156" spans="1:2" ht="16">
      <c r="A156" s="43" t="s">
        <v>198</v>
      </c>
      <c r="B156" s="43" t="s">
        <v>130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2018-09-19T19:09:57Z</dcterms:modified>
</cp:coreProperties>
</file>